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charts/chart1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ml.chartshapes+xml"/>
  <Override PartName="/xl/charts/chart15.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ml.chartshapes+xml"/>
  <Override PartName="/xl/charts/chart17.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ml.chartshapes+xml"/>
  <Override PartName="/xl/charts/chart18.xml" ContentType="application/vnd.openxmlformats-officedocument.drawingml.chart+xml"/>
  <Override PartName="/xl/drawings/drawing19.xml" ContentType="application/vnd.openxmlformats-officedocument.drawingml.chartshapes+xml"/>
  <Override PartName="/xl/charts/chart19.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0.xml" ContentType="application/vnd.openxmlformats-officedocument.drawingml.chartshapes+xml"/>
  <Override PartName="/xl/charts/chart20.xml" ContentType="application/vnd.openxmlformats-officedocument.drawingml.chart+xml"/>
  <Override PartName="/xl/drawings/drawing21.xml" ContentType="application/vnd.openxmlformats-officedocument.drawingml.chartshapes+xml"/>
  <Override PartName="/xl/charts/chart21.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2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4.xml" ContentType="application/vnd.openxmlformats-officedocument.drawingml.chartshapes+xml"/>
  <Override PartName="/xl/charts/chart23.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5.xml" ContentType="application/vnd.openxmlformats-officedocument.drawingml.chartshapes+xml"/>
  <Override PartName="/xl/charts/chart24.xml" ContentType="application/vnd.openxmlformats-officedocument.drawingml.chart+xml"/>
  <Override PartName="/xl/theme/themeOverride1.xml" ContentType="application/vnd.openxmlformats-officedocument.themeOverride+xml"/>
  <Override PartName="/xl/drawings/drawing26.xml" ContentType="application/vnd.openxmlformats-officedocument.drawingml.chartshapes+xml"/>
  <Override PartName="/xl/charts/chart25.xml" ContentType="application/vnd.openxmlformats-officedocument.drawingml.chart+xml"/>
  <Override PartName="/xl/theme/themeOverride2.xml" ContentType="application/vnd.openxmlformats-officedocument.themeOverride+xml"/>
  <Override PartName="/xl/drawings/drawing27.xml" ContentType="application/vnd.openxmlformats-officedocument.drawingml.chartshapes+xml"/>
  <Override PartName="/xl/charts/chart26.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8.xml" ContentType="application/vnd.openxmlformats-officedocument.drawingml.chartshapes+xml"/>
  <Override PartName="/xl/charts/chart27.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28.xml" ContentType="application/vnd.openxmlformats-officedocument.drawingml.chart+xml"/>
  <Override PartName="/xl/charts/style10.xml" ContentType="application/vnd.ms-office.chartstyle+xml"/>
  <Override PartName="/xl/charts/colors10.xml" ContentType="application/vnd.ms-office.chartcolorstyle+xml"/>
  <Override PartName="/xl/charts/chart29.xml" ContentType="application/vnd.openxmlformats-officedocument.drawingml.chart+xml"/>
  <Override PartName="/xl/charts/style11.xml" ContentType="application/vnd.ms-office.chartstyle+xml"/>
  <Override PartName="/xl/charts/colors11.xml" ContentType="application/vnd.ms-office.chartcolorstyle+xml"/>
  <Override PartName="/xl/charts/chart30.xml" ContentType="application/vnd.openxmlformats-officedocument.drawingml.chart+xml"/>
  <Override PartName="/xl/charts/style12.xml" ContentType="application/vnd.ms-office.chartstyle+xml"/>
  <Override PartName="/xl/charts/colors12.xml" ContentType="application/vnd.ms-office.chartcolorstyle+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31.xml" ContentType="application/vnd.openxmlformats-officedocument.drawingml.chartshapes+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2.xml" ContentType="application/vnd.openxmlformats-officedocument.drawingml.chartshapes+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33.xml" ContentType="application/vnd.openxmlformats-officedocument.drawingml.chartshapes+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36.xml" ContentType="application/vnd.openxmlformats-officedocument.drawingml.chartshapes+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40.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9.xml" ContentType="application/vnd.openxmlformats-officedocument.drawingml.chartshapes+xml"/>
  <Override PartName="/xl/charts/chart41.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0.xml" ContentType="application/vnd.openxmlformats-officedocument.drawingml.chartshapes+xml"/>
  <Override PartName="/xl/charts/chart42.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41.xml" ContentType="application/vnd.openxmlformats-officedocument.drawingml.chartshapes+xml"/>
  <Override PartName="/xl/charts/chart43.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42.xml" ContentType="application/vnd.openxmlformats-officedocument.drawingml.chartshapes+xml"/>
  <Override PartName="/xl/charts/chart44.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43.xml" ContentType="application/vnd.openxmlformats-officedocument.drawingml.chartshapes+xml"/>
  <Override PartName="/xl/charts/chart45.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omments1.xml" ContentType="application/vnd.openxmlformats-officedocument.spreadsheetml.comments+xml"/>
  <Override PartName="/xl/charts/chart46.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46.xml" ContentType="application/vnd.openxmlformats-officedocument.drawingml.chartshapes+xml"/>
  <Override PartName="/xl/charts/chart47.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7.xml" ContentType="application/vnd.openxmlformats-officedocument.drawingml.chartshapes+xml"/>
  <Override PartName="/xl/charts/chart48.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8.xml" ContentType="application/vnd.openxmlformats-officedocument.drawingml.chartshapes+xml"/>
  <Override PartName="/xl/charts/chart49.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49.xml" ContentType="application/vnd.openxmlformats-officedocument.drawingml.chartshapes+xml"/>
  <Override PartName="/xl/charts/chart50.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50.xml" ContentType="application/vnd.openxmlformats-officedocument.drawingml.chartshapes+xml"/>
  <Override PartName="/xl/charts/chart51.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51.xml" ContentType="application/vnd.openxmlformats-officedocument.drawingml.chartshapes+xml"/>
  <Override PartName="/xl/drawings/drawing52.xml" ContentType="application/vnd.openxmlformats-officedocument.drawing+xml"/>
  <Override PartName="/xl/charts/chart52.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53.xml" ContentType="application/vnd.openxmlformats-officedocument.drawingml.chartshapes+xml"/>
  <Override PartName="/xl/charts/chart53.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54.xml" ContentType="application/vnd.openxmlformats-officedocument.drawingml.chartshapes+xml"/>
  <Override PartName="/xl/charts/chart54.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55.xml" ContentType="application/vnd.openxmlformats-officedocument.drawingml.chartshapes+xml"/>
  <Override PartName="/xl/charts/chart55.xml" ContentType="application/vnd.openxmlformats-officedocument.drawingml.chart+xml"/>
  <Override PartName="/xl/drawings/drawing56.xml" ContentType="application/vnd.openxmlformats-officedocument.drawingml.chartshapes+xml"/>
  <Override PartName="/xl/charts/chart56.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57.xml" ContentType="application/vnd.openxmlformats-officedocument.drawingml.chartshapes+xml"/>
  <Override PartName="/xl/charts/chart57.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58.xml" ContentType="application/vnd.openxmlformats-officedocument.drawingml.chartshapes+xml"/>
  <Override PartName="/xl/drawings/drawing59.xml" ContentType="application/vnd.openxmlformats-officedocument.drawing+xml"/>
  <Override PartName="/xl/charts/chart58.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60.xml" ContentType="application/vnd.openxmlformats-officedocument.drawingml.chartshapes+xml"/>
  <Override PartName="/xl/charts/chart59.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61.xml" ContentType="application/vnd.openxmlformats-officedocument.drawingml.chartshapes+xml"/>
  <Override PartName="/xl/drawings/drawing62.xml" ContentType="application/vnd.openxmlformats-officedocument.drawing+xml"/>
  <Override PartName="/xl/charts/chart60.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63.xml" ContentType="application/vnd.openxmlformats-officedocument.drawingml.chartshapes+xml"/>
  <Override PartName="/xl/charts/chart61.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64.xml" ContentType="application/vnd.openxmlformats-officedocument.drawingml.chartshapes+xml"/>
  <Override PartName="/xl/drawings/drawing65.xml" ContentType="application/vnd.openxmlformats-officedocument.drawing+xml"/>
  <Override PartName="/xl/charts/chart62.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66.xml" ContentType="application/vnd.openxmlformats-officedocument.drawingml.chartshapes+xml"/>
  <Override PartName="/xl/drawings/drawing67.xml" ContentType="application/vnd.openxmlformats-officedocument.drawing+xml"/>
  <Override PartName="/xl/charts/chart63.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68.xml" ContentType="application/vnd.openxmlformats-officedocument.drawingml.chartshapes+xml"/>
  <Override PartName="/xl/charts/chart64.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69.xml" ContentType="application/vnd.openxmlformats-officedocument.drawingml.chartshapes+xml"/>
  <Override PartName="/xl/charts/chart65.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70.xml" ContentType="application/vnd.openxmlformats-officedocument.drawingml.chartshapes+xml"/>
  <Override PartName="/xl/charts/chart66.xml" ContentType="application/vnd.openxmlformats-officedocument.drawingml.chart+xml"/>
  <Override PartName="/xl/drawings/drawing71.xml" ContentType="application/vnd.openxmlformats-officedocument.drawingml.chartshapes+xml"/>
  <Override PartName="/xl/charts/chart6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72.xml" ContentType="application/vnd.openxmlformats-officedocument.drawingml.chartshapes+xml"/>
  <Override PartName="/xl/drawings/drawing73.xml" ContentType="application/vnd.openxmlformats-officedocument.drawing+xml"/>
  <Override PartName="/xl/charts/chart6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74.xml" ContentType="application/vnd.openxmlformats-officedocument.drawingml.chartshapes+xml"/>
  <Override PartName="/xl/charts/chart6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75.xml" ContentType="application/vnd.openxmlformats-officedocument.drawingml.chartshapes+xml"/>
  <Override PartName="/xl/charts/chart70.xml" ContentType="application/vnd.openxmlformats-officedocument.drawingml.chart+xml"/>
  <Override PartName="/xl/drawings/drawing76.xml" ContentType="application/vnd.openxmlformats-officedocument.drawingml.chartshapes+xml"/>
  <Override PartName="/xl/drawings/drawing77.xml" ContentType="application/vnd.openxmlformats-officedocument.drawing+xml"/>
  <Override PartName="/xl/charts/chart7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78.xml" ContentType="application/vnd.openxmlformats-officedocument.drawingml.chartshapes+xml"/>
  <Override PartName="/xl/drawings/drawing79.xml" ContentType="application/vnd.openxmlformats-officedocument.drawing+xml"/>
  <Override PartName="/xl/charts/chart72.xml" ContentType="application/vnd.openxmlformats-officedocument.drawingml.chart+xml"/>
  <Override PartName="/xl/drawings/drawing80.xml" ContentType="application/vnd.openxmlformats-officedocument.drawingml.chartshapes+xml"/>
  <Override PartName="/xl/charts/chart73.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81.xml" ContentType="application/vnd.openxmlformats-officedocument.drawingml.chartshapes+xml"/>
  <Override PartName="/xl/charts/chart74.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82.xml" ContentType="application/vnd.openxmlformats-officedocument.drawingml.chartshapes+xml"/>
  <Override PartName="/xl/charts/chart75.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83.xml" ContentType="application/vnd.openxmlformats-officedocument.drawingml.chartshapes+xml"/>
  <Override PartName="/xl/charts/chart76.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84.xml" ContentType="application/vnd.openxmlformats-officedocument.drawingml.chartshapes+xml"/>
  <Override PartName="/xl/drawings/drawing85.xml" ContentType="application/vnd.openxmlformats-officedocument.drawing+xml"/>
  <Override PartName="/xl/charts/chart77.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86.xml" ContentType="application/vnd.openxmlformats-officedocument.drawingml.chartshapes+xml"/>
  <Override PartName="/xl/charts/chart78.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87.xml" ContentType="application/vnd.openxmlformats-officedocument.drawingml.chartshapes+xml"/>
  <Override PartName="/xl/charts/chart79.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88.xml" ContentType="application/vnd.openxmlformats-officedocument.drawingml.chartshapes+xml"/>
  <Override PartName="/xl/charts/chart80.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89.xml" ContentType="application/vnd.openxmlformats-officedocument.drawingml.chartshapes+xml"/>
  <Override PartName="/xl/charts/chart81.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82.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92.xml" ContentType="application/vnd.openxmlformats-officedocument.drawingml.chartshapes+xml"/>
  <Override PartName="/xl/charts/chart83.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93.xml" ContentType="application/vnd.openxmlformats-officedocument.drawingml.chartshapes+xml"/>
  <Override PartName="/xl/charts/chart84.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94.xml" ContentType="application/vnd.openxmlformats-officedocument.drawingml.chartshapes+xml"/>
  <Override PartName="/xl/charts/chart85.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95.xml" ContentType="application/vnd.openxmlformats-officedocument.drawingml.chartshapes+xml"/>
  <Override PartName="/xl/charts/chart86.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harts/chart87.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98.xml" ContentType="application/vnd.openxmlformats-officedocument.drawingml.chartshapes+xml"/>
  <Override PartName="/xl/charts/chart88.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99.xml" ContentType="application/vnd.openxmlformats-officedocument.drawingml.chartshapes+xml"/>
  <Override PartName="/xl/charts/chart89.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10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C:\Users\EF22423\Downloads\"/>
    </mc:Choice>
  </mc:AlternateContent>
  <xr:revisionPtr revIDLastSave="0" documentId="8_{F8B5C42D-AA61-43DA-A647-B5B55BAD4EB9}" xr6:coauthVersionLast="47" xr6:coauthVersionMax="47" xr10:uidLastSave="{00000000-0000-0000-0000-000000000000}"/>
  <bookViews>
    <workbookView xWindow="-23148" yWindow="-108" windowWidth="23256" windowHeight="12456" tabRatio="830" activeTab="2" xr2:uid="{00000000-000D-0000-FFFF-FFFF00000000}"/>
  </bookViews>
  <sheets>
    <sheet name="Content" sheetId="2" r:id="rId1"/>
    <sheet name="Ch2. Patents-in-Force" sheetId="1" r:id="rId2"/>
    <sheet name="Ch2. Cross filings" sheetId="27" r:id="rId3"/>
    <sheet name="Ch2. Budget" sheetId="3" r:id="rId4"/>
    <sheet name="Ch2. Staff" sheetId="4" r:id="rId5"/>
    <sheet name="Ch2. Production figures" sheetId="5" r:id="rId6"/>
    <sheet name="Ch3. Patent filings" sheetId="6" r:id="rId7"/>
    <sheet name="Ch3. First filings" sheetId="7" r:id="rId8"/>
    <sheet name="Ch3. Patent applications" sheetId="8" r:id="rId9"/>
    <sheet name="Ch3. Demand for patent rights" sheetId="9" r:id="rId10"/>
    <sheet name="Ch3. Granted patents" sheetId="10" r:id="rId11"/>
    <sheet name="Ch3. Patent Families" sheetId="32" r:id="rId12"/>
    <sheet name="Ch3. IP5 Patent Families" sheetId="12" r:id="rId13"/>
    <sheet name="Ch4. Patent applications filed" sheetId="13" r:id="rId14"/>
    <sheet name="Ch4. Applications technology" sheetId="14" r:id="rId15"/>
    <sheet name="Ch4. Applications leading Tech" sheetId="33" r:id="rId16"/>
    <sheet name="Ch4. Granted Patents" sheetId="26" r:id="rId17"/>
    <sheet name="Ch4. Grants technology" sheetId="28" r:id="rId18"/>
    <sheet name="Ch4. Grants leading Tech" sheetId="36" r:id="rId19"/>
    <sheet name="Ch4. Maintenance" sheetId="25" r:id="rId20"/>
    <sheet name="Ch4. Procedures " sheetId="24" r:id="rId21"/>
    <sheet name="Ch5. PCT as filing route " sheetId="35" r:id="rId22"/>
    <sheet name="Ch5. PCT authorities" sheetId="20" r:id="rId23"/>
    <sheet name="Ch.6 Other Work" sheetId="22" r:id="rId24"/>
  </sheets>
  <externalReferences>
    <externalReference r:id="rId25"/>
    <externalReference r:id="rId26"/>
    <externalReference r:id="rId27"/>
    <externalReference r:id="rId28"/>
    <externalReference r:id="rId29"/>
  </externalReferences>
  <definedNames>
    <definedName name="_ftn1" localSheetId="20">'Ch4. Procedures '!#REF!</definedName>
    <definedName name="_ftn2" localSheetId="20">'Ch4. Procedures '!#REF!</definedName>
    <definedName name="_ftn3" localSheetId="20">'Ch4. Procedures '!#REF!</definedName>
    <definedName name="_ftn4" localSheetId="20">'Ch4. Procedures '!#REF!</definedName>
    <definedName name="_ftn5" localSheetId="20">'Ch4. Procedures '!#REF!</definedName>
    <definedName name="_ftnref1" localSheetId="20">'Ch4. Procedures '!#REF!</definedName>
    <definedName name="_ftnref2" localSheetId="20">'Ch4. Procedures '!#REF!</definedName>
    <definedName name="_ftnref3" localSheetId="20">'Ch4. Procedures '!#REF!</definedName>
    <definedName name="_ftnref4" localSheetId="20">'Ch4. Procedures '!#REF!</definedName>
    <definedName name="_ftnref5" localSheetId="20">'Ch4. Procedures '!#REF!</definedName>
    <definedName name="_xlnm.Print_Area" localSheetId="23">'Ch.6 Other Work'!$A$1:$R$22</definedName>
    <definedName name="_xlnm.Print_Area" localSheetId="19">'Ch4. Maintenance'!$A$1:$K$6</definedName>
    <definedName name="_xlnm.Print_Area" localSheetId="0">Content!$B$4:$B$52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7" l="1"/>
  <c r="J14" i="27"/>
  <c r="K14" i="27"/>
  <c r="L14" i="27"/>
  <c r="BH150" i="33"/>
  <c r="AV149" i="33"/>
  <c r="BD102" i="33"/>
  <c r="BD98" i="33"/>
  <c r="BH149" i="33"/>
  <c r="AD168" i="33"/>
  <c r="AC22" i="22"/>
  <c r="AA188" i="20"/>
  <c r="Z188" i="20"/>
  <c r="Y188" i="20"/>
  <c r="X188" i="20"/>
  <c r="AA179" i="20"/>
  <c r="Z179" i="20"/>
  <c r="Y179" i="20"/>
  <c r="X179" i="20"/>
  <c r="AA177" i="20"/>
  <c r="Z177" i="20"/>
  <c r="AD35" i="20"/>
  <c r="AC35" i="20"/>
  <c r="AB35" i="20"/>
  <c r="AA35" i="20"/>
  <c r="Z35" i="20"/>
  <c r="Y35" i="20"/>
  <c r="X35" i="20"/>
  <c r="W35" i="20"/>
  <c r="V35" i="20"/>
  <c r="U35" i="20"/>
  <c r="T35" i="20"/>
  <c r="S35" i="20"/>
  <c r="R35" i="20"/>
  <c r="Q35" i="20"/>
  <c r="P35" i="20"/>
  <c r="O35" i="20"/>
  <c r="N35" i="20"/>
  <c r="M28" i="20"/>
  <c r="L28" i="20"/>
  <c r="K28" i="20"/>
  <c r="J28" i="20"/>
  <c r="I28" i="20"/>
  <c r="H28" i="20"/>
  <c r="G28" i="20"/>
  <c r="F28" i="20"/>
  <c r="E28" i="20"/>
  <c r="D28" i="20"/>
  <c r="C28" i="20"/>
  <c r="B28" i="20"/>
  <c r="AD25" i="20"/>
  <c r="AC25" i="20"/>
  <c r="AB25" i="20"/>
  <c r="AA25" i="20"/>
  <c r="Z25" i="20"/>
  <c r="Y25" i="20"/>
  <c r="X25" i="20"/>
  <c r="W25" i="20"/>
  <c r="V25" i="20"/>
  <c r="U25" i="20"/>
  <c r="T25" i="20"/>
  <c r="S25" i="20"/>
  <c r="M18" i="20"/>
  <c r="L18" i="20"/>
  <c r="K18" i="20"/>
  <c r="J18" i="20"/>
  <c r="I18" i="20"/>
  <c r="H18" i="20"/>
  <c r="G18" i="20"/>
  <c r="F18" i="20"/>
  <c r="E18" i="20"/>
  <c r="D18" i="20"/>
  <c r="C18" i="20"/>
  <c r="B18" i="20"/>
  <c r="AD14" i="20"/>
  <c r="AC14" i="20"/>
  <c r="AB14" i="20"/>
  <c r="AA14" i="20"/>
  <c r="Z14" i="20"/>
  <c r="Y14" i="20"/>
  <c r="M7" i="20"/>
  <c r="L7" i="20"/>
  <c r="K7" i="20"/>
  <c r="J7" i="20"/>
  <c r="I7" i="20"/>
  <c r="H7" i="20"/>
  <c r="G7" i="20"/>
  <c r="F7" i="20"/>
  <c r="E7" i="20"/>
  <c r="D7" i="20"/>
  <c r="C7" i="20"/>
  <c r="B7" i="20"/>
  <c r="U176" i="36"/>
  <c r="U175" i="36"/>
  <c r="U174" i="36"/>
  <c r="BL173" i="36"/>
  <c r="U173" i="36"/>
  <c r="BL172" i="36"/>
  <c r="U172" i="36"/>
  <c r="BL171" i="36"/>
  <c r="U171" i="36"/>
  <c r="BL170" i="36"/>
  <c r="U170" i="36"/>
  <c r="BL169" i="36"/>
  <c r="U169" i="36"/>
  <c r="BZ168" i="36"/>
  <c r="BL168" i="36"/>
  <c r="AX168" i="36"/>
  <c r="AJ168" i="36"/>
  <c r="V168" i="36"/>
  <c r="U168" i="36"/>
  <c r="BZ167" i="36"/>
  <c r="BL167" i="36"/>
  <c r="AX167" i="36"/>
  <c r="AJ167" i="36"/>
  <c r="V167" i="36"/>
  <c r="U167" i="36"/>
  <c r="BZ166" i="36"/>
  <c r="BL166" i="36"/>
  <c r="AX166" i="36"/>
  <c r="AJ166" i="36"/>
  <c r="V166" i="36"/>
  <c r="U166" i="36"/>
  <c r="BZ165" i="36"/>
  <c r="BL165" i="36"/>
  <c r="AX165" i="36"/>
  <c r="AJ165" i="36"/>
  <c r="V165" i="36"/>
  <c r="U165" i="36"/>
  <c r="BZ164" i="36"/>
  <c r="BL164" i="36"/>
  <c r="AX164" i="36"/>
  <c r="AJ164" i="36"/>
  <c r="V164" i="36"/>
  <c r="U164" i="36"/>
  <c r="BZ163" i="36"/>
  <c r="BL163" i="36"/>
  <c r="AX163" i="36"/>
  <c r="AJ163" i="36"/>
  <c r="V163" i="36"/>
  <c r="U163" i="36"/>
  <c r="BZ162" i="36"/>
  <c r="BL162" i="36"/>
  <c r="AX162" i="36"/>
  <c r="AJ162" i="36"/>
  <c r="AE162" i="36"/>
  <c r="AD162" i="36"/>
  <c r="AC162" i="36"/>
  <c r="AB162" i="36"/>
  <c r="AA162" i="36"/>
  <c r="Z162" i="36"/>
  <c r="Y162" i="36"/>
  <c r="X162" i="36"/>
  <c r="W162" i="36"/>
  <c r="V162" i="36"/>
  <c r="U162" i="36"/>
  <c r="BZ161" i="36"/>
  <c r="BU161" i="36"/>
  <c r="BT161" i="36"/>
  <c r="BS161" i="36"/>
  <c r="BR161" i="36"/>
  <c r="BQ161" i="36"/>
  <c r="BP161" i="36"/>
  <c r="BO161" i="36"/>
  <c r="BN161" i="36"/>
  <c r="BM161" i="36"/>
  <c r="BL161" i="36"/>
  <c r="BG161" i="36"/>
  <c r="BF161" i="36"/>
  <c r="BE161" i="36"/>
  <c r="BD161" i="36"/>
  <c r="BC161" i="36"/>
  <c r="BB161" i="36"/>
  <c r="BA161" i="36"/>
  <c r="AZ161" i="36"/>
  <c r="AY161" i="36"/>
  <c r="AX161" i="36"/>
  <c r="AS161" i="36"/>
  <c r="AR161" i="36"/>
  <c r="AQ161" i="36"/>
  <c r="AP161" i="36"/>
  <c r="AO161" i="36"/>
  <c r="AN161" i="36"/>
  <c r="AM161" i="36"/>
  <c r="AL161" i="36"/>
  <c r="AK161" i="36"/>
  <c r="AJ161" i="36"/>
  <c r="AE161" i="36"/>
  <c r="AD161" i="36"/>
  <c r="AC161" i="36"/>
  <c r="AB161" i="36"/>
  <c r="AA161" i="36"/>
  <c r="Z161" i="36"/>
  <c r="Y161" i="36"/>
  <c r="X161" i="36"/>
  <c r="W161" i="36"/>
  <c r="V161" i="36"/>
  <c r="U161" i="36"/>
  <c r="CI160" i="36"/>
  <c r="CH160" i="36"/>
  <c r="CG160" i="36"/>
  <c r="CF160" i="36"/>
  <c r="CE160" i="36"/>
  <c r="CD160" i="36"/>
  <c r="CC160" i="36"/>
  <c r="CB160" i="36"/>
  <c r="CA160" i="36"/>
  <c r="BZ160" i="36"/>
  <c r="BU160" i="36"/>
  <c r="BT160" i="36"/>
  <c r="BS160" i="36"/>
  <c r="BR160" i="36"/>
  <c r="BQ160" i="36"/>
  <c r="BP160" i="36"/>
  <c r="BO160" i="36"/>
  <c r="BN160" i="36"/>
  <c r="BM160" i="36"/>
  <c r="BL160" i="36"/>
  <c r="BG160" i="36"/>
  <c r="BF160" i="36"/>
  <c r="BE160" i="36"/>
  <c r="BD160" i="36"/>
  <c r="BC160" i="36"/>
  <c r="BB160" i="36"/>
  <c r="BA160" i="36"/>
  <c r="AZ160" i="36"/>
  <c r="AY160" i="36"/>
  <c r="AX160" i="36"/>
  <c r="AS160" i="36"/>
  <c r="AR160" i="36"/>
  <c r="AQ160" i="36"/>
  <c r="AP160" i="36"/>
  <c r="AO160" i="36"/>
  <c r="AN160" i="36"/>
  <c r="AM160" i="36"/>
  <c r="AL160" i="36"/>
  <c r="AK160" i="36"/>
  <c r="AJ160" i="36"/>
  <c r="AE160" i="36"/>
  <c r="AD160" i="36"/>
  <c r="AC160" i="36"/>
  <c r="AB160" i="36"/>
  <c r="AA160" i="36"/>
  <c r="Z160" i="36"/>
  <c r="Y160" i="36"/>
  <c r="X160" i="36"/>
  <c r="W160" i="36"/>
  <c r="V160" i="36"/>
  <c r="U160" i="36"/>
  <c r="CI159" i="36"/>
  <c r="CH159" i="36"/>
  <c r="CG159" i="36"/>
  <c r="CF159" i="36"/>
  <c r="CE159" i="36"/>
  <c r="CD159" i="36"/>
  <c r="CC159" i="36"/>
  <c r="CB159" i="36"/>
  <c r="CA159" i="36"/>
  <c r="BZ159" i="36"/>
  <c r="BU159" i="36"/>
  <c r="BT159" i="36"/>
  <c r="BS159" i="36"/>
  <c r="BR159" i="36"/>
  <c r="BQ159" i="36"/>
  <c r="BP159" i="36"/>
  <c r="BO159" i="36"/>
  <c r="BN159" i="36"/>
  <c r="BM159" i="36"/>
  <c r="BL159" i="36"/>
  <c r="BG159" i="36"/>
  <c r="BF159" i="36"/>
  <c r="BE159" i="36"/>
  <c r="BD159" i="36"/>
  <c r="BC159" i="36"/>
  <c r="BB159" i="36"/>
  <c r="BA159" i="36"/>
  <c r="AZ159" i="36"/>
  <c r="AY159" i="36"/>
  <c r="AX159" i="36"/>
  <c r="AS159" i="36"/>
  <c r="AR159" i="36"/>
  <c r="AQ159" i="36"/>
  <c r="AP159" i="36"/>
  <c r="AO159" i="36"/>
  <c r="AN159" i="36"/>
  <c r="AM159" i="36"/>
  <c r="AL159" i="36"/>
  <c r="AK159" i="36"/>
  <c r="AJ159" i="36"/>
  <c r="AE159" i="36"/>
  <c r="AD159" i="36"/>
  <c r="AC159" i="36"/>
  <c r="AB159" i="36"/>
  <c r="AA159" i="36"/>
  <c r="Z159" i="36"/>
  <c r="Y159" i="36"/>
  <c r="X159" i="36"/>
  <c r="W159" i="36"/>
  <c r="V159" i="36"/>
  <c r="U159" i="36"/>
  <c r="CI158" i="36"/>
  <c r="CH158" i="36"/>
  <c r="CG158" i="36"/>
  <c r="CF158" i="36"/>
  <c r="CE158" i="36"/>
  <c r="CD158" i="36"/>
  <c r="CC158" i="36"/>
  <c r="CB158" i="36"/>
  <c r="CA158" i="36"/>
  <c r="BZ158" i="36"/>
  <c r="BU158" i="36"/>
  <c r="BT158" i="36"/>
  <c r="BS158" i="36"/>
  <c r="BR158" i="36"/>
  <c r="BQ158" i="36"/>
  <c r="BP158" i="36"/>
  <c r="BO158" i="36"/>
  <c r="BN158" i="36"/>
  <c r="BM158" i="36"/>
  <c r="BL158" i="36"/>
  <c r="BG158" i="36"/>
  <c r="BF158" i="36"/>
  <c r="BE158" i="36"/>
  <c r="BD158" i="36"/>
  <c r="BC158" i="36"/>
  <c r="BB158" i="36"/>
  <c r="BA158" i="36"/>
  <c r="AZ158" i="36"/>
  <c r="AY158" i="36"/>
  <c r="AX158" i="36"/>
  <c r="AS158" i="36"/>
  <c r="AR158" i="36"/>
  <c r="AQ158" i="36"/>
  <c r="AP158" i="36"/>
  <c r="AO158" i="36"/>
  <c r="AN158" i="36"/>
  <c r="AM158" i="36"/>
  <c r="AL158" i="36"/>
  <c r="AK158" i="36"/>
  <c r="AJ158" i="36"/>
  <c r="AE158" i="36"/>
  <c r="AD158" i="36"/>
  <c r="AC158" i="36"/>
  <c r="AB158" i="36"/>
  <c r="AA158" i="36"/>
  <c r="Z158" i="36"/>
  <c r="Y158" i="36"/>
  <c r="X158" i="36"/>
  <c r="W158" i="36"/>
  <c r="V158" i="36"/>
  <c r="U158" i="36"/>
  <c r="CI157" i="36"/>
  <c r="CH157" i="36"/>
  <c r="CG157" i="36"/>
  <c r="CF157" i="36"/>
  <c r="CE157" i="36"/>
  <c r="CD157" i="36"/>
  <c r="CC157" i="36"/>
  <c r="CB157" i="36"/>
  <c r="CA157" i="36"/>
  <c r="BZ157" i="36"/>
  <c r="BU157" i="36"/>
  <c r="BT157" i="36"/>
  <c r="BS157" i="36"/>
  <c r="BR157" i="36"/>
  <c r="BQ157" i="36"/>
  <c r="BP157" i="36"/>
  <c r="BO157" i="36"/>
  <c r="BN157" i="36"/>
  <c r="BM157" i="36"/>
  <c r="BL157" i="36"/>
  <c r="BG157" i="36"/>
  <c r="BF157" i="36"/>
  <c r="BE157" i="36"/>
  <c r="BD157" i="36"/>
  <c r="BC157" i="36"/>
  <c r="BB157" i="36"/>
  <c r="BA157" i="36"/>
  <c r="AZ157" i="36"/>
  <c r="AY157" i="36"/>
  <c r="AX157" i="36"/>
  <c r="AS157" i="36"/>
  <c r="AR157" i="36"/>
  <c r="AQ157" i="36"/>
  <c r="AP157" i="36"/>
  <c r="AO157" i="36"/>
  <c r="AN157" i="36"/>
  <c r="AM157" i="36"/>
  <c r="AL157" i="36"/>
  <c r="AK157" i="36"/>
  <c r="AJ157" i="36"/>
  <c r="AE157" i="36"/>
  <c r="AD157" i="36"/>
  <c r="AC157" i="36"/>
  <c r="AB157" i="36"/>
  <c r="AA157" i="36"/>
  <c r="Z157" i="36"/>
  <c r="Y157" i="36"/>
  <c r="X157" i="36"/>
  <c r="W157" i="36"/>
  <c r="V157" i="36"/>
  <c r="U157" i="36"/>
  <c r="CI156" i="36"/>
  <c r="CH156" i="36"/>
  <c r="CG156" i="36"/>
  <c r="CF156" i="36"/>
  <c r="CE156" i="36"/>
  <c r="CD156" i="36"/>
  <c r="CC156" i="36"/>
  <c r="CB156" i="36"/>
  <c r="CA156" i="36"/>
  <c r="BZ156" i="36"/>
  <c r="BU156" i="36"/>
  <c r="BT156" i="36"/>
  <c r="BS156" i="36"/>
  <c r="BR156" i="36"/>
  <c r="BQ156" i="36"/>
  <c r="BP156" i="36"/>
  <c r="BO156" i="36"/>
  <c r="BN156" i="36"/>
  <c r="BM156" i="36"/>
  <c r="BL156" i="36"/>
  <c r="BG156" i="36"/>
  <c r="BF156" i="36"/>
  <c r="BE156" i="36"/>
  <c r="BD156" i="36"/>
  <c r="BC156" i="36"/>
  <c r="BB156" i="36"/>
  <c r="BA156" i="36"/>
  <c r="AZ156" i="36"/>
  <c r="AY156" i="36"/>
  <c r="AX156" i="36"/>
  <c r="AS156" i="36"/>
  <c r="AR156" i="36"/>
  <c r="AQ156" i="36"/>
  <c r="AP156" i="36"/>
  <c r="AO156" i="36"/>
  <c r="AN156" i="36"/>
  <c r="AM156" i="36"/>
  <c r="AL156" i="36"/>
  <c r="AK156" i="36"/>
  <c r="AJ156" i="36"/>
  <c r="AE156" i="36"/>
  <c r="AD156" i="36"/>
  <c r="AC156" i="36"/>
  <c r="AB156" i="36"/>
  <c r="AA156" i="36"/>
  <c r="Z156" i="36"/>
  <c r="Y156" i="36"/>
  <c r="X156" i="36"/>
  <c r="W156" i="36"/>
  <c r="V156" i="36"/>
  <c r="U156" i="36"/>
  <c r="CI155" i="36"/>
  <c r="CH155" i="36"/>
  <c r="CG155" i="36"/>
  <c r="CF155" i="36"/>
  <c r="CE155" i="36"/>
  <c r="CD155" i="36"/>
  <c r="CC155" i="36"/>
  <c r="CB155" i="36"/>
  <c r="CA155" i="36"/>
  <c r="BZ155" i="36"/>
  <c r="BU155" i="36"/>
  <c r="BT155" i="36"/>
  <c r="BS155" i="36"/>
  <c r="BR155" i="36"/>
  <c r="BQ155" i="36"/>
  <c r="BP155" i="36"/>
  <c r="BO155" i="36"/>
  <c r="BN155" i="36"/>
  <c r="BM155" i="36"/>
  <c r="BL155" i="36"/>
  <c r="BG155" i="36"/>
  <c r="BF155" i="36"/>
  <c r="BE155" i="36"/>
  <c r="BD155" i="36"/>
  <c r="BC155" i="36"/>
  <c r="BB155" i="36"/>
  <c r="BA155" i="36"/>
  <c r="AZ155" i="36"/>
  <c r="AY155" i="36"/>
  <c r="AX155" i="36"/>
  <c r="AS155" i="36"/>
  <c r="AR155" i="36"/>
  <c r="AQ155" i="36"/>
  <c r="AP155" i="36"/>
  <c r="AO155" i="36"/>
  <c r="AN155" i="36"/>
  <c r="AM155" i="36"/>
  <c r="AL155" i="36"/>
  <c r="AK155" i="36"/>
  <c r="AJ155" i="36"/>
  <c r="AE155" i="36"/>
  <c r="AD155" i="36"/>
  <c r="AC155" i="36"/>
  <c r="AB155" i="36"/>
  <c r="AA155" i="36"/>
  <c r="Z155" i="36"/>
  <c r="Y155" i="36"/>
  <c r="X155" i="36"/>
  <c r="W155" i="36"/>
  <c r="V155" i="36"/>
  <c r="U155" i="36"/>
  <c r="CI154" i="36"/>
  <c r="CH154" i="36"/>
  <c r="CG154" i="36"/>
  <c r="CF154" i="36"/>
  <c r="CE154" i="36"/>
  <c r="CD154" i="36"/>
  <c r="CC154" i="36"/>
  <c r="CB154" i="36"/>
  <c r="CA154" i="36"/>
  <c r="BZ154" i="36"/>
  <c r="BU154" i="36"/>
  <c r="BT154" i="36"/>
  <c r="BS154" i="36"/>
  <c r="BR154" i="36"/>
  <c r="BQ154" i="36"/>
  <c r="BP154" i="36"/>
  <c r="BO154" i="36"/>
  <c r="BN154" i="36"/>
  <c r="BM154" i="36"/>
  <c r="BL154" i="36"/>
  <c r="BG154" i="36"/>
  <c r="BF154" i="36"/>
  <c r="BE154" i="36"/>
  <c r="BD154" i="36"/>
  <c r="BC154" i="36"/>
  <c r="BB154" i="36"/>
  <c r="BA154" i="36"/>
  <c r="AZ154" i="36"/>
  <c r="AY154" i="36"/>
  <c r="AX154" i="36"/>
  <c r="AS154" i="36"/>
  <c r="AR154" i="36"/>
  <c r="AQ154" i="36"/>
  <c r="AP154" i="36"/>
  <c r="AO154" i="36"/>
  <c r="AN154" i="36"/>
  <c r="AM154" i="36"/>
  <c r="AL154" i="36"/>
  <c r="AK154" i="36"/>
  <c r="AJ154" i="36"/>
  <c r="AE154" i="36"/>
  <c r="AD154" i="36"/>
  <c r="AC154" i="36"/>
  <c r="AB154" i="36"/>
  <c r="AA154" i="36"/>
  <c r="Z154" i="36"/>
  <c r="Y154" i="36"/>
  <c r="X154" i="36"/>
  <c r="W154" i="36"/>
  <c r="V154" i="36"/>
  <c r="U154" i="36"/>
  <c r="CI153" i="36"/>
  <c r="CH153" i="36"/>
  <c r="CG153" i="36"/>
  <c r="CF153" i="36"/>
  <c r="CE153" i="36"/>
  <c r="CD153" i="36"/>
  <c r="CC153" i="36"/>
  <c r="CB153" i="36"/>
  <c r="CA153" i="36"/>
  <c r="BZ153" i="36"/>
  <c r="BU153" i="36"/>
  <c r="BT153" i="36"/>
  <c r="BS153" i="36"/>
  <c r="BR153" i="36"/>
  <c r="BQ153" i="36"/>
  <c r="BP153" i="36"/>
  <c r="BO153" i="36"/>
  <c r="BN153" i="36"/>
  <c r="BM153" i="36"/>
  <c r="BL153" i="36"/>
  <c r="BG153" i="36"/>
  <c r="BF153" i="36"/>
  <c r="BE153" i="36"/>
  <c r="BD153" i="36"/>
  <c r="BC153" i="36"/>
  <c r="BB153" i="36"/>
  <c r="BA153" i="36"/>
  <c r="AZ153" i="36"/>
  <c r="AY153" i="36"/>
  <c r="AX153" i="36"/>
  <c r="AS153" i="36"/>
  <c r="AR153" i="36"/>
  <c r="AQ153" i="36"/>
  <c r="AP153" i="36"/>
  <c r="AO153" i="36"/>
  <c r="AN153" i="36"/>
  <c r="AM153" i="36"/>
  <c r="AL153" i="36"/>
  <c r="AK153" i="36"/>
  <c r="AJ153" i="36"/>
  <c r="AE153" i="36"/>
  <c r="AD153" i="36"/>
  <c r="AC153" i="36"/>
  <c r="AB153" i="36"/>
  <c r="AA153" i="36"/>
  <c r="Z153" i="36"/>
  <c r="Y153" i="36"/>
  <c r="X153" i="36"/>
  <c r="W153" i="36"/>
  <c r="V153" i="36"/>
  <c r="U153" i="36"/>
  <c r="CI152" i="36"/>
  <c r="CH152" i="36"/>
  <c r="CG152" i="36"/>
  <c r="CF152" i="36"/>
  <c r="CE152" i="36"/>
  <c r="CD152" i="36"/>
  <c r="CC152" i="36"/>
  <c r="CB152" i="36"/>
  <c r="CA152" i="36"/>
  <c r="BZ152" i="36"/>
  <c r="BU152" i="36"/>
  <c r="BT152" i="36"/>
  <c r="BS152" i="36"/>
  <c r="BR152" i="36"/>
  <c r="BQ152" i="36"/>
  <c r="BP152" i="36"/>
  <c r="BO152" i="36"/>
  <c r="BN152" i="36"/>
  <c r="BM152" i="36"/>
  <c r="BL152" i="36"/>
  <c r="BG152" i="36"/>
  <c r="BF152" i="36"/>
  <c r="BE152" i="36"/>
  <c r="BD152" i="36"/>
  <c r="BC152" i="36"/>
  <c r="BB152" i="36"/>
  <c r="BA152" i="36"/>
  <c r="AZ152" i="36"/>
  <c r="AY152" i="36"/>
  <c r="AX152" i="36"/>
  <c r="AS152" i="36"/>
  <c r="AR152" i="36"/>
  <c r="AQ152" i="36"/>
  <c r="AP152" i="36"/>
  <c r="AO152" i="36"/>
  <c r="AN152" i="36"/>
  <c r="AM152" i="36"/>
  <c r="AL152" i="36"/>
  <c r="AK152" i="36"/>
  <c r="AJ152" i="36"/>
  <c r="AE152" i="36"/>
  <c r="AD152" i="36"/>
  <c r="AC152" i="36"/>
  <c r="AB152" i="36"/>
  <c r="AA152" i="36"/>
  <c r="Z152" i="36"/>
  <c r="Y152" i="36"/>
  <c r="X152" i="36"/>
  <c r="W152" i="36"/>
  <c r="V152" i="36"/>
  <c r="U152" i="36"/>
  <c r="CI151" i="36"/>
  <c r="CH151" i="36"/>
  <c r="CG151" i="36"/>
  <c r="CF151" i="36"/>
  <c r="CE151" i="36"/>
  <c r="CD151" i="36"/>
  <c r="CC151" i="36"/>
  <c r="CB151" i="36"/>
  <c r="CA151" i="36"/>
  <c r="BZ151" i="36"/>
  <c r="BU151" i="36"/>
  <c r="BT151" i="36"/>
  <c r="BS151" i="36"/>
  <c r="BR151" i="36"/>
  <c r="BQ151" i="36"/>
  <c r="BP151" i="36"/>
  <c r="BO151" i="36"/>
  <c r="BN151" i="36"/>
  <c r="BM151" i="36"/>
  <c r="BL151" i="36"/>
  <c r="BG151" i="36"/>
  <c r="BF151" i="36"/>
  <c r="BE151" i="36"/>
  <c r="BD151" i="36"/>
  <c r="BC151" i="36"/>
  <c r="BB151" i="36"/>
  <c r="BA151" i="36"/>
  <c r="AZ151" i="36"/>
  <c r="AY151" i="36"/>
  <c r="AX151" i="36"/>
  <c r="AS151" i="36"/>
  <c r="AR151" i="36"/>
  <c r="AQ151" i="36"/>
  <c r="AP151" i="36"/>
  <c r="AO151" i="36"/>
  <c r="AN151" i="36"/>
  <c r="AM151" i="36"/>
  <c r="AL151" i="36"/>
  <c r="AK151" i="36"/>
  <c r="AJ151" i="36"/>
  <c r="AE151" i="36"/>
  <c r="AD151" i="36"/>
  <c r="AC151" i="36"/>
  <c r="AB151" i="36"/>
  <c r="AA151" i="36"/>
  <c r="Z151" i="36"/>
  <c r="Y151" i="36"/>
  <c r="X151" i="36"/>
  <c r="W151" i="36"/>
  <c r="V151" i="36"/>
  <c r="U151" i="36"/>
  <c r="CI150" i="36"/>
  <c r="CH150" i="36"/>
  <c r="CG150" i="36"/>
  <c r="CF150" i="36"/>
  <c r="CE150" i="36"/>
  <c r="CD150" i="36"/>
  <c r="CC150" i="36"/>
  <c r="CB150" i="36"/>
  <c r="CA150" i="36"/>
  <c r="BZ150" i="36"/>
  <c r="BU150" i="36"/>
  <c r="BT150" i="36"/>
  <c r="BS150" i="36"/>
  <c r="BR150" i="36"/>
  <c r="BQ150" i="36"/>
  <c r="BP150" i="36"/>
  <c r="BO150" i="36"/>
  <c r="BN150" i="36"/>
  <c r="BM150" i="36"/>
  <c r="BL150" i="36"/>
  <c r="BG150" i="36"/>
  <c r="BF150" i="36"/>
  <c r="BE150" i="36"/>
  <c r="BD150" i="36"/>
  <c r="BC150" i="36"/>
  <c r="BB150" i="36"/>
  <c r="BA150" i="36"/>
  <c r="AZ150" i="36"/>
  <c r="AY150" i="36"/>
  <c r="AX150" i="36"/>
  <c r="AS150" i="36"/>
  <c r="AR150" i="36"/>
  <c r="AQ150" i="36"/>
  <c r="AP150" i="36"/>
  <c r="AO150" i="36"/>
  <c r="AN150" i="36"/>
  <c r="AM150" i="36"/>
  <c r="AL150" i="36"/>
  <c r="AK150" i="36"/>
  <c r="AJ150" i="36"/>
  <c r="AE150" i="36"/>
  <c r="AD150" i="36"/>
  <c r="AC150" i="36"/>
  <c r="AB150" i="36"/>
  <c r="AA150" i="36"/>
  <c r="Z150" i="36"/>
  <c r="Y150" i="36"/>
  <c r="X150" i="36"/>
  <c r="W150" i="36"/>
  <c r="V150" i="36"/>
  <c r="U150" i="36"/>
  <c r="CH149" i="36"/>
  <c r="CG149" i="36"/>
  <c r="CF149" i="36"/>
  <c r="CE149" i="36"/>
  <c r="CD149" i="36"/>
  <c r="CC149" i="36"/>
  <c r="CB149" i="36"/>
  <c r="CA149" i="36"/>
  <c r="BZ149" i="36"/>
  <c r="BT149" i="36"/>
  <c r="BS149" i="36"/>
  <c r="BR149" i="36"/>
  <c r="BQ149" i="36"/>
  <c r="BP149" i="36"/>
  <c r="BO149" i="36"/>
  <c r="BN149" i="36"/>
  <c r="BM149" i="36"/>
  <c r="BL149" i="36"/>
  <c r="BG149" i="36"/>
  <c r="BF149" i="36"/>
  <c r="BE149" i="36"/>
  <c r="BD149" i="36"/>
  <c r="BC149" i="36"/>
  <c r="BB149" i="36"/>
  <c r="BA149" i="36"/>
  <c r="AZ149" i="36"/>
  <c r="AY149" i="36"/>
  <c r="AX149" i="36"/>
  <c r="AR149" i="36"/>
  <c r="AQ149" i="36"/>
  <c r="AP149" i="36"/>
  <c r="AO149" i="36"/>
  <c r="AN149" i="36"/>
  <c r="AM149" i="36"/>
  <c r="AL149" i="36"/>
  <c r="AK149" i="36"/>
  <c r="AJ149" i="36"/>
  <c r="AD149" i="36"/>
  <c r="AC149" i="36"/>
  <c r="AB149" i="36"/>
  <c r="AA149" i="36"/>
  <c r="Z149" i="36"/>
  <c r="Y149" i="36"/>
  <c r="X149" i="36"/>
  <c r="W149" i="36"/>
  <c r="V149" i="36"/>
  <c r="CI148" i="36"/>
  <c r="CH148" i="36"/>
  <c r="CG148" i="36"/>
  <c r="CF148" i="36"/>
  <c r="CE148" i="36"/>
  <c r="CD148" i="36"/>
  <c r="CC148" i="36"/>
  <c r="CB148" i="36"/>
  <c r="CA148" i="36"/>
  <c r="BU148" i="36"/>
  <c r="BT148" i="36"/>
  <c r="BS148" i="36"/>
  <c r="BR148" i="36"/>
  <c r="BQ148" i="36"/>
  <c r="BP148" i="36"/>
  <c r="BO148" i="36"/>
  <c r="BN148" i="36"/>
  <c r="BM148" i="36"/>
  <c r="BG148" i="36"/>
  <c r="BF148" i="36"/>
  <c r="BE148" i="36"/>
  <c r="BD148" i="36"/>
  <c r="BC148" i="36"/>
  <c r="BB148" i="36"/>
  <c r="BA148" i="36"/>
  <c r="AZ148" i="36"/>
  <c r="AY148" i="36"/>
  <c r="AS148" i="36"/>
  <c r="AR148" i="36"/>
  <c r="AQ148" i="36"/>
  <c r="AP148" i="36"/>
  <c r="AO148" i="36"/>
  <c r="AN148" i="36"/>
  <c r="AM148" i="36"/>
  <c r="AL148" i="36"/>
  <c r="AK148" i="36"/>
  <c r="AE148" i="36"/>
  <c r="AD148" i="36"/>
  <c r="AC148" i="36"/>
  <c r="AB148" i="36"/>
  <c r="AA148" i="36"/>
  <c r="Z148" i="36"/>
  <c r="Y148" i="36"/>
  <c r="X148" i="36"/>
  <c r="W148" i="36"/>
  <c r="U147" i="36"/>
  <c r="U146" i="36"/>
  <c r="U145" i="36"/>
  <c r="U144" i="36"/>
  <c r="U143" i="36"/>
  <c r="U142" i="36"/>
  <c r="U141" i="36"/>
  <c r="U140" i="36"/>
  <c r="U139" i="36"/>
  <c r="U138" i="36"/>
  <c r="U137" i="36"/>
  <c r="U136" i="36"/>
  <c r="U135" i="36"/>
  <c r="U134" i="36"/>
  <c r="CM133" i="36" a="1"/>
  <c r="CM133" i="36"/>
  <c r="CK133" i="36" a="1"/>
  <c r="CK133" i="36"/>
  <c r="BY133" i="36" a="1"/>
  <c r="BY133" i="36"/>
  <c r="BW133" i="36" a="1"/>
  <c r="BW133" i="36"/>
  <c r="BK133" i="36" a="1"/>
  <c r="BK133" i="36"/>
  <c r="BI133" i="36" a="1"/>
  <c r="BI133" i="36"/>
  <c r="AW133" i="36" a="1"/>
  <c r="AW133" i="36"/>
  <c r="AU133" i="36" a="1"/>
  <c r="AU133" i="36"/>
  <c r="AI133" i="36" a="1"/>
  <c r="AI133" i="36"/>
  <c r="AG133" i="36" a="1"/>
  <c r="AG133" i="36"/>
  <c r="U133" i="36"/>
  <c r="CM132" i="36"/>
  <c r="CL132" i="36"/>
  <c r="CK132" i="36"/>
  <c r="CJ132" i="36"/>
  <c r="CI132" i="36"/>
  <c r="CH132" i="36"/>
  <c r="CG132" i="36"/>
  <c r="CF132" i="36"/>
  <c r="CE132" i="36"/>
  <c r="CD132" i="36"/>
  <c r="CC132" i="36"/>
  <c r="CB132" i="36"/>
  <c r="CA132" i="36"/>
  <c r="BY132" i="36"/>
  <c r="BX132" i="36"/>
  <c r="BW132" i="36"/>
  <c r="BV132" i="36"/>
  <c r="BU132" i="36"/>
  <c r="BT132" i="36"/>
  <c r="BS132" i="36"/>
  <c r="BR132" i="36"/>
  <c r="BQ132" i="36"/>
  <c r="BP132" i="36"/>
  <c r="BO132" i="36"/>
  <c r="BN132" i="36"/>
  <c r="BM132" i="36"/>
  <c r="BK132" i="36"/>
  <c r="BJ132" i="36"/>
  <c r="BI132" i="36"/>
  <c r="BH132" i="36"/>
  <c r="BG132" i="36"/>
  <c r="BF132" i="36"/>
  <c r="BE132" i="36"/>
  <c r="BD132" i="36"/>
  <c r="BC132" i="36"/>
  <c r="BB132" i="36"/>
  <c r="BA132" i="36"/>
  <c r="AZ132" i="36"/>
  <c r="AY132" i="36"/>
  <c r="AW132" i="36"/>
  <c r="AV132" i="36"/>
  <c r="AU132" i="36"/>
  <c r="AT132" i="36"/>
  <c r="AS132" i="36"/>
  <c r="AR132" i="36"/>
  <c r="AQ132" i="36"/>
  <c r="AP132" i="36"/>
  <c r="AO132" i="36"/>
  <c r="AN132" i="36"/>
  <c r="AM132" i="36"/>
  <c r="AL132" i="36"/>
  <c r="AK132" i="36"/>
  <c r="AI132" i="36"/>
  <c r="AH132" i="36"/>
  <c r="AG132" i="36"/>
  <c r="AF132" i="36"/>
  <c r="AE132" i="36"/>
  <c r="AD132" i="36"/>
  <c r="AC132" i="36"/>
  <c r="AB132" i="36"/>
  <c r="AA132" i="36"/>
  <c r="Z132" i="36"/>
  <c r="Y132" i="36"/>
  <c r="X132" i="36"/>
  <c r="W132" i="36"/>
  <c r="U132" i="36"/>
  <c r="CM131" i="36"/>
  <c r="CL131" i="36"/>
  <c r="CK131" i="36"/>
  <c r="CJ131" i="36"/>
  <c r="CI131" i="36"/>
  <c r="CH131" i="36"/>
  <c r="CG131" i="36"/>
  <c r="CF131" i="36"/>
  <c r="CE131" i="36"/>
  <c r="CD131" i="36"/>
  <c r="CC131" i="36"/>
  <c r="CB131" i="36"/>
  <c r="CA131" i="36"/>
  <c r="BY131" i="36"/>
  <c r="BX131" i="36"/>
  <c r="BW131" i="36"/>
  <c r="BV131" i="36"/>
  <c r="BU131" i="36"/>
  <c r="BT131" i="36"/>
  <c r="BS131" i="36"/>
  <c r="BR131" i="36"/>
  <c r="BQ131" i="36"/>
  <c r="BP131" i="36"/>
  <c r="BO131" i="36"/>
  <c r="BN131" i="36"/>
  <c r="BM131" i="36"/>
  <c r="BK131" i="36"/>
  <c r="BJ131" i="36"/>
  <c r="BI131" i="36"/>
  <c r="BH131" i="36"/>
  <c r="BG131" i="36"/>
  <c r="BF131" i="36"/>
  <c r="BE131" i="36"/>
  <c r="BD131" i="36"/>
  <c r="BC131" i="36"/>
  <c r="BB131" i="36"/>
  <c r="BA131" i="36"/>
  <c r="AZ131" i="36"/>
  <c r="AY131" i="36"/>
  <c r="AW131" i="36"/>
  <c r="AV131" i="36"/>
  <c r="AU131" i="36"/>
  <c r="AT131" i="36"/>
  <c r="AS131" i="36"/>
  <c r="AR131" i="36"/>
  <c r="AQ131" i="36"/>
  <c r="AP131" i="36"/>
  <c r="AO131" i="36"/>
  <c r="AN131" i="36"/>
  <c r="AM131" i="36"/>
  <c r="AL131" i="36"/>
  <c r="AK131" i="36"/>
  <c r="AI131" i="36"/>
  <c r="AH131" i="36"/>
  <c r="AG131" i="36"/>
  <c r="AF131" i="36"/>
  <c r="AE131" i="36"/>
  <c r="AD131" i="36"/>
  <c r="AC131" i="36"/>
  <c r="AB131" i="36"/>
  <c r="AA131" i="36"/>
  <c r="Z131" i="36"/>
  <c r="Y131" i="36"/>
  <c r="X131" i="36"/>
  <c r="W131" i="36"/>
  <c r="U131" i="36"/>
  <c r="CM130" i="36"/>
  <c r="CL130" i="36"/>
  <c r="CK130" i="36"/>
  <c r="CJ130" i="36"/>
  <c r="CI130" i="36"/>
  <c r="CH130" i="36"/>
  <c r="CG130" i="36"/>
  <c r="CF130" i="36"/>
  <c r="CE130" i="36"/>
  <c r="CD130" i="36"/>
  <c r="CC130" i="36"/>
  <c r="CB130" i="36"/>
  <c r="CA130" i="36"/>
  <c r="BY130" i="36"/>
  <c r="BX130" i="36"/>
  <c r="BW130" i="36"/>
  <c r="BV130" i="36"/>
  <c r="BU130" i="36"/>
  <c r="BT130" i="36"/>
  <c r="BS130" i="36"/>
  <c r="BR130" i="36"/>
  <c r="BQ130" i="36"/>
  <c r="BP130" i="36"/>
  <c r="BO130" i="36"/>
  <c r="BN130" i="36"/>
  <c r="BM130" i="36"/>
  <c r="BK130" i="36"/>
  <c r="BJ130" i="36"/>
  <c r="BI130" i="36"/>
  <c r="BH130" i="36"/>
  <c r="BG130" i="36"/>
  <c r="BF130" i="36"/>
  <c r="BE130" i="36"/>
  <c r="BD130" i="36"/>
  <c r="BC130" i="36"/>
  <c r="BB130" i="36"/>
  <c r="BA130" i="36"/>
  <c r="AZ130" i="36"/>
  <c r="AY130" i="36"/>
  <c r="AW130" i="36"/>
  <c r="AV130" i="36"/>
  <c r="AU130" i="36"/>
  <c r="AT130" i="36"/>
  <c r="AS130" i="36"/>
  <c r="AR130" i="36"/>
  <c r="AQ130" i="36"/>
  <c r="AP130" i="36"/>
  <c r="AO130" i="36"/>
  <c r="AN130" i="36"/>
  <c r="AM130" i="36"/>
  <c r="AL130" i="36"/>
  <c r="AK130" i="36"/>
  <c r="AI130" i="36"/>
  <c r="AH130" i="36"/>
  <c r="AG130" i="36"/>
  <c r="AF130" i="36"/>
  <c r="AE130" i="36"/>
  <c r="AD130" i="36"/>
  <c r="AC130" i="36"/>
  <c r="AB130" i="36"/>
  <c r="AA130" i="36"/>
  <c r="Z130" i="36"/>
  <c r="Y130" i="36"/>
  <c r="X130" i="36"/>
  <c r="W130" i="36"/>
  <c r="U130" i="36"/>
  <c r="CM129" i="36"/>
  <c r="CL129" i="36"/>
  <c r="CK129" i="36"/>
  <c r="CJ129" i="36"/>
  <c r="CI129" i="36"/>
  <c r="CH129" i="36"/>
  <c r="CG129" i="36"/>
  <c r="CF129" i="36"/>
  <c r="CE129" i="36"/>
  <c r="CD129" i="36"/>
  <c r="CC129" i="36"/>
  <c r="CB129" i="36"/>
  <c r="CA129" i="36"/>
  <c r="BY129" i="36"/>
  <c r="BX129" i="36"/>
  <c r="BW129" i="36"/>
  <c r="BV129" i="36"/>
  <c r="BU129" i="36"/>
  <c r="BT129" i="36"/>
  <c r="BS129" i="36"/>
  <c r="BR129" i="36"/>
  <c r="BQ129" i="36"/>
  <c r="BP129" i="36"/>
  <c r="BO129" i="36"/>
  <c r="BN129" i="36"/>
  <c r="BM129" i="36"/>
  <c r="BK129" i="36"/>
  <c r="BJ129" i="36"/>
  <c r="BI129" i="36"/>
  <c r="BH129" i="36"/>
  <c r="BG129" i="36"/>
  <c r="BF129" i="36"/>
  <c r="BE129" i="36"/>
  <c r="BD129" i="36"/>
  <c r="BC129" i="36"/>
  <c r="BB129" i="36"/>
  <c r="BA129" i="36"/>
  <c r="AZ129" i="36"/>
  <c r="AY129" i="36"/>
  <c r="AW129" i="36"/>
  <c r="AV129" i="36"/>
  <c r="AU129" i="36"/>
  <c r="AT129" i="36"/>
  <c r="AS129" i="36"/>
  <c r="AR129" i="36"/>
  <c r="AQ129" i="36"/>
  <c r="AP129" i="36"/>
  <c r="AO129" i="36"/>
  <c r="AN129" i="36"/>
  <c r="AM129" i="36"/>
  <c r="AL129" i="36"/>
  <c r="AK129" i="36"/>
  <c r="AI129" i="36"/>
  <c r="AH129" i="36"/>
  <c r="AG129" i="36"/>
  <c r="AF129" i="36"/>
  <c r="AE129" i="36"/>
  <c r="AD129" i="36"/>
  <c r="AC129" i="36"/>
  <c r="AB129" i="36"/>
  <c r="AA129" i="36"/>
  <c r="Z129" i="36"/>
  <c r="Y129" i="36"/>
  <c r="X129" i="36"/>
  <c r="W129" i="36"/>
  <c r="U129" i="36"/>
  <c r="CM128" i="36"/>
  <c r="CL128" i="36"/>
  <c r="CK128" i="36"/>
  <c r="CJ128" i="36"/>
  <c r="CI128" i="36"/>
  <c r="CH128" i="36"/>
  <c r="CG128" i="36"/>
  <c r="CF128" i="36"/>
  <c r="CE128" i="36"/>
  <c r="CD128" i="36"/>
  <c r="CC128" i="36"/>
  <c r="CB128" i="36"/>
  <c r="CA128" i="36"/>
  <c r="BY128" i="36"/>
  <c r="BX128" i="36"/>
  <c r="BW128" i="36"/>
  <c r="BV128" i="36"/>
  <c r="BU128" i="36"/>
  <c r="BT128" i="36"/>
  <c r="BS128" i="36"/>
  <c r="BR128" i="36"/>
  <c r="BQ128" i="36"/>
  <c r="BP128" i="36"/>
  <c r="BO128" i="36"/>
  <c r="BN128" i="36"/>
  <c r="BM128" i="36"/>
  <c r="BK128" i="36"/>
  <c r="BJ128" i="36"/>
  <c r="BI128" i="36"/>
  <c r="BH128" i="36"/>
  <c r="BG128" i="36"/>
  <c r="BF128" i="36"/>
  <c r="BE128" i="36"/>
  <c r="BD128" i="36"/>
  <c r="BC128" i="36"/>
  <c r="BB128" i="36"/>
  <c r="BA128" i="36"/>
  <c r="AZ128" i="36"/>
  <c r="AY128" i="36"/>
  <c r="AW128" i="36"/>
  <c r="AV128" i="36"/>
  <c r="AU128" i="36"/>
  <c r="AT128" i="36"/>
  <c r="AS128" i="36"/>
  <c r="AR128" i="36"/>
  <c r="AQ128" i="36"/>
  <c r="AP128" i="36"/>
  <c r="AO128" i="36"/>
  <c r="AN128" i="36"/>
  <c r="AM128" i="36"/>
  <c r="AL128" i="36"/>
  <c r="AK128" i="36"/>
  <c r="AI128" i="36"/>
  <c r="AH128" i="36"/>
  <c r="AG128" i="36"/>
  <c r="AF128" i="36"/>
  <c r="AE128" i="36"/>
  <c r="AD128" i="36"/>
  <c r="AC128" i="36"/>
  <c r="AB128" i="36"/>
  <c r="AA128" i="36"/>
  <c r="Z128" i="36"/>
  <c r="Y128" i="36"/>
  <c r="X128" i="36"/>
  <c r="W128" i="36"/>
  <c r="U128" i="36"/>
  <c r="CM127" i="36"/>
  <c r="CL127" i="36"/>
  <c r="CK127" i="36"/>
  <c r="CJ127" i="36"/>
  <c r="CI127" i="36"/>
  <c r="CH127" i="36"/>
  <c r="CG127" i="36"/>
  <c r="CF127" i="36"/>
  <c r="CE127" i="36"/>
  <c r="CD127" i="36"/>
  <c r="CC127" i="36"/>
  <c r="CB127" i="36"/>
  <c r="CA127" i="36"/>
  <c r="BY127" i="36"/>
  <c r="BX127" i="36"/>
  <c r="BW127" i="36"/>
  <c r="BV127" i="36"/>
  <c r="BU127" i="36"/>
  <c r="BT127" i="36"/>
  <c r="BS127" i="36"/>
  <c r="BR127" i="36"/>
  <c r="BQ127" i="36"/>
  <c r="BP127" i="36"/>
  <c r="BO127" i="36"/>
  <c r="BN127" i="36"/>
  <c r="BM127" i="36"/>
  <c r="BK127" i="36"/>
  <c r="BJ127" i="36"/>
  <c r="BI127" i="36"/>
  <c r="BH127" i="36"/>
  <c r="BG127" i="36"/>
  <c r="BF127" i="36"/>
  <c r="BE127" i="36"/>
  <c r="BD127" i="36"/>
  <c r="BC127" i="36"/>
  <c r="BB127" i="36"/>
  <c r="BA127" i="36"/>
  <c r="AZ127" i="36"/>
  <c r="AY127" i="36"/>
  <c r="AW127" i="36"/>
  <c r="AV127" i="36"/>
  <c r="AU127" i="36"/>
  <c r="AT127" i="36"/>
  <c r="AS127" i="36"/>
  <c r="AR127" i="36"/>
  <c r="AQ127" i="36"/>
  <c r="AP127" i="36"/>
  <c r="AO127" i="36"/>
  <c r="AN127" i="36"/>
  <c r="AM127" i="36"/>
  <c r="AL127" i="36"/>
  <c r="AK127" i="36"/>
  <c r="AI127" i="36"/>
  <c r="AH127" i="36"/>
  <c r="AG127" i="36"/>
  <c r="AF127" i="36"/>
  <c r="AE127" i="36"/>
  <c r="AD127" i="36"/>
  <c r="AC127" i="36"/>
  <c r="AB127" i="36"/>
  <c r="AA127" i="36"/>
  <c r="Z127" i="36"/>
  <c r="Y127" i="36"/>
  <c r="X127" i="36"/>
  <c r="W127" i="36"/>
  <c r="U127" i="36"/>
  <c r="CM126" i="36"/>
  <c r="CL126" i="36"/>
  <c r="CK126" i="36"/>
  <c r="CJ126" i="36"/>
  <c r="CI126" i="36"/>
  <c r="CH126" i="36"/>
  <c r="CG126" i="36"/>
  <c r="CF126" i="36"/>
  <c r="CE126" i="36"/>
  <c r="CD126" i="36"/>
  <c r="CC126" i="36"/>
  <c r="CB126" i="36"/>
  <c r="CA126" i="36"/>
  <c r="BY126" i="36"/>
  <c r="BX126" i="36"/>
  <c r="BW126" i="36"/>
  <c r="BV126" i="36"/>
  <c r="BU126" i="36"/>
  <c r="BT126" i="36"/>
  <c r="BS126" i="36"/>
  <c r="BR126" i="36"/>
  <c r="BQ126" i="36"/>
  <c r="BP126" i="36"/>
  <c r="BO126" i="36"/>
  <c r="BN126" i="36"/>
  <c r="BM126" i="36"/>
  <c r="BK126" i="36"/>
  <c r="BJ126" i="36"/>
  <c r="BI126" i="36"/>
  <c r="BH126" i="36"/>
  <c r="BG126" i="36"/>
  <c r="BF126" i="36"/>
  <c r="BE126" i="36"/>
  <c r="BD126" i="36"/>
  <c r="BC126" i="36"/>
  <c r="BB126" i="36"/>
  <c r="BA126" i="36"/>
  <c r="AZ126" i="36"/>
  <c r="AY126" i="36"/>
  <c r="AW126" i="36"/>
  <c r="AV126" i="36"/>
  <c r="AU126" i="36"/>
  <c r="AT126" i="36"/>
  <c r="AS126" i="36"/>
  <c r="AR126" i="36"/>
  <c r="AQ126" i="36"/>
  <c r="AP126" i="36"/>
  <c r="AO126" i="36"/>
  <c r="AN126" i="36"/>
  <c r="AM126" i="36"/>
  <c r="AL126" i="36"/>
  <c r="AK126" i="36"/>
  <c r="AI126" i="36"/>
  <c r="AH126" i="36"/>
  <c r="AG126" i="36"/>
  <c r="AF126" i="36"/>
  <c r="AE126" i="36"/>
  <c r="AD126" i="36"/>
  <c r="AC126" i="36"/>
  <c r="AB126" i="36"/>
  <c r="AA126" i="36"/>
  <c r="Z126" i="36"/>
  <c r="Y126" i="36"/>
  <c r="X126" i="36"/>
  <c r="W126" i="36"/>
  <c r="U126" i="36"/>
  <c r="CM125" i="36"/>
  <c r="CL125" i="36"/>
  <c r="CK125" i="36"/>
  <c r="CJ125" i="36"/>
  <c r="CI125" i="36"/>
  <c r="CH125" i="36"/>
  <c r="CG125" i="36"/>
  <c r="CF125" i="36"/>
  <c r="CE125" i="36"/>
  <c r="CD125" i="36"/>
  <c r="CC125" i="36"/>
  <c r="CB125" i="36"/>
  <c r="CA125" i="36"/>
  <c r="BY125" i="36"/>
  <c r="BX125" i="36"/>
  <c r="BW125" i="36"/>
  <c r="BV125" i="36"/>
  <c r="BU125" i="36"/>
  <c r="BT125" i="36"/>
  <c r="BS125" i="36"/>
  <c r="BR125" i="36"/>
  <c r="BQ125" i="36"/>
  <c r="BP125" i="36"/>
  <c r="BO125" i="36"/>
  <c r="BN125" i="36"/>
  <c r="BM125" i="36"/>
  <c r="BK125" i="36"/>
  <c r="BJ125" i="36"/>
  <c r="BI125" i="36"/>
  <c r="BH125" i="36"/>
  <c r="BG125" i="36"/>
  <c r="BF125" i="36"/>
  <c r="BE125" i="36"/>
  <c r="BD125" i="36"/>
  <c r="BC125" i="36"/>
  <c r="BB125" i="36"/>
  <c r="BA125" i="36"/>
  <c r="AZ125" i="36"/>
  <c r="AY125" i="36"/>
  <c r="AW125" i="36"/>
  <c r="AV125" i="36"/>
  <c r="AU125" i="36"/>
  <c r="AT125" i="36"/>
  <c r="AS125" i="36"/>
  <c r="AR125" i="36"/>
  <c r="AQ125" i="36"/>
  <c r="AP125" i="36"/>
  <c r="AO125" i="36"/>
  <c r="AN125" i="36"/>
  <c r="AM125" i="36"/>
  <c r="AL125" i="36"/>
  <c r="AK125" i="36"/>
  <c r="AI125" i="36"/>
  <c r="AH125" i="36"/>
  <c r="AG125" i="36"/>
  <c r="AF125" i="36"/>
  <c r="AE125" i="36"/>
  <c r="AD125" i="36"/>
  <c r="AC125" i="36"/>
  <c r="AB125" i="36"/>
  <c r="AA125" i="36"/>
  <c r="Z125" i="36"/>
  <c r="Y125" i="36"/>
  <c r="X125" i="36"/>
  <c r="W125" i="36"/>
  <c r="U125" i="36"/>
  <c r="CM124" i="36"/>
  <c r="CL124" i="36"/>
  <c r="CK124" i="36"/>
  <c r="CJ124" i="36"/>
  <c r="CI124" i="36"/>
  <c r="CH124" i="36"/>
  <c r="CG124" i="36"/>
  <c r="CF124" i="36"/>
  <c r="CE124" i="36"/>
  <c r="CD124" i="36"/>
  <c r="CC124" i="36"/>
  <c r="CB124" i="36"/>
  <c r="CA124" i="36"/>
  <c r="BY124" i="36"/>
  <c r="BX124" i="36"/>
  <c r="BW124" i="36"/>
  <c r="BV124" i="36"/>
  <c r="BU124" i="36"/>
  <c r="BT124" i="36"/>
  <c r="BS124" i="36"/>
  <c r="BR124" i="36"/>
  <c r="BQ124" i="36"/>
  <c r="BP124" i="36"/>
  <c r="BO124" i="36"/>
  <c r="BN124" i="36"/>
  <c r="BM124" i="36"/>
  <c r="BK124" i="36"/>
  <c r="BJ124" i="36"/>
  <c r="BI124" i="36"/>
  <c r="BH124" i="36"/>
  <c r="BG124" i="36"/>
  <c r="BF124" i="36"/>
  <c r="BE124" i="36"/>
  <c r="BD124" i="36"/>
  <c r="BC124" i="36"/>
  <c r="BB124" i="36"/>
  <c r="BA124" i="36"/>
  <c r="AZ124" i="36"/>
  <c r="AY124" i="36"/>
  <c r="AW124" i="36"/>
  <c r="AV124" i="36"/>
  <c r="AU124" i="36"/>
  <c r="AT124" i="36"/>
  <c r="AS124" i="36"/>
  <c r="AR124" i="36"/>
  <c r="AQ124" i="36"/>
  <c r="AP124" i="36"/>
  <c r="AO124" i="36"/>
  <c r="AN124" i="36"/>
  <c r="AM124" i="36"/>
  <c r="AL124" i="36"/>
  <c r="AK124" i="36"/>
  <c r="AI124" i="36"/>
  <c r="AH124" i="36"/>
  <c r="AG124" i="36"/>
  <c r="AF124" i="36"/>
  <c r="AE124" i="36"/>
  <c r="AD124" i="36"/>
  <c r="AC124" i="36"/>
  <c r="AB124" i="36"/>
  <c r="AA124" i="36"/>
  <c r="Z124" i="36"/>
  <c r="Y124" i="36"/>
  <c r="X124" i="36"/>
  <c r="W124" i="36"/>
  <c r="U124" i="36"/>
  <c r="CM123" i="36"/>
  <c r="CL123" i="36"/>
  <c r="CK123" i="36"/>
  <c r="CJ123" i="36"/>
  <c r="CI123" i="36"/>
  <c r="CH123" i="36"/>
  <c r="CG123" i="36"/>
  <c r="CF123" i="36"/>
  <c r="CE123" i="36"/>
  <c r="CD123" i="36"/>
  <c r="CC123" i="36"/>
  <c r="CB123" i="36"/>
  <c r="CA123" i="36"/>
  <c r="BY123" i="36"/>
  <c r="BX123" i="36"/>
  <c r="BW123" i="36"/>
  <c r="BV123" i="36"/>
  <c r="BU123" i="36"/>
  <c r="BT123" i="36"/>
  <c r="BS123" i="36"/>
  <c r="BR123" i="36"/>
  <c r="BQ123" i="36"/>
  <c r="BP123" i="36"/>
  <c r="BO123" i="36"/>
  <c r="BN123" i="36"/>
  <c r="BM123" i="36"/>
  <c r="BK123" i="36"/>
  <c r="BJ123" i="36"/>
  <c r="BI123" i="36"/>
  <c r="BH123" i="36"/>
  <c r="BG123" i="36"/>
  <c r="BF123" i="36"/>
  <c r="BE123" i="36"/>
  <c r="BD123" i="36"/>
  <c r="BC123" i="36"/>
  <c r="BB123" i="36"/>
  <c r="BA123" i="36"/>
  <c r="AZ123" i="36"/>
  <c r="AY123" i="36"/>
  <c r="AW123" i="36"/>
  <c r="AV123" i="36"/>
  <c r="AU123" i="36"/>
  <c r="AT123" i="36"/>
  <c r="AS123" i="36"/>
  <c r="AR123" i="36"/>
  <c r="AQ123" i="36"/>
  <c r="AP123" i="36"/>
  <c r="AO123" i="36"/>
  <c r="AN123" i="36"/>
  <c r="AM123" i="36"/>
  <c r="AL123" i="36"/>
  <c r="AK123" i="36"/>
  <c r="AI123" i="36"/>
  <c r="AH123" i="36"/>
  <c r="AG123" i="36"/>
  <c r="AF123" i="36"/>
  <c r="AE123" i="36"/>
  <c r="AD123" i="36"/>
  <c r="AC123" i="36"/>
  <c r="AB123" i="36"/>
  <c r="AA123" i="36"/>
  <c r="Z123" i="36"/>
  <c r="Y123" i="36"/>
  <c r="X123" i="36"/>
  <c r="W123" i="36"/>
  <c r="U123" i="36"/>
  <c r="CM122" i="36"/>
  <c r="CL122" i="36"/>
  <c r="CK122" i="36"/>
  <c r="CJ122" i="36"/>
  <c r="CI122" i="36"/>
  <c r="CH122" i="36"/>
  <c r="CG122" i="36"/>
  <c r="CF122" i="36"/>
  <c r="CE122" i="36"/>
  <c r="CD122" i="36"/>
  <c r="CC122" i="36"/>
  <c r="CB122" i="36"/>
  <c r="CA122" i="36"/>
  <c r="BY122" i="36"/>
  <c r="BX122" i="36"/>
  <c r="BW122" i="36"/>
  <c r="BV122" i="36"/>
  <c r="BU122" i="36"/>
  <c r="BT122" i="36"/>
  <c r="BS122" i="36"/>
  <c r="BR122" i="36"/>
  <c r="BQ122" i="36"/>
  <c r="BP122" i="36"/>
  <c r="BO122" i="36"/>
  <c r="BN122" i="36"/>
  <c r="BM122" i="36"/>
  <c r="BK122" i="36"/>
  <c r="BJ122" i="36"/>
  <c r="BI122" i="36"/>
  <c r="BH122" i="36"/>
  <c r="BG122" i="36"/>
  <c r="BF122" i="36"/>
  <c r="BE122" i="36"/>
  <c r="BD122" i="36"/>
  <c r="BC122" i="36"/>
  <c r="BB122" i="36"/>
  <c r="BA122" i="36"/>
  <c r="AZ122" i="36"/>
  <c r="AY122" i="36"/>
  <c r="AW122" i="36"/>
  <c r="AV122" i="36"/>
  <c r="AU122" i="36"/>
  <c r="AT122" i="36"/>
  <c r="AS122" i="36"/>
  <c r="AR122" i="36"/>
  <c r="AQ122" i="36"/>
  <c r="AP122" i="36"/>
  <c r="AO122" i="36"/>
  <c r="AN122" i="36"/>
  <c r="AM122" i="36"/>
  <c r="AL122" i="36"/>
  <c r="AK122" i="36"/>
  <c r="AI122" i="36"/>
  <c r="AH122" i="36"/>
  <c r="AG122" i="36"/>
  <c r="AF122" i="36"/>
  <c r="AE122" i="36"/>
  <c r="AD122" i="36"/>
  <c r="AC122" i="36"/>
  <c r="AB122" i="36"/>
  <c r="AA122" i="36"/>
  <c r="Z122" i="36"/>
  <c r="Y122" i="36"/>
  <c r="X122" i="36"/>
  <c r="W122" i="36"/>
  <c r="U122" i="36"/>
  <c r="CM121" i="36"/>
  <c r="CL121" i="36"/>
  <c r="CK121" i="36"/>
  <c r="CJ121" i="36"/>
  <c r="CI121" i="36"/>
  <c r="CH121" i="36"/>
  <c r="CG121" i="36"/>
  <c r="CF121" i="36"/>
  <c r="CE121" i="36"/>
  <c r="CD121" i="36"/>
  <c r="CC121" i="36"/>
  <c r="CB121" i="36"/>
  <c r="CA121" i="36"/>
  <c r="BY121" i="36"/>
  <c r="BX121" i="36"/>
  <c r="BW121" i="36"/>
  <c r="BV121" i="36"/>
  <c r="BU121" i="36"/>
  <c r="BT121" i="36"/>
  <c r="BS121" i="36"/>
  <c r="BR121" i="36"/>
  <c r="BQ121" i="36"/>
  <c r="BP121" i="36"/>
  <c r="BO121" i="36"/>
  <c r="BN121" i="36"/>
  <c r="BM121" i="36"/>
  <c r="BK121" i="36"/>
  <c r="BJ121" i="36"/>
  <c r="BI121" i="36"/>
  <c r="BH121" i="36"/>
  <c r="BG121" i="36"/>
  <c r="BF121" i="36"/>
  <c r="BE121" i="36"/>
  <c r="BD121" i="36"/>
  <c r="BC121" i="36"/>
  <c r="BB121" i="36"/>
  <c r="BA121" i="36"/>
  <c r="AZ121" i="36"/>
  <c r="AY121" i="36"/>
  <c r="AW121" i="36"/>
  <c r="AV121" i="36"/>
  <c r="AU121" i="36"/>
  <c r="AT121" i="36"/>
  <c r="AS121" i="36"/>
  <c r="AR121" i="36"/>
  <c r="AQ121" i="36"/>
  <c r="AP121" i="36"/>
  <c r="AO121" i="36"/>
  <c r="AN121" i="36"/>
  <c r="AM121" i="36"/>
  <c r="AL121" i="36"/>
  <c r="AK121" i="36"/>
  <c r="AI121" i="36"/>
  <c r="AH121" i="36"/>
  <c r="AG121" i="36"/>
  <c r="AF121" i="36"/>
  <c r="AE121" i="36"/>
  <c r="AD121" i="36"/>
  <c r="AC121" i="36"/>
  <c r="AB121" i="36"/>
  <c r="AA121" i="36"/>
  <c r="Z121" i="36"/>
  <c r="Y121" i="36"/>
  <c r="X121" i="36"/>
  <c r="W121" i="36"/>
  <c r="U121" i="36"/>
  <c r="CM120" i="36"/>
  <c r="CL120" i="36"/>
  <c r="CK120" i="36"/>
  <c r="CJ120" i="36"/>
  <c r="CI120" i="36"/>
  <c r="CH120" i="36"/>
  <c r="CG120" i="36"/>
  <c r="CF120" i="36"/>
  <c r="CE120" i="36"/>
  <c r="CD120" i="36"/>
  <c r="CC120" i="36"/>
  <c r="CB120" i="36"/>
  <c r="CA120" i="36"/>
  <c r="BY120" i="36"/>
  <c r="BX120" i="36"/>
  <c r="BW120" i="36"/>
  <c r="BV120" i="36"/>
  <c r="BU120" i="36"/>
  <c r="BT120" i="36"/>
  <c r="BS120" i="36"/>
  <c r="BR120" i="36"/>
  <c r="BQ120" i="36"/>
  <c r="BP120" i="36"/>
  <c r="BO120" i="36"/>
  <c r="BN120" i="36"/>
  <c r="BM120" i="36"/>
  <c r="BK120" i="36"/>
  <c r="BJ120" i="36"/>
  <c r="BI120" i="36"/>
  <c r="BH120" i="36"/>
  <c r="BG120" i="36"/>
  <c r="BF120" i="36"/>
  <c r="BE120" i="36"/>
  <c r="BD120" i="36"/>
  <c r="BC120" i="36"/>
  <c r="BB120" i="36"/>
  <c r="BA120" i="36"/>
  <c r="AZ120" i="36"/>
  <c r="AY120" i="36"/>
  <c r="AW120" i="36"/>
  <c r="AV120" i="36"/>
  <c r="AU120" i="36"/>
  <c r="AT120" i="36"/>
  <c r="AS120" i="36"/>
  <c r="AR120" i="36"/>
  <c r="AQ120" i="36"/>
  <c r="AP120" i="36"/>
  <c r="AO120" i="36"/>
  <c r="AN120" i="36"/>
  <c r="AM120" i="36"/>
  <c r="AL120" i="36"/>
  <c r="AK120" i="36"/>
  <c r="AI120" i="36"/>
  <c r="AH120" i="36"/>
  <c r="AG120" i="36"/>
  <c r="AF120" i="36"/>
  <c r="AE120" i="36"/>
  <c r="AD120" i="36"/>
  <c r="AC120" i="36"/>
  <c r="AB120" i="36"/>
  <c r="AA120" i="36"/>
  <c r="Z120" i="36"/>
  <c r="Y120" i="36"/>
  <c r="X120" i="36"/>
  <c r="W120" i="36"/>
  <c r="U120" i="36"/>
  <c r="CM119" i="36"/>
  <c r="CL119" i="36"/>
  <c r="CK119" i="36"/>
  <c r="CJ119" i="36"/>
  <c r="CI119" i="36"/>
  <c r="CH119" i="36"/>
  <c r="CG119" i="36"/>
  <c r="CF119" i="36"/>
  <c r="CE119" i="36"/>
  <c r="CD119" i="36"/>
  <c r="CC119" i="36"/>
  <c r="CB119" i="36"/>
  <c r="CA119" i="36"/>
  <c r="BY119" i="36"/>
  <c r="BX119" i="36"/>
  <c r="BW119" i="36"/>
  <c r="BV119" i="36"/>
  <c r="BU119" i="36"/>
  <c r="BT119" i="36"/>
  <c r="BS119" i="36"/>
  <c r="BR119" i="36"/>
  <c r="BQ119" i="36"/>
  <c r="BP119" i="36"/>
  <c r="BO119" i="36"/>
  <c r="BN119" i="36"/>
  <c r="BM119" i="36"/>
  <c r="BK119" i="36"/>
  <c r="BJ119" i="36"/>
  <c r="BI119" i="36"/>
  <c r="BH119" i="36"/>
  <c r="BG119" i="36"/>
  <c r="BF119" i="36"/>
  <c r="BE119" i="36"/>
  <c r="BD119" i="36"/>
  <c r="BC119" i="36"/>
  <c r="BB119" i="36"/>
  <c r="BA119" i="36"/>
  <c r="AZ119" i="36"/>
  <c r="AY119" i="36"/>
  <c r="AW119" i="36"/>
  <c r="AV119" i="36"/>
  <c r="AU119" i="36"/>
  <c r="AT119" i="36"/>
  <c r="AS119" i="36"/>
  <c r="AR119" i="36"/>
  <c r="AQ119" i="36"/>
  <c r="AP119" i="36"/>
  <c r="AO119" i="36"/>
  <c r="AN119" i="36"/>
  <c r="AM119" i="36"/>
  <c r="AL119" i="36"/>
  <c r="AK119" i="36"/>
  <c r="AI119" i="36"/>
  <c r="AH119" i="36"/>
  <c r="AG119" i="36"/>
  <c r="AF119" i="36"/>
  <c r="AE119" i="36"/>
  <c r="AD119" i="36"/>
  <c r="AC119" i="36"/>
  <c r="AB119" i="36"/>
  <c r="AA119" i="36"/>
  <c r="Z119" i="36"/>
  <c r="Y119" i="36"/>
  <c r="X119" i="36"/>
  <c r="W119" i="36"/>
  <c r="U119" i="36"/>
  <c r="CM118" i="36"/>
  <c r="CL118" i="36"/>
  <c r="CK118" i="36"/>
  <c r="CJ118" i="36"/>
  <c r="CI118" i="36"/>
  <c r="CH118" i="36"/>
  <c r="CG118" i="36"/>
  <c r="CF118" i="36"/>
  <c r="CE118" i="36"/>
  <c r="CD118" i="36"/>
  <c r="CC118" i="36"/>
  <c r="CB118" i="36"/>
  <c r="CA118" i="36"/>
  <c r="BY118" i="36"/>
  <c r="BX118" i="36"/>
  <c r="BW118" i="36"/>
  <c r="BV118" i="36"/>
  <c r="BU118" i="36"/>
  <c r="BT118" i="36"/>
  <c r="BS118" i="36"/>
  <c r="BR118" i="36"/>
  <c r="BQ118" i="36"/>
  <c r="BP118" i="36"/>
  <c r="BO118" i="36"/>
  <c r="BN118" i="36"/>
  <c r="BM118" i="36"/>
  <c r="BK118" i="36"/>
  <c r="BJ118" i="36"/>
  <c r="BI118" i="36"/>
  <c r="BH118" i="36"/>
  <c r="BG118" i="36"/>
  <c r="BF118" i="36"/>
  <c r="BE118" i="36"/>
  <c r="BD118" i="36"/>
  <c r="BC118" i="36"/>
  <c r="BB118" i="36"/>
  <c r="BA118" i="36"/>
  <c r="AZ118" i="36"/>
  <c r="AY118" i="36"/>
  <c r="AW118" i="36"/>
  <c r="AV118" i="36"/>
  <c r="AU118" i="36"/>
  <c r="AT118" i="36"/>
  <c r="AS118" i="36"/>
  <c r="AR118" i="36"/>
  <c r="AQ118" i="36"/>
  <c r="AP118" i="36"/>
  <c r="AO118" i="36"/>
  <c r="AN118" i="36"/>
  <c r="AM118" i="36"/>
  <c r="AL118" i="36"/>
  <c r="AK118" i="36"/>
  <c r="AI118" i="36"/>
  <c r="AH118" i="36"/>
  <c r="AG118" i="36"/>
  <c r="AF118" i="36"/>
  <c r="AE118" i="36"/>
  <c r="AD118" i="36"/>
  <c r="AC118" i="36"/>
  <c r="AB118" i="36"/>
  <c r="AA118" i="36"/>
  <c r="Z118" i="36"/>
  <c r="Y118" i="36"/>
  <c r="X118" i="36"/>
  <c r="W118" i="36"/>
  <c r="U118" i="36"/>
  <c r="CM117" i="36"/>
  <c r="CL117" i="36"/>
  <c r="CK117" i="36"/>
  <c r="CJ117" i="36"/>
  <c r="CI117" i="36"/>
  <c r="CH117" i="36"/>
  <c r="CG117" i="36"/>
  <c r="CF117" i="36"/>
  <c r="CE117" i="36"/>
  <c r="CD117" i="36"/>
  <c r="CC117" i="36"/>
  <c r="CB117" i="36"/>
  <c r="CA117" i="36"/>
  <c r="BY117" i="36"/>
  <c r="BX117" i="36"/>
  <c r="BW117" i="36"/>
  <c r="BV117" i="36"/>
  <c r="BU117" i="36"/>
  <c r="BT117" i="36"/>
  <c r="BS117" i="36"/>
  <c r="BR117" i="36"/>
  <c r="BQ117" i="36"/>
  <c r="BP117" i="36"/>
  <c r="BO117" i="36"/>
  <c r="BN117" i="36"/>
  <c r="BM117" i="36"/>
  <c r="BK117" i="36"/>
  <c r="BJ117" i="36"/>
  <c r="BI117" i="36"/>
  <c r="BH117" i="36"/>
  <c r="BG117" i="36"/>
  <c r="BF117" i="36"/>
  <c r="BE117" i="36"/>
  <c r="BD117" i="36"/>
  <c r="BC117" i="36"/>
  <c r="BB117" i="36"/>
  <c r="BA117" i="36"/>
  <c r="AZ117" i="36"/>
  <c r="AY117" i="36"/>
  <c r="AW117" i="36"/>
  <c r="AV117" i="36"/>
  <c r="AU117" i="36"/>
  <c r="AT117" i="36"/>
  <c r="AS117" i="36"/>
  <c r="AR117" i="36"/>
  <c r="AQ117" i="36"/>
  <c r="AP117" i="36"/>
  <c r="AO117" i="36"/>
  <c r="AN117" i="36"/>
  <c r="AM117" i="36"/>
  <c r="AL117" i="36"/>
  <c r="AK117" i="36"/>
  <c r="AI117" i="36"/>
  <c r="AH117" i="36"/>
  <c r="AG117" i="36"/>
  <c r="AF117" i="36"/>
  <c r="AE117" i="36"/>
  <c r="AD117" i="36"/>
  <c r="AC117" i="36"/>
  <c r="AB117" i="36"/>
  <c r="AA117" i="36"/>
  <c r="Z117" i="36"/>
  <c r="Y117" i="36"/>
  <c r="X117" i="36"/>
  <c r="W117" i="36"/>
  <c r="U117" i="36"/>
  <c r="CM116" i="36"/>
  <c r="CL116" i="36"/>
  <c r="CK116" i="36"/>
  <c r="CJ116" i="36"/>
  <c r="CI116" i="36"/>
  <c r="CH116" i="36"/>
  <c r="CG116" i="36"/>
  <c r="CF116" i="36"/>
  <c r="CE116" i="36"/>
  <c r="CD116" i="36"/>
  <c r="CC116" i="36"/>
  <c r="CB116" i="36"/>
  <c r="CA116" i="36"/>
  <c r="BY116" i="36"/>
  <c r="BX116" i="36"/>
  <c r="BW116" i="36"/>
  <c r="BV116" i="36"/>
  <c r="BU116" i="36"/>
  <c r="BT116" i="36"/>
  <c r="BS116" i="36"/>
  <c r="BR116" i="36"/>
  <c r="BQ116" i="36"/>
  <c r="BP116" i="36"/>
  <c r="BO116" i="36"/>
  <c r="BN116" i="36"/>
  <c r="BM116" i="36"/>
  <c r="BK116" i="36"/>
  <c r="BJ116" i="36"/>
  <c r="BI116" i="36"/>
  <c r="BH116" i="36"/>
  <c r="BG116" i="36"/>
  <c r="BF116" i="36"/>
  <c r="BE116" i="36"/>
  <c r="BD116" i="36"/>
  <c r="BC116" i="36"/>
  <c r="BB116" i="36"/>
  <c r="BA116" i="36"/>
  <c r="AZ116" i="36"/>
  <c r="AY116" i="36"/>
  <c r="AW116" i="36"/>
  <c r="AV116" i="36"/>
  <c r="AU116" i="36"/>
  <c r="AT116" i="36"/>
  <c r="AS116" i="36"/>
  <c r="AR116" i="36"/>
  <c r="AQ116" i="36"/>
  <c r="AP116" i="36"/>
  <c r="AO116" i="36"/>
  <c r="AN116" i="36"/>
  <c r="AM116" i="36"/>
  <c r="AL116" i="36"/>
  <c r="AK116" i="36"/>
  <c r="AI116" i="36"/>
  <c r="AH116" i="36"/>
  <c r="AG116" i="36"/>
  <c r="AF116" i="36"/>
  <c r="AE116" i="36"/>
  <c r="AD116" i="36"/>
  <c r="AC116" i="36"/>
  <c r="AB116" i="36"/>
  <c r="AA116" i="36"/>
  <c r="Z116" i="36"/>
  <c r="Y116" i="36"/>
  <c r="X116" i="36"/>
  <c r="W116" i="36"/>
  <c r="U116" i="36"/>
  <c r="CM115" i="36"/>
  <c r="CL115" i="36"/>
  <c r="CK115" i="36"/>
  <c r="CJ115" i="36"/>
  <c r="CI115" i="36"/>
  <c r="CH115" i="36"/>
  <c r="CG115" i="36"/>
  <c r="CF115" i="36"/>
  <c r="CE115" i="36"/>
  <c r="CD115" i="36"/>
  <c r="CC115" i="36"/>
  <c r="CB115" i="36"/>
  <c r="CA115" i="36"/>
  <c r="BY115" i="36"/>
  <c r="BX115" i="36"/>
  <c r="BW115" i="36"/>
  <c r="BV115" i="36"/>
  <c r="BU115" i="36"/>
  <c r="BT115" i="36"/>
  <c r="BS115" i="36"/>
  <c r="BR115" i="36"/>
  <c r="BQ115" i="36"/>
  <c r="BP115" i="36"/>
  <c r="BO115" i="36"/>
  <c r="BN115" i="36"/>
  <c r="BM115" i="36"/>
  <c r="BK115" i="36"/>
  <c r="BJ115" i="36"/>
  <c r="BI115" i="36"/>
  <c r="BH115" i="36"/>
  <c r="BG115" i="36"/>
  <c r="BF115" i="36"/>
  <c r="BE115" i="36"/>
  <c r="BD115" i="36"/>
  <c r="BC115" i="36"/>
  <c r="BB115" i="36"/>
  <c r="BA115" i="36"/>
  <c r="AZ115" i="36"/>
  <c r="AY115" i="36"/>
  <c r="AW115" i="36"/>
  <c r="AV115" i="36"/>
  <c r="AU115" i="36"/>
  <c r="AT115" i="36"/>
  <c r="AS115" i="36"/>
  <c r="AR115" i="36"/>
  <c r="AQ115" i="36"/>
  <c r="AP115" i="36"/>
  <c r="AO115" i="36"/>
  <c r="AN115" i="36"/>
  <c r="AM115" i="36"/>
  <c r="AL115" i="36"/>
  <c r="AK115" i="36"/>
  <c r="AI115" i="36"/>
  <c r="AH115" i="36"/>
  <c r="AG115" i="36"/>
  <c r="AF115" i="36"/>
  <c r="AE115" i="36"/>
  <c r="AD115" i="36"/>
  <c r="AC115" i="36"/>
  <c r="AB115" i="36"/>
  <c r="AA115" i="36"/>
  <c r="Z115" i="36"/>
  <c r="Y115" i="36"/>
  <c r="X115" i="36"/>
  <c r="W115" i="36"/>
  <c r="U115" i="36"/>
  <c r="CM114" i="36"/>
  <c r="CL114" i="36"/>
  <c r="CK114" i="36"/>
  <c r="CJ114" i="36"/>
  <c r="CI114" i="36"/>
  <c r="CH114" i="36"/>
  <c r="CG114" i="36"/>
  <c r="CF114" i="36"/>
  <c r="CE114" i="36"/>
  <c r="CD114" i="36"/>
  <c r="CC114" i="36"/>
  <c r="CB114" i="36"/>
  <c r="CA114" i="36"/>
  <c r="BY114" i="36"/>
  <c r="BX114" i="36"/>
  <c r="BW114" i="36"/>
  <c r="BV114" i="36"/>
  <c r="BU114" i="36"/>
  <c r="BT114" i="36"/>
  <c r="BS114" i="36"/>
  <c r="BR114" i="36"/>
  <c r="BQ114" i="36"/>
  <c r="BP114" i="36"/>
  <c r="BO114" i="36"/>
  <c r="BN114" i="36"/>
  <c r="BM114" i="36"/>
  <c r="BK114" i="36"/>
  <c r="BJ114" i="36"/>
  <c r="BI114" i="36"/>
  <c r="BH114" i="36"/>
  <c r="BG114" i="36"/>
  <c r="BF114" i="36"/>
  <c r="BE114" i="36"/>
  <c r="BD114" i="36"/>
  <c r="BC114" i="36"/>
  <c r="BB114" i="36"/>
  <c r="BA114" i="36"/>
  <c r="AZ114" i="36"/>
  <c r="AY114" i="36"/>
  <c r="AW114" i="36"/>
  <c r="AV114" i="36"/>
  <c r="AU114" i="36"/>
  <c r="AT114" i="36"/>
  <c r="AS114" i="36"/>
  <c r="AR114" i="36"/>
  <c r="AQ114" i="36"/>
  <c r="AP114" i="36"/>
  <c r="AO114" i="36"/>
  <c r="AN114" i="36"/>
  <c r="AM114" i="36"/>
  <c r="AL114" i="36"/>
  <c r="AK114" i="36"/>
  <c r="AI114" i="36"/>
  <c r="AH114" i="36"/>
  <c r="AG114" i="36"/>
  <c r="AF114" i="36"/>
  <c r="AE114" i="36"/>
  <c r="AD114" i="36"/>
  <c r="AC114" i="36"/>
  <c r="AB114" i="36"/>
  <c r="AA114" i="36"/>
  <c r="Z114" i="36"/>
  <c r="Y114" i="36"/>
  <c r="X114" i="36"/>
  <c r="W114" i="36"/>
  <c r="U114" i="36"/>
  <c r="CM113" i="36"/>
  <c r="CL113" i="36"/>
  <c r="CK113" i="36"/>
  <c r="CJ113" i="36"/>
  <c r="CI113" i="36"/>
  <c r="CH113" i="36"/>
  <c r="CG113" i="36"/>
  <c r="CF113" i="36"/>
  <c r="CE113" i="36"/>
  <c r="CD113" i="36"/>
  <c r="CC113" i="36"/>
  <c r="CB113" i="36"/>
  <c r="CA113" i="36"/>
  <c r="BY113" i="36"/>
  <c r="BX113" i="36"/>
  <c r="BW113" i="36"/>
  <c r="BV113" i="36"/>
  <c r="BU113" i="36"/>
  <c r="BT113" i="36"/>
  <c r="BS113" i="36"/>
  <c r="BR113" i="36"/>
  <c r="BQ113" i="36"/>
  <c r="BP113" i="36"/>
  <c r="BO113" i="36"/>
  <c r="BN113" i="36"/>
  <c r="BM113" i="36"/>
  <c r="BK113" i="36"/>
  <c r="BJ113" i="36"/>
  <c r="BI113" i="36"/>
  <c r="BH113" i="36"/>
  <c r="BG113" i="36"/>
  <c r="BF113" i="36"/>
  <c r="BE113" i="36"/>
  <c r="BD113" i="36"/>
  <c r="BC113" i="36"/>
  <c r="BB113" i="36"/>
  <c r="BA113" i="36"/>
  <c r="AZ113" i="36"/>
  <c r="AY113" i="36"/>
  <c r="AW113" i="36"/>
  <c r="AV113" i="36"/>
  <c r="AU113" i="36"/>
  <c r="AT113" i="36"/>
  <c r="AS113" i="36"/>
  <c r="AR113" i="36"/>
  <c r="AQ113" i="36"/>
  <c r="AP113" i="36"/>
  <c r="AO113" i="36"/>
  <c r="AN113" i="36"/>
  <c r="AM113" i="36"/>
  <c r="AL113" i="36"/>
  <c r="AK113" i="36"/>
  <c r="AI113" i="36"/>
  <c r="AH113" i="36"/>
  <c r="AG113" i="36"/>
  <c r="AF113" i="36"/>
  <c r="AE113" i="36"/>
  <c r="AD113" i="36"/>
  <c r="AC113" i="36"/>
  <c r="AB113" i="36"/>
  <c r="AA113" i="36"/>
  <c r="Z113" i="36"/>
  <c r="Y113" i="36"/>
  <c r="X113" i="36"/>
  <c r="W113" i="36"/>
  <c r="U113" i="36"/>
  <c r="CM112" i="36"/>
  <c r="CL112" i="36"/>
  <c r="CK112" i="36"/>
  <c r="CJ112" i="36"/>
  <c r="CI112" i="36"/>
  <c r="CH112" i="36"/>
  <c r="CG112" i="36"/>
  <c r="CF112" i="36"/>
  <c r="CE112" i="36"/>
  <c r="CD112" i="36"/>
  <c r="CC112" i="36"/>
  <c r="CB112" i="36"/>
  <c r="CA112" i="36"/>
  <c r="BY112" i="36"/>
  <c r="BX112" i="36"/>
  <c r="BW112" i="36"/>
  <c r="BV112" i="36"/>
  <c r="BU112" i="36"/>
  <c r="BT112" i="36"/>
  <c r="BS112" i="36"/>
  <c r="BR112" i="36"/>
  <c r="BQ112" i="36"/>
  <c r="BP112" i="36"/>
  <c r="BO112" i="36"/>
  <c r="BN112" i="36"/>
  <c r="BM112" i="36"/>
  <c r="BK112" i="36"/>
  <c r="BJ112" i="36"/>
  <c r="BI112" i="36"/>
  <c r="BH112" i="36"/>
  <c r="BG112" i="36"/>
  <c r="BF112" i="36"/>
  <c r="BE112" i="36"/>
  <c r="BD112" i="36"/>
  <c r="BC112" i="36"/>
  <c r="BB112" i="36"/>
  <c r="BA112" i="36"/>
  <c r="AZ112" i="36"/>
  <c r="AY112" i="36"/>
  <c r="AW112" i="36"/>
  <c r="AV112" i="36"/>
  <c r="AU112" i="36"/>
  <c r="AT112" i="36"/>
  <c r="AS112" i="36"/>
  <c r="AR112" i="36"/>
  <c r="AQ112" i="36"/>
  <c r="AP112" i="36"/>
  <c r="AO112" i="36"/>
  <c r="AN112" i="36"/>
  <c r="AM112" i="36"/>
  <c r="AL112" i="36"/>
  <c r="AK112" i="36"/>
  <c r="AI112" i="36"/>
  <c r="AH112" i="36"/>
  <c r="AG112" i="36"/>
  <c r="AF112" i="36"/>
  <c r="AE112" i="36"/>
  <c r="AD112" i="36"/>
  <c r="AC112" i="36"/>
  <c r="AB112" i="36"/>
  <c r="AA112" i="36"/>
  <c r="Z112" i="36"/>
  <c r="Y112" i="36"/>
  <c r="X112" i="36"/>
  <c r="W112" i="36"/>
  <c r="U112" i="36"/>
  <c r="CM111" i="36"/>
  <c r="CL111" i="36"/>
  <c r="CK111" i="36"/>
  <c r="CJ111" i="36"/>
  <c r="CI111" i="36"/>
  <c r="CH111" i="36"/>
  <c r="CG111" i="36"/>
  <c r="CF111" i="36"/>
  <c r="CE111" i="36"/>
  <c r="CD111" i="36"/>
  <c r="CC111" i="36"/>
  <c r="CB111" i="36"/>
  <c r="CA111" i="36"/>
  <c r="BY111" i="36"/>
  <c r="BX111" i="36"/>
  <c r="BW111" i="36"/>
  <c r="BV111" i="36"/>
  <c r="BU111" i="36"/>
  <c r="BT111" i="36"/>
  <c r="BS111" i="36"/>
  <c r="BR111" i="36"/>
  <c r="BQ111" i="36"/>
  <c r="BP111" i="36"/>
  <c r="BO111" i="36"/>
  <c r="BN111" i="36"/>
  <c r="BM111" i="36"/>
  <c r="BK111" i="36"/>
  <c r="BJ111" i="36"/>
  <c r="BI111" i="36"/>
  <c r="BH111" i="36"/>
  <c r="BG111" i="36"/>
  <c r="BF111" i="36"/>
  <c r="BE111" i="36"/>
  <c r="BD111" i="36"/>
  <c r="BC111" i="36"/>
  <c r="BB111" i="36"/>
  <c r="BA111" i="36"/>
  <c r="AZ111" i="36"/>
  <c r="AY111" i="36"/>
  <c r="AW111" i="36"/>
  <c r="AV111" i="36"/>
  <c r="AU111" i="36"/>
  <c r="AT111" i="36"/>
  <c r="AS111" i="36"/>
  <c r="AR111" i="36"/>
  <c r="AQ111" i="36"/>
  <c r="AP111" i="36"/>
  <c r="AO111" i="36"/>
  <c r="AN111" i="36"/>
  <c r="AM111" i="36"/>
  <c r="AL111" i="36"/>
  <c r="AK111" i="36"/>
  <c r="AI111" i="36"/>
  <c r="AH111" i="36"/>
  <c r="AG111" i="36"/>
  <c r="AF111" i="36"/>
  <c r="AE111" i="36"/>
  <c r="AD111" i="36"/>
  <c r="AC111" i="36"/>
  <c r="AB111" i="36"/>
  <c r="AA111" i="36"/>
  <c r="Z111" i="36"/>
  <c r="Y111" i="36"/>
  <c r="X111" i="36"/>
  <c r="W111" i="36"/>
  <c r="U111" i="36"/>
  <c r="CM110" i="36"/>
  <c r="CL110" i="36"/>
  <c r="CK110" i="36"/>
  <c r="CJ110" i="36"/>
  <c r="CI110" i="36"/>
  <c r="CH110" i="36"/>
  <c r="CG110" i="36"/>
  <c r="CF110" i="36"/>
  <c r="CE110" i="36"/>
  <c r="CD110" i="36"/>
  <c r="CC110" i="36"/>
  <c r="CB110" i="36"/>
  <c r="CA110" i="36"/>
  <c r="BY110" i="36"/>
  <c r="BX110" i="36"/>
  <c r="BW110" i="36"/>
  <c r="BV110" i="36"/>
  <c r="BU110" i="36"/>
  <c r="BT110" i="36"/>
  <c r="BS110" i="36"/>
  <c r="BR110" i="36"/>
  <c r="BQ110" i="36"/>
  <c r="BP110" i="36"/>
  <c r="BO110" i="36"/>
  <c r="BN110" i="36"/>
  <c r="BM110" i="36"/>
  <c r="BK110" i="36"/>
  <c r="BJ110" i="36"/>
  <c r="BI110" i="36"/>
  <c r="BH110" i="36"/>
  <c r="BG110" i="36"/>
  <c r="BF110" i="36"/>
  <c r="BE110" i="36"/>
  <c r="BD110" i="36"/>
  <c r="BC110" i="36"/>
  <c r="BB110" i="36"/>
  <c r="BA110" i="36"/>
  <c r="AZ110" i="36"/>
  <c r="AY110" i="36"/>
  <c r="AW110" i="36"/>
  <c r="AV110" i="36"/>
  <c r="AU110" i="36"/>
  <c r="AT110" i="36"/>
  <c r="AS110" i="36"/>
  <c r="AR110" i="36"/>
  <c r="AQ110" i="36"/>
  <c r="AP110" i="36"/>
  <c r="AO110" i="36"/>
  <c r="AN110" i="36"/>
  <c r="AM110" i="36"/>
  <c r="AL110" i="36"/>
  <c r="AK110" i="36"/>
  <c r="AI110" i="36"/>
  <c r="AH110" i="36"/>
  <c r="AG110" i="36"/>
  <c r="AF110" i="36"/>
  <c r="AE110" i="36"/>
  <c r="AD110" i="36"/>
  <c r="AC110" i="36"/>
  <c r="AB110" i="36"/>
  <c r="AA110" i="36"/>
  <c r="Z110" i="36"/>
  <c r="Y110" i="36"/>
  <c r="X110" i="36"/>
  <c r="W110" i="36"/>
  <c r="U110" i="36"/>
  <c r="CM109" i="36"/>
  <c r="CL109" i="36"/>
  <c r="CK109" i="36"/>
  <c r="CJ109" i="36"/>
  <c r="CI109" i="36"/>
  <c r="CH109" i="36"/>
  <c r="CG109" i="36"/>
  <c r="CF109" i="36"/>
  <c r="CE109" i="36"/>
  <c r="CD109" i="36"/>
  <c r="CC109" i="36"/>
  <c r="CB109" i="36"/>
  <c r="CA109" i="36"/>
  <c r="BY109" i="36"/>
  <c r="BX109" i="36"/>
  <c r="BW109" i="36"/>
  <c r="BV109" i="36"/>
  <c r="BU109" i="36"/>
  <c r="BT109" i="36"/>
  <c r="BS109" i="36"/>
  <c r="BR109" i="36"/>
  <c r="BQ109" i="36"/>
  <c r="BP109" i="36"/>
  <c r="BO109" i="36"/>
  <c r="BN109" i="36"/>
  <c r="BM109" i="36"/>
  <c r="BK109" i="36"/>
  <c r="BJ109" i="36"/>
  <c r="BI109" i="36"/>
  <c r="BH109" i="36"/>
  <c r="BG109" i="36"/>
  <c r="BF109" i="36"/>
  <c r="BE109" i="36"/>
  <c r="BD109" i="36"/>
  <c r="BC109" i="36"/>
  <c r="BB109" i="36"/>
  <c r="BA109" i="36"/>
  <c r="AZ109" i="36"/>
  <c r="AY109" i="36"/>
  <c r="AW109" i="36"/>
  <c r="AV109" i="36"/>
  <c r="AU109" i="36"/>
  <c r="AT109" i="36"/>
  <c r="AS109" i="36"/>
  <c r="AR109" i="36"/>
  <c r="AQ109" i="36"/>
  <c r="AP109" i="36"/>
  <c r="AO109" i="36"/>
  <c r="AN109" i="36"/>
  <c r="AM109" i="36"/>
  <c r="AL109" i="36"/>
  <c r="AK109" i="36"/>
  <c r="AI109" i="36"/>
  <c r="AH109" i="36"/>
  <c r="AG109" i="36"/>
  <c r="AF109" i="36"/>
  <c r="AE109" i="36"/>
  <c r="AD109" i="36"/>
  <c r="AC109" i="36"/>
  <c r="AB109" i="36"/>
  <c r="AA109" i="36"/>
  <c r="Z109" i="36"/>
  <c r="Y109" i="36"/>
  <c r="X109" i="36"/>
  <c r="W109" i="36"/>
  <c r="U109" i="36"/>
  <c r="CM108" i="36"/>
  <c r="CL108" i="36"/>
  <c r="CK108" i="36"/>
  <c r="CJ108" i="36"/>
  <c r="CI108" i="36"/>
  <c r="CH108" i="36"/>
  <c r="CG108" i="36"/>
  <c r="CF108" i="36"/>
  <c r="CE108" i="36"/>
  <c r="CD108" i="36"/>
  <c r="CC108" i="36"/>
  <c r="CB108" i="36"/>
  <c r="CA108" i="36"/>
  <c r="BY108" i="36"/>
  <c r="BX108" i="36"/>
  <c r="BW108" i="36"/>
  <c r="BV108" i="36"/>
  <c r="BU108" i="36"/>
  <c r="BT108" i="36"/>
  <c r="BS108" i="36"/>
  <c r="BR108" i="36"/>
  <c r="BQ108" i="36"/>
  <c r="BP108" i="36"/>
  <c r="BO108" i="36"/>
  <c r="BN108" i="36"/>
  <c r="BM108" i="36"/>
  <c r="BK108" i="36"/>
  <c r="BJ108" i="36"/>
  <c r="BI108" i="36"/>
  <c r="BH108" i="36"/>
  <c r="BG108" i="36"/>
  <c r="BF108" i="36"/>
  <c r="BE108" i="36"/>
  <c r="BD108" i="36"/>
  <c r="BC108" i="36"/>
  <c r="BB108" i="36"/>
  <c r="BA108" i="36"/>
  <c r="AZ108" i="36"/>
  <c r="AY108" i="36"/>
  <c r="AW108" i="36"/>
  <c r="AV108" i="36"/>
  <c r="AU108" i="36"/>
  <c r="AT108" i="36"/>
  <c r="AS108" i="36"/>
  <c r="AR108" i="36"/>
  <c r="AQ108" i="36"/>
  <c r="AP108" i="36"/>
  <c r="AO108" i="36"/>
  <c r="AN108" i="36"/>
  <c r="AM108" i="36"/>
  <c r="AL108" i="36"/>
  <c r="AK108" i="36"/>
  <c r="AI108" i="36"/>
  <c r="AH108" i="36"/>
  <c r="AG108" i="36"/>
  <c r="AF108" i="36"/>
  <c r="AE108" i="36"/>
  <c r="AD108" i="36"/>
  <c r="AC108" i="36"/>
  <c r="AB108" i="36"/>
  <c r="AA108" i="36"/>
  <c r="Z108" i="36"/>
  <c r="Y108" i="36"/>
  <c r="X108" i="36"/>
  <c r="W108" i="36"/>
  <c r="U108" i="36"/>
  <c r="CM107" i="36"/>
  <c r="CL107" i="36"/>
  <c r="CK107" i="36"/>
  <c r="CJ107" i="36"/>
  <c r="CI107" i="36"/>
  <c r="CH107" i="36"/>
  <c r="CG107" i="36"/>
  <c r="CF107" i="36"/>
  <c r="CE107" i="36"/>
  <c r="CD107" i="36"/>
  <c r="CC107" i="36"/>
  <c r="CB107" i="36"/>
  <c r="CA107" i="36"/>
  <c r="BY107" i="36"/>
  <c r="BX107" i="36"/>
  <c r="BW107" i="36"/>
  <c r="BV107" i="36"/>
  <c r="BU107" i="36"/>
  <c r="BT107" i="36"/>
  <c r="BS107" i="36"/>
  <c r="BR107" i="36"/>
  <c r="BQ107" i="36"/>
  <c r="BP107" i="36"/>
  <c r="BO107" i="36"/>
  <c r="BN107" i="36"/>
  <c r="BM107" i="36"/>
  <c r="BK107" i="36"/>
  <c r="BJ107" i="36"/>
  <c r="BI107" i="36"/>
  <c r="BH107" i="36"/>
  <c r="BG107" i="36"/>
  <c r="BF107" i="36"/>
  <c r="BE107" i="36"/>
  <c r="BD107" i="36"/>
  <c r="BC107" i="36"/>
  <c r="BB107" i="36"/>
  <c r="BA107" i="36"/>
  <c r="AZ107" i="36"/>
  <c r="AY107" i="36"/>
  <c r="AW107" i="36"/>
  <c r="AV107" i="36"/>
  <c r="AU107" i="36"/>
  <c r="AT107" i="36"/>
  <c r="AS107" i="36"/>
  <c r="AR107" i="36"/>
  <c r="AQ107" i="36"/>
  <c r="AP107" i="36"/>
  <c r="AO107" i="36"/>
  <c r="AN107" i="36"/>
  <c r="AM107" i="36"/>
  <c r="AL107" i="36"/>
  <c r="AK107" i="36"/>
  <c r="AI107" i="36"/>
  <c r="AH107" i="36"/>
  <c r="AG107" i="36"/>
  <c r="AF107" i="36"/>
  <c r="AE107" i="36"/>
  <c r="AD107" i="36"/>
  <c r="AC107" i="36"/>
  <c r="AB107" i="36"/>
  <c r="AA107" i="36"/>
  <c r="Z107" i="36"/>
  <c r="Y107" i="36"/>
  <c r="X107" i="36"/>
  <c r="W107" i="36"/>
  <c r="U107" i="36"/>
  <c r="CM106" i="36"/>
  <c r="CL106" i="36"/>
  <c r="CK106" i="36"/>
  <c r="CJ106" i="36"/>
  <c r="CI106" i="36"/>
  <c r="CH106" i="36"/>
  <c r="CG106" i="36"/>
  <c r="CF106" i="36"/>
  <c r="CE106" i="36"/>
  <c r="CD106" i="36"/>
  <c r="CC106" i="36"/>
  <c r="CB106" i="36"/>
  <c r="CA106" i="36"/>
  <c r="BY106" i="36"/>
  <c r="BX106" i="36"/>
  <c r="BW106" i="36"/>
  <c r="BV106" i="36"/>
  <c r="BU106" i="36"/>
  <c r="BT106" i="36"/>
  <c r="BS106" i="36"/>
  <c r="BR106" i="36"/>
  <c r="BQ106" i="36"/>
  <c r="BP106" i="36"/>
  <c r="BO106" i="36"/>
  <c r="BN106" i="36"/>
  <c r="BM106" i="36"/>
  <c r="BK106" i="36"/>
  <c r="BJ106" i="36"/>
  <c r="BI106" i="36"/>
  <c r="BH106" i="36"/>
  <c r="BG106" i="36"/>
  <c r="BF106" i="36"/>
  <c r="BE106" i="36"/>
  <c r="BD106" i="36"/>
  <c r="BC106" i="36"/>
  <c r="BB106" i="36"/>
  <c r="BA106" i="36"/>
  <c r="AZ106" i="36"/>
  <c r="AY106" i="36"/>
  <c r="AW106" i="36"/>
  <c r="AV106" i="36"/>
  <c r="AU106" i="36"/>
  <c r="AT106" i="36"/>
  <c r="AS106" i="36"/>
  <c r="AR106" i="36"/>
  <c r="AQ106" i="36"/>
  <c r="AP106" i="36"/>
  <c r="AO106" i="36"/>
  <c r="AN106" i="36"/>
  <c r="AM106" i="36"/>
  <c r="AL106" i="36"/>
  <c r="AK106" i="36"/>
  <c r="AI106" i="36"/>
  <c r="AH106" i="36"/>
  <c r="AG106" i="36"/>
  <c r="AF106" i="36"/>
  <c r="AE106" i="36"/>
  <c r="AD106" i="36"/>
  <c r="AC106" i="36"/>
  <c r="AB106" i="36"/>
  <c r="AA106" i="36"/>
  <c r="Z106" i="36"/>
  <c r="Y106" i="36"/>
  <c r="X106" i="36"/>
  <c r="W106" i="36"/>
  <c r="U106" i="36"/>
  <c r="CM105" i="36"/>
  <c r="CL105" i="36"/>
  <c r="CK105" i="36"/>
  <c r="CJ105" i="36"/>
  <c r="CI105" i="36"/>
  <c r="CH105" i="36"/>
  <c r="CG105" i="36"/>
  <c r="CF105" i="36"/>
  <c r="CE105" i="36"/>
  <c r="CD105" i="36"/>
  <c r="CC105" i="36"/>
  <c r="CB105" i="36"/>
  <c r="CA105" i="36"/>
  <c r="BY105" i="36"/>
  <c r="BX105" i="36"/>
  <c r="BW105" i="36"/>
  <c r="BV105" i="36"/>
  <c r="BU105" i="36"/>
  <c r="BT105" i="36"/>
  <c r="BS105" i="36"/>
  <c r="BR105" i="36"/>
  <c r="BQ105" i="36"/>
  <c r="BP105" i="36"/>
  <c r="BO105" i="36"/>
  <c r="BN105" i="36"/>
  <c r="BM105" i="36"/>
  <c r="BK105" i="36"/>
  <c r="BJ105" i="36"/>
  <c r="BI105" i="36"/>
  <c r="BH105" i="36"/>
  <c r="BG105" i="36"/>
  <c r="BF105" i="36"/>
  <c r="BE105" i="36"/>
  <c r="BD105" i="36"/>
  <c r="BC105" i="36"/>
  <c r="BB105" i="36"/>
  <c r="BA105" i="36"/>
  <c r="AZ105" i="36"/>
  <c r="AY105" i="36"/>
  <c r="AW105" i="36"/>
  <c r="AV105" i="36"/>
  <c r="AU105" i="36"/>
  <c r="AT105" i="36"/>
  <c r="AS105" i="36"/>
  <c r="AR105" i="36"/>
  <c r="AQ105" i="36"/>
  <c r="AP105" i="36"/>
  <c r="AO105" i="36"/>
  <c r="AN105" i="36"/>
  <c r="AM105" i="36"/>
  <c r="AL105" i="36"/>
  <c r="AK105" i="36"/>
  <c r="AI105" i="36"/>
  <c r="AH105" i="36"/>
  <c r="AG105" i="36"/>
  <c r="AF105" i="36"/>
  <c r="AE105" i="36"/>
  <c r="AD105" i="36"/>
  <c r="AC105" i="36"/>
  <c r="AB105" i="36"/>
  <c r="AA105" i="36"/>
  <c r="Z105" i="36"/>
  <c r="Y105" i="36"/>
  <c r="X105" i="36"/>
  <c r="W105" i="36"/>
  <c r="U105" i="36"/>
  <c r="CM104" i="36"/>
  <c r="CL104" i="36"/>
  <c r="CK104" i="36"/>
  <c r="CJ104" i="36"/>
  <c r="CI104" i="36"/>
  <c r="CH104" i="36"/>
  <c r="CG104" i="36"/>
  <c r="CF104" i="36"/>
  <c r="CE104" i="36"/>
  <c r="CD104" i="36"/>
  <c r="CC104" i="36"/>
  <c r="CB104" i="36"/>
  <c r="CA104" i="36"/>
  <c r="BY104" i="36"/>
  <c r="BX104" i="36"/>
  <c r="BW104" i="36"/>
  <c r="BV104" i="36"/>
  <c r="BU104" i="36"/>
  <c r="BT104" i="36"/>
  <c r="BS104" i="36"/>
  <c r="BR104" i="36"/>
  <c r="BQ104" i="36"/>
  <c r="BP104" i="36"/>
  <c r="BO104" i="36"/>
  <c r="BN104" i="36"/>
  <c r="BM104" i="36"/>
  <c r="BK104" i="36"/>
  <c r="BJ104" i="36"/>
  <c r="BI104" i="36"/>
  <c r="BH104" i="36"/>
  <c r="BG104" i="36"/>
  <c r="BF104" i="36"/>
  <c r="BE104" i="36"/>
  <c r="BD104" i="36"/>
  <c r="BC104" i="36"/>
  <c r="BB104" i="36"/>
  <c r="BA104" i="36"/>
  <c r="AZ104" i="36"/>
  <c r="AY104" i="36"/>
  <c r="AW104" i="36"/>
  <c r="AV104" i="36"/>
  <c r="AU104" i="36"/>
  <c r="AT104" i="36"/>
  <c r="AS104" i="36"/>
  <c r="AR104" i="36"/>
  <c r="AQ104" i="36"/>
  <c r="AP104" i="36"/>
  <c r="AO104" i="36"/>
  <c r="AN104" i="36"/>
  <c r="AM104" i="36"/>
  <c r="AL104" i="36"/>
  <c r="AK104" i="36"/>
  <c r="AI104" i="36"/>
  <c r="AH104" i="36"/>
  <c r="AG104" i="36"/>
  <c r="AF104" i="36"/>
  <c r="AE104" i="36"/>
  <c r="AD104" i="36"/>
  <c r="AC104" i="36"/>
  <c r="AB104" i="36"/>
  <c r="AA104" i="36"/>
  <c r="Z104" i="36"/>
  <c r="Y104" i="36"/>
  <c r="X104" i="36"/>
  <c r="W104" i="36"/>
  <c r="U104" i="36"/>
  <c r="CM103" i="36"/>
  <c r="CL103" i="36"/>
  <c r="CK103" i="36"/>
  <c r="CJ103" i="36"/>
  <c r="CI103" i="36"/>
  <c r="CH103" i="36"/>
  <c r="CG103" i="36"/>
  <c r="CF103" i="36"/>
  <c r="CE103" i="36"/>
  <c r="CD103" i="36"/>
  <c r="CC103" i="36"/>
  <c r="CB103" i="36"/>
  <c r="CA103" i="36"/>
  <c r="BY103" i="36"/>
  <c r="BX103" i="36"/>
  <c r="BW103" i="36"/>
  <c r="BV103" i="36"/>
  <c r="BU103" i="36"/>
  <c r="BT103" i="36"/>
  <c r="BS103" i="36"/>
  <c r="BR103" i="36"/>
  <c r="BQ103" i="36"/>
  <c r="BP103" i="36"/>
  <c r="BO103" i="36"/>
  <c r="BN103" i="36"/>
  <c r="BM103" i="36"/>
  <c r="BK103" i="36"/>
  <c r="BJ103" i="36"/>
  <c r="BI103" i="36"/>
  <c r="BH103" i="36"/>
  <c r="BG103" i="36"/>
  <c r="BF103" i="36"/>
  <c r="BE103" i="36"/>
  <c r="BD103" i="36"/>
  <c r="BC103" i="36"/>
  <c r="BB103" i="36"/>
  <c r="BA103" i="36"/>
  <c r="AZ103" i="36"/>
  <c r="AY103" i="36"/>
  <c r="AW103" i="36"/>
  <c r="AV103" i="36"/>
  <c r="AU103" i="36"/>
  <c r="AT103" i="36"/>
  <c r="AS103" i="36"/>
  <c r="AR103" i="36"/>
  <c r="AQ103" i="36"/>
  <c r="AP103" i="36"/>
  <c r="AO103" i="36"/>
  <c r="AN103" i="36"/>
  <c r="AM103" i="36"/>
  <c r="AL103" i="36"/>
  <c r="AK103" i="36"/>
  <c r="AI103" i="36"/>
  <c r="AH103" i="36"/>
  <c r="AG103" i="36"/>
  <c r="AF103" i="36"/>
  <c r="AE103" i="36"/>
  <c r="AD103" i="36"/>
  <c r="AC103" i="36"/>
  <c r="AB103" i="36"/>
  <c r="AA103" i="36"/>
  <c r="Z103" i="36"/>
  <c r="Y103" i="36"/>
  <c r="X103" i="36"/>
  <c r="W103" i="36"/>
  <c r="U103" i="36"/>
  <c r="CM102" i="36"/>
  <c r="CL102" i="36"/>
  <c r="CK102" i="36"/>
  <c r="CJ102" i="36"/>
  <c r="CI102" i="36"/>
  <c r="CH102" i="36"/>
  <c r="CG102" i="36"/>
  <c r="CF102" i="36"/>
  <c r="CE102" i="36"/>
  <c r="CD102" i="36"/>
  <c r="CC102" i="36"/>
  <c r="CB102" i="36"/>
  <c r="CA102" i="36"/>
  <c r="BY102" i="36"/>
  <c r="BX102" i="36"/>
  <c r="BW102" i="36"/>
  <c r="BV102" i="36"/>
  <c r="BU102" i="36"/>
  <c r="BT102" i="36"/>
  <c r="BS102" i="36"/>
  <c r="BR102" i="36"/>
  <c r="BQ102" i="36"/>
  <c r="BP102" i="36"/>
  <c r="BO102" i="36"/>
  <c r="BN102" i="36"/>
  <c r="BM102" i="36"/>
  <c r="BK102" i="36"/>
  <c r="BJ102" i="36"/>
  <c r="BI102" i="36"/>
  <c r="BH102" i="36"/>
  <c r="BG102" i="36"/>
  <c r="BF102" i="36"/>
  <c r="BE102" i="36"/>
  <c r="BD102" i="36"/>
  <c r="BC102" i="36"/>
  <c r="BB102" i="36"/>
  <c r="BA102" i="36"/>
  <c r="AZ102" i="36"/>
  <c r="AY102" i="36"/>
  <c r="AW102" i="36"/>
  <c r="AV102" i="36"/>
  <c r="AU102" i="36"/>
  <c r="AT102" i="36"/>
  <c r="AS102" i="36"/>
  <c r="AR102" i="36"/>
  <c r="AQ102" i="36"/>
  <c r="AP102" i="36"/>
  <c r="AO102" i="36"/>
  <c r="AN102" i="36"/>
  <c r="AM102" i="36"/>
  <c r="AL102" i="36"/>
  <c r="AK102" i="36"/>
  <c r="AI102" i="36"/>
  <c r="AH102" i="36"/>
  <c r="AG102" i="36"/>
  <c r="AF102" i="36"/>
  <c r="AE102" i="36"/>
  <c r="AD102" i="36"/>
  <c r="AC102" i="36"/>
  <c r="AB102" i="36"/>
  <c r="AA102" i="36"/>
  <c r="Z102" i="36"/>
  <c r="Y102" i="36"/>
  <c r="X102" i="36"/>
  <c r="W102" i="36"/>
  <c r="U102" i="36"/>
  <c r="CM101" i="36"/>
  <c r="CL101" i="36"/>
  <c r="CK101" i="36"/>
  <c r="CJ101" i="36"/>
  <c r="CI101" i="36"/>
  <c r="CH101" i="36"/>
  <c r="CG101" i="36"/>
  <c r="CF101" i="36"/>
  <c r="CE101" i="36"/>
  <c r="CD101" i="36"/>
  <c r="CC101" i="36"/>
  <c r="CB101" i="36"/>
  <c r="CA101" i="36"/>
  <c r="BY101" i="36"/>
  <c r="BX101" i="36"/>
  <c r="BW101" i="36"/>
  <c r="BV101" i="36"/>
  <c r="BU101" i="36"/>
  <c r="BT101" i="36"/>
  <c r="BS101" i="36"/>
  <c r="BR101" i="36"/>
  <c r="BQ101" i="36"/>
  <c r="BP101" i="36"/>
  <c r="BO101" i="36"/>
  <c r="BN101" i="36"/>
  <c r="BM101" i="36"/>
  <c r="BK101" i="36"/>
  <c r="BJ101" i="36"/>
  <c r="BI101" i="36"/>
  <c r="BH101" i="36"/>
  <c r="BG101" i="36"/>
  <c r="BF101" i="36"/>
  <c r="BE101" i="36"/>
  <c r="BD101" i="36"/>
  <c r="BC101" i="36"/>
  <c r="BB101" i="36"/>
  <c r="BA101" i="36"/>
  <c r="AZ101" i="36"/>
  <c r="AY101" i="36"/>
  <c r="AW101" i="36"/>
  <c r="AV101" i="36"/>
  <c r="AU101" i="36"/>
  <c r="AT101" i="36"/>
  <c r="AS101" i="36"/>
  <c r="AR101" i="36"/>
  <c r="AQ101" i="36"/>
  <c r="AP101" i="36"/>
  <c r="AO101" i="36"/>
  <c r="AN101" i="36"/>
  <c r="AM101" i="36"/>
  <c r="AL101" i="36"/>
  <c r="AK101" i="36"/>
  <c r="AI101" i="36"/>
  <c r="AH101" i="36"/>
  <c r="AG101" i="36"/>
  <c r="AF101" i="36"/>
  <c r="AE101" i="36"/>
  <c r="AD101" i="36"/>
  <c r="AC101" i="36"/>
  <c r="AB101" i="36"/>
  <c r="AA101" i="36"/>
  <c r="Z101" i="36"/>
  <c r="Y101" i="36"/>
  <c r="X101" i="36"/>
  <c r="W101" i="36"/>
  <c r="U101" i="36"/>
  <c r="CM100" i="36"/>
  <c r="CL100" i="36"/>
  <c r="CK100" i="36"/>
  <c r="CJ100" i="36"/>
  <c r="CI100" i="36"/>
  <c r="CH100" i="36"/>
  <c r="CG100" i="36"/>
  <c r="CF100" i="36"/>
  <c r="CE100" i="36"/>
  <c r="CD100" i="36"/>
  <c r="CC100" i="36"/>
  <c r="CB100" i="36"/>
  <c r="CA100" i="36"/>
  <c r="BY100" i="36"/>
  <c r="BX100" i="36"/>
  <c r="BW100" i="36"/>
  <c r="BV100" i="36"/>
  <c r="BU100" i="36"/>
  <c r="BT100" i="36"/>
  <c r="BS100" i="36"/>
  <c r="BR100" i="36"/>
  <c r="BQ100" i="36"/>
  <c r="BP100" i="36"/>
  <c r="BO100" i="36"/>
  <c r="BN100" i="36"/>
  <c r="BM100" i="36"/>
  <c r="BK100" i="36"/>
  <c r="BJ100" i="36"/>
  <c r="BI100" i="36"/>
  <c r="BH100" i="36"/>
  <c r="BG100" i="36"/>
  <c r="BF100" i="36"/>
  <c r="BE100" i="36"/>
  <c r="BD100" i="36"/>
  <c r="BC100" i="36"/>
  <c r="BB100" i="36"/>
  <c r="BA100" i="36"/>
  <c r="AZ100" i="36"/>
  <c r="AY100" i="36"/>
  <c r="AW100" i="36"/>
  <c r="AV100" i="36"/>
  <c r="AU100" i="36"/>
  <c r="AT100" i="36"/>
  <c r="AS100" i="36"/>
  <c r="AR100" i="36"/>
  <c r="AQ100" i="36"/>
  <c r="AP100" i="36"/>
  <c r="AO100" i="36"/>
  <c r="AN100" i="36"/>
  <c r="AM100" i="36"/>
  <c r="AL100" i="36"/>
  <c r="AK100" i="36"/>
  <c r="AI100" i="36"/>
  <c r="AH100" i="36"/>
  <c r="AG100" i="36"/>
  <c r="AF100" i="36"/>
  <c r="AE100" i="36"/>
  <c r="AD100" i="36"/>
  <c r="AC100" i="36"/>
  <c r="AB100" i="36"/>
  <c r="AA100" i="36"/>
  <c r="Z100" i="36"/>
  <c r="Y100" i="36"/>
  <c r="X100" i="36"/>
  <c r="W100" i="36"/>
  <c r="U100" i="36"/>
  <c r="CM99" i="36"/>
  <c r="CL99" i="36"/>
  <c r="CK99" i="36"/>
  <c r="CJ99" i="36"/>
  <c r="CI99" i="36"/>
  <c r="CH99" i="36"/>
  <c r="CG99" i="36"/>
  <c r="CF99" i="36"/>
  <c r="CE99" i="36"/>
  <c r="CD99" i="36"/>
  <c r="CC99" i="36"/>
  <c r="CB99" i="36"/>
  <c r="CA99" i="36"/>
  <c r="BY99" i="36"/>
  <c r="BX99" i="36"/>
  <c r="BW99" i="36"/>
  <c r="BV99" i="36"/>
  <c r="BU99" i="36"/>
  <c r="BT99" i="36"/>
  <c r="BS99" i="36"/>
  <c r="BR99" i="36"/>
  <c r="BQ99" i="36"/>
  <c r="BP99" i="36"/>
  <c r="BO99" i="36"/>
  <c r="BN99" i="36"/>
  <c r="BM99" i="36"/>
  <c r="BK99" i="36"/>
  <c r="BJ99" i="36"/>
  <c r="BI99" i="36"/>
  <c r="BH99" i="36"/>
  <c r="BG99" i="36"/>
  <c r="BF99" i="36"/>
  <c r="BE99" i="36"/>
  <c r="BD99" i="36"/>
  <c r="BC99" i="36"/>
  <c r="BB99" i="36"/>
  <c r="BA99" i="36"/>
  <c r="AZ99" i="36"/>
  <c r="AY99" i="36"/>
  <c r="AW99" i="36"/>
  <c r="AV99" i="36"/>
  <c r="AU99" i="36"/>
  <c r="AT99" i="36"/>
  <c r="AS99" i="36"/>
  <c r="AR99" i="36"/>
  <c r="AQ99" i="36"/>
  <c r="AP99" i="36"/>
  <c r="AO99" i="36"/>
  <c r="AN99" i="36"/>
  <c r="AM99" i="36"/>
  <c r="AL99" i="36"/>
  <c r="AK99" i="36"/>
  <c r="AI99" i="36"/>
  <c r="AH99" i="36"/>
  <c r="AG99" i="36"/>
  <c r="AF99" i="36"/>
  <c r="AE99" i="36"/>
  <c r="AD99" i="36"/>
  <c r="AC99" i="36"/>
  <c r="AB99" i="36"/>
  <c r="AA99" i="36"/>
  <c r="Z99" i="36"/>
  <c r="Y99" i="36"/>
  <c r="X99" i="36"/>
  <c r="W99" i="36"/>
  <c r="U99" i="36"/>
  <c r="CM98" i="36"/>
  <c r="CL98" i="36"/>
  <c r="CK98" i="36"/>
  <c r="CJ98" i="36"/>
  <c r="CI98" i="36"/>
  <c r="CH98" i="36"/>
  <c r="CG98" i="36"/>
  <c r="CF98" i="36"/>
  <c r="CE98" i="36"/>
  <c r="CD98" i="36"/>
  <c r="CC98" i="36"/>
  <c r="CB98" i="36"/>
  <c r="CA98" i="36"/>
  <c r="BY98" i="36"/>
  <c r="BX98" i="36"/>
  <c r="BW98" i="36"/>
  <c r="BV98" i="36"/>
  <c r="BU98" i="36"/>
  <c r="BT98" i="36"/>
  <c r="BS98" i="36"/>
  <c r="BR98" i="36"/>
  <c r="BQ98" i="36"/>
  <c r="BP98" i="36"/>
  <c r="BO98" i="36"/>
  <c r="BN98" i="36"/>
  <c r="BM98" i="36"/>
  <c r="BK98" i="36"/>
  <c r="BJ98" i="36"/>
  <c r="BI98" i="36"/>
  <c r="BH98" i="36"/>
  <c r="BG98" i="36"/>
  <c r="BF98" i="36"/>
  <c r="BE98" i="36"/>
  <c r="BD98" i="36"/>
  <c r="BC98" i="36"/>
  <c r="BB98" i="36"/>
  <c r="BA98" i="36"/>
  <c r="AZ98" i="36"/>
  <c r="AY98" i="36"/>
  <c r="AW98" i="36"/>
  <c r="AV98" i="36"/>
  <c r="AU98" i="36"/>
  <c r="AT98" i="36"/>
  <c r="AS98" i="36"/>
  <c r="AR98" i="36"/>
  <c r="AQ98" i="36"/>
  <c r="AP98" i="36"/>
  <c r="AO98" i="36"/>
  <c r="AN98" i="36"/>
  <c r="AM98" i="36"/>
  <c r="AL98" i="36"/>
  <c r="AK98" i="36"/>
  <c r="AI98" i="36"/>
  <c r="AH98" i="36"/>
  <c r="AG98" i="36"/>
  <c r="AF98" i="36"/>
  <c r="AE98" i="36"/>
  <c r="AD98" i="36"/>
  <c r="AC98" i="36"/>
  <c r="AB98" i="36"/>
  <c r="AA98" i="36"/>
  <c r="Z98" i="36"/>
  <c r="Y98" i="36"/>
  <c r="X98" i="36"/>
  <c r="W98" i="36"/>
  <c r="CI97" i="36"/>
  <c r="CH97" i="36"/>
  <c r="CG97" i="36"/>
  <c r="CF97" i="36"/>
  <c r="CE97" i="36"/>
  <c r="CD97" i="36"/>
  <c r="CC97" i="36"/>
  <c r="CB97" i="36"/>
  <c r="CA97" i="36"/>
  <c r="BU97" i="36"/>
  <c r="BT97" i="36"/>
  <c r="BS97" i="36"/>
  <c r="BR97" i="36"/>
  <c r="BQ97" i="36"/>
  <c r="BP97" i="36"/>
  <c r="BO97" i="36"/>
  <c r="BN97" i="36"/>
  <c r="BM97" i="36"/>
  <c r="BG97" i="36"/>
  <c r="BF97" i="36"/>
  <c r="BE97" i="36"/>
  <c r="BD97" i="36"/>
  <c r="BC97" i="36"/>
  <c r="BB97" i="36"/>
  <c r="BA97" i="36"/>
  <c r="AZ97" i="36"/>
  <c r="AY97" i="36"/>
  <c r="AS97" i="36"/>
  <c r="AR97" i="36"/>
  <c r="AQ97" i="36"/>
  <c r="AP97" i="36"/>
  <c r="AO97" i="36"/>
  <c r="AN97" i="36"/>
  <c r="AM97" i="36"/>
  <c r="AL97" i="36"/>
  <c r="AK97" i="36"/>
  <c r="AE97" i="36"/>
  <c r="AD97" i="36"/>
  <c r="AC97" i="36"/>
  <c r="AB97" i="36"/>
  <c r="AA97" i="36"/>
  <c r="Z97" i="36"/>
  <c r="Y97" i="36"/>
  <c r="X97" i="36"/>
  <c r="W97" i="36"/>
  <c r="U95" i="36"/>
  <c r="U94" i="36"/>
  <c r="U93" i="36"/>
  <c r="U92" i="36"/>
  <c r="U91" i="36"/>
  <c r="U90" i="36"/>
  <c r="U89" i="36"/>
  <c r="U88" i="36"/>
  <c r="U87" i="36"/>
  <c r="U86" i="36"/>
  <c r="U85" i="36"/>
  <c r="U84" i="36"/>
  <c r="U83" i="36"/>
  <c r="U82" i="36"/>
  <c r="U81" i="36"/>
  <c r="U80" i="36"/>
  <c r="U79" i="36"/>
  <c r="U78" i="36"/>
  <c r="U77" i="36"/>
  <c r="U76" i="36"/>
  <c r="U75" i="36"/>
  <c r="U74" i="36"/>
  <c r="U73" i="36"/>
  <c r="U72" i="36"/>
  <c r="U71" i="36"/>
  <c r="U70" i="36"/>
  <c r="U69" i="36"/>
  <c r="U68" i="36"/>
  <c r="U67" i="36"/>
  <c r="U66" i="36"/>
  <c r="U65" i="36"/>
  <c r="U64" i="36"/>
  <c r="U63" i="36"/>
  <c r="U62" i="36"/>
  <c r="U61" i="36"/>
  <c r="U60" i="36"/>
  <c r="U59" i="36"/>
  <c r="U58" i="36"/>
  <c r="U57" i="36"/>
  <c r="U56" i="36"/>
  <c r="U55" i="36"/>
  <c r="U54" i="36"/>
  <c r="U53" i="36"/>
  <c r="U52" i="36"/>
  <c r="U51" i="36"/>
  <c r="U50" i="36"/>
  <c r="U49" i="36"/>
  <c r="U48" i="36"/>
  <c r="U47" i="36"/>
  <c r="Q45" i="36"/>
  <c r="O45" i="36"/>
  <c r="M45" i="36"/>
  <c r="K45" i="36"/>
  <c r="I45" i="36"/>
  <c r="G45" i="36"/>
  <c r="E45" i="36"/>
  <c r="K66" i="28"/>
  <c r="J66" i="28"/>
  <c r="I66" i="28"/>
  <c r="H66" i="28"/>
  <c r="G66" i="28"/>
  <c r="F66" i="28"/>
  <c r="E66" i="28"/>
  <c r="D66" i="28"/>
  <c r="C66" i="28"/>
  <c r="K65" i="28"/>
  <c r="J65" i="28"/>
  <c r="I65" i="28"/>
  <c r="H65" i="28"/>
  <c r="G65" i="28"/>
  <c r="F65" i="28"/>
  <c r="E65" i="28"/>
  <c r="D65" i="28"/>
  <c r="C65" i="28"/>
  <c r="K64" i="28"/>
  <c r="J64" i="28"/>
  <c r="I64" i="28"/>
  <c r="H64" i="28"/>
  <c r="G64" i="28"/>
  <c r="F64" i="28"/>
  <c r="E64" i="28"/>
  <c r="D64" i="28"/>
  <c r="C64" i="28"/>
  <c r="K63" i="28"/>
  <c r="J63" i="28"/>
  <c r="I63" i="28"/>
  <c r="H63" i="28"/>
  <c r="G63" i="28"/>
  <c r="F63" i="28"/>
  <c r="E63" i="28"/>
  <c r="D63" i="28"/>
  <c r="C63" i="28"/>
  <c r="K62" i="28"/>
  <c r="J62" i="28"/>
  <c r="I62" i="28"/>
  <c r="H62" i="28"/>
  <c r="G62" i="28"/>
  <c r="F62" i="28"/>
  <c r="E62" i="28"/>
  <c r="D62" i="28"/>
  <c r="C62" i="28"/>
  <c r="K61" i="28"/>
  <c r="J61" i="28"/>
  <c r="I61" i="28"/>
  <c r="H61" i="28"/>
  <c r="G61" i="28"/>
  <c r="F61" i="28"/>
  <c r="E61" i="28"/>
  <c r="D61" i="28"/>
  <c r="C61" i="28"/>
  <c r="K60" i="28"/>
  <c r="J60" i="28"/>
  <c r="I60" i="28"/>
  <c r="H60" i="28"/>
  <c r="G60" i="28"/>
  <c r="F60" i="28"/>
  <c r="E60" i="28"/>
  <c r="D60" i="28"/>
  <c r="C60" i="28"/>
  <c r="K59" i="28"/>
  <c r="J59" i="28"/>
  <c r="I59" i="28"/>
  <c r="H59" i="28"/>
  <c r="G59" i="28"/>
  <c r="F59" i="28"/>
  <c r="E59" i="28"/>
  <c r="D59" i="28"/>
  <c r="C59" i="28"/>
  <c r="K58" i="28"/>
  <c r="J58" i="28"/>
  <c r="I58" i="28"/>
  <c r="H58" i="28"/>
  <c r="G58" i="28"/>
  <c r="F58" i="28"/>
  <c r="E58" i="28"/>
  <c r="D58" i="28"/>
  <c r="C58" i="28"/>
  <c r="K57" i="28"/>
  <c r="J57" i="28"/>
  <c r="I57" i="28"/>
  <c r="H57" i="28"/>
  <c r="G57" i="28"/>
  <c r="F57" i="28"/>
  <c r="E57" i="28"/>
  <c r="D57" i="28"/>
  <c r="C57" i="28"/>
  <c r="K56" i="28"/>
  <c r="J56" i="28"/>
  <c r="I56" i="28"/>
  <c r="H56" i="28"/>
  <c r="G56" i="28"/>
  <c r="F56" i="28"/>
  <c r="E56" i="28"/>
  <c r="D56" i="28"/>
  <c r="C56" i="28"/>
  <c r="K55" i="28"/>
  <c r="J55" i="28"/>
  <c r="I55" i="28"/>
  <c r="H55" i="28"/>
  <c r="G55" i="28"/>
  <c r="F55" i="28"/>
  <c r="E55" i="28"/>
  <c r="D55" i="28"/>
  <c r="C55" i="28"/>
  <c r="K54" i="28"/>
  <c r="J54" i="28"/>
  <c r="I54" i="28"/>
  <c r="H54" i="28"/>
  <c r="G54" i="28"/>
  <c r="F54" i="28"/>
  <c r="E54" i="28"/>
  <c r="D54" i="28"/>
  <c r="C54" i="28"/>
  <c r="K53" i="28"/>
  <c r="J53" i="28"/>
  <c r="I53" i="28"/>
  <c r="H53" i="28"/>
  <c r="G53" i="28"/>
  <c r="F53" i="28"/>
  <c r="E53" i="28"/>
  <c r="D53" i="28"/>
  <c r="C53" i="28"/>
  <c r="BI52" i="28"/>
  <c r="BH52" i="28"/>
  <c r="BG52" i="28"/>
  <c r="BF52" i="28"/>
  <c r="BE52" i="28"/>
  <c r="BD52" i="28"/>
  <c r="BC52" i="28"/>
  <c r="BB52" i="28"/>
  <c r="BA52" i="28"/>
  <c r="AY52" i="28"/>
  <c r="AX52" i="28"/>
  <c r="AW52" i="28"/>
  <c r="AV52" i="28"/>
  <c r="AU52" i="28"/>
  <c r="AT52" i="28"/>
  <c r="AS52" i="28"/>
  <c r="AR52" i="28"/>
  <c r="AQ52" i="28"/>
  <c r="AO52" i="28"/>
  <c r="AN52" i="28"/>
  <c r="AM52" i="28"/>
  <c r="AL52" i="28"/>
  <c r="AK52" i="28"/>
  <c r="AJ52" i="28"/>
  <c r="AI52" i="28"/>
  <c r="AH52" i="28"/>
  <c r="AG52" i="28"/>
  <c r="AE52" i="28"/>
  <c r="AD52" i="28"/>
  <c r="AC52" i="28"/>
  <c r="AB52" i="28"/>
  <c r="AA52" i="28"/>
  <c r="Z52" i="28"/>
  <c r="Y52" i="28"/>
  <c r="X52" i="28"/>
  <c r="W52" i="28"/>
  <c r="U52" i="28"/>
  <c r="T52" i="28"/>
  <c r="S52" i="28"/>
  <c r="R52" i="28"/>
  <c r="Q52" i="28"/>
  <c r="P52" i="28"/>
  <c r="O52" i="28"/>
  <c r="N52" i="28"/>
  <c r="M52" i="28"/>
  <c r="K52" i="28"/>
  <c r="J52" i="28"/>
  <c r="I52" i="28"/>
  <c r="H52" i="28"/>
  <c r="G52" i="28"/>
  <c r="F52" i="28"/>
  <c r="E52" i="28"/>
  <c r="D52" i="28"/>
  <c r="C52" i="28"/>
  <c r="BI51" i="28"/>
  <c r="BH51" i="28"/>
  <c r="BG51" i="28"/>
  <c r="BF51" i="28"/>
  <c r="BE51" i="28"/>
  <c r="BD51" i="28"/>
  <c r="BC51" i="28"/>
  <c r="BB51" i="28"/>
  <c r="BA51" i="28"/>
  <c r="AY51" i="28"/>
  <c r="AX51" i="28"/>
  <c r="AW51" i="28"/>
  <c r="AV51" i="28"/>
  <c r="AU51" i="28"/>
  <c r="AT51" i="28"/>
  <c r="AS51" i="28"/>
  <c r="AR51" i="28"/>
  <c r="AQ51" i="28"/>
  <c r="AO51" i="28"/>
  <c r="AN51" i="28"/>
  <c r="AM51" i="28"/>
  <c r="AL51" i="28"/>
  <c r="AK51" i="28"/>
  <c r="AJ51" i="28"/>
  <c r="AI51" i="28"/>
  <c r="AH51" i="28"/>
  <c r="AG51" i="28"/>
  <c r="AE51" i="28"/>
  <c r="AD51" i="28"/>
  <c r="AC51" i="28"/>
  <c r="AB51" i="28"/>
  <c r="AA51" i="28"/>
  <c r="Z51" i="28"/>
  <c r="Y51" i="28"/>
  <c r="X51" i="28"/>
  <c r="W51" i="28"/>
  <c r="U51" i="28"/>
  <c r="T51" i="28"/>
  <c r="S51" i="28"/>
  <c r="R51" i="28"/>
  <c r="Q51" i="28"/>
  <c r="P51" i="28"/>
  <c r="O51" i="28"/>
  <c r="N51" i="28"/>
  <c r="M51" i="28"/>
  <c r="K51" i="28"/>
  <c r="J51" i="28"/>
  <c r="I51" i="28"/>
  <c r="H51" i="28"/>
  <c r="G51" i="28"/>
  <c r="F51" i="28"/>
  <c r="E51" i="28"/>
  <c r="D51" i="28"/>
  <c r="C51" i="28"/>
  <c r="BI50" i="28"/>
  <c r="BH50" i="28"/>
  <c r="BG50" i="28"/>
  <c r="BF50" i="28"/>
  <c r="BE50" i="28"/>
  <c r="BD50" i="28"/>
  <c r="BC50" i="28"/>
  <c r="BB50" i="28"/>
  <c r="BA50" i="28"/>
  <c r="AY50" i="28"/>
  <c r="AX50" i="28"/>
  <c r="AW50" i="28"/>
  <c r="AV50" i="28"/>
  <c r="AU50" i="28"/>
  <c r="AT50" i="28"/>
  <c r="AS50" i="28"/>
  <c r="AR50" i="28"/>
  <c r="AQ50" i="28"/>
  <c r="AO50" i="28"/>
  <c r="AN50" i="28"/>
  <c r="AM50" i="28"/>
  <c r="AL50" i="28"/>
  <c r="AK50" i="28"/>
  <c r="AJ50" i="28"/>
  <c r="AI50" i="28"/>
  <c r="AH50" i="28"/>
  <c r="AG50" i="28"/>
  <c r="AE50" i="28"/>
  <c r="AD50" i="28"/>
  <c r="AC50" i="28"/>
  <c r="AB50" i="28"/>
  <c r="AA50" i="28"/>
  <c r="Z50" i="28"/>
  <c r="Y50" i="28"/>
  <c r="X50" i="28"/>
  <c r="W50" i="28"/>
  <c r="U50" i="28"/>
  <c r="T50" i="28"/>
  <c r="S50" i="28"/>
  <c r="R50" i="28"/>
  <c r="Q50" i="28"/>
  <c r="P50" i="28"/>
  <c r="O50" i="28"/>
  <c r="N50" i="28"/>
  <c r="M50" i="28"/>
  <c r="K50" i="28"/>
  <c r="J50" i="28"/>
  <c r="I50" i="28"/>
  <c r="H50" i="28"/>
  <c r="G50" i="28"/>
  <c r="F50" i="28"/>
  <c r="E50" i="28"/>
  <c r="D50" i="28"/>
  <c r="C50" i="28"/>
  <c r="BI49" i="28"/>
  <c r="BH49" i="28"/>
  <c r="BG49" i="28"/>
  <c r="BF49" i="28"/>
  <c r="BE49" i="28"/>
  <c r="BD49" i="28"/>
  <c r="BC49" i="28"/>
  <c r="BB49" i="28"/>
  <c r="BA49" i="28"/>
  <c r="AY49" i="28"/>
  <c r="AX49" i="28"/>
  <c r="AW49" i="28"/>
  <c r="AV49" i="28"/>
  <c r="AU49" i="28"/>
  <c r="AT49" i="28"/>
  <c r="AS49" i="28"/>
  <c r="AR49" i="28"/>
  <c r="AQ49" i="28"/>
  <c r="AO49" i="28"/>
  <c r="AN49" i="28"/>
  <c r="AM49" i="28"/>
  <c r="AL49" i="28"/>
  <c r="AK49" i="28"/>
  <c r="AJ49" i="28"/>
  <c r="AI49" i="28"/>
  <c r="AH49" i="28"/>
  <c r="AG49" i="28"/>
  <c r="AE49" i="28"/>
  <c r="AD49" i="28"/>
  <c r="AC49" i="28"/>
  <c r="AB49" i="28"/>
  <c r="AA49" i="28"/>
  <c r="Z49" i="28"/>
  <c r="Y49" i="28"/>
  <c r="X49" i="28"/>
  <c r="W49" i="28"/>
  <c r="U49" i="28"/>
  <c r="T49" i="28"/>
  <c r="S49" i="28"/>
  <c r="R49" i="28"/>
  <c r="Q49" i="28"/>
  <c r="P49" i="28"/>
  <c r="O49" i="28"/>
  <c r="N49" i="28"/>
  <c r="M49" i="28"/>
  <c r="K49" i="28"/>
  <c r="J49" i="28"/>
  <c r="I49" i="28"/>
  <c r="H49" i="28"/>
  <c r="G49" i="28"/>
  <c r="F49" i="28"/>
  <c r="E49" i="28"/>
  <c r="D49" i="28"/>
  <c r="C49" i="28"/>
  <c r="BI48" i="28"/>
  <c r="BH48" i="28"/>
  <c r="BG48" i="28"/>
  <c r="BF48" i="28"/>
  <c r="BE48" i="28"/>
  <c r="BD48" i="28"/>
  <c r="BC48" i="28"/>
  <c r="BB48" i="28"/>
  <c r="BA48" i="28"/>
  <c r="AY48" i="28"/>
  <c r="AX48" i="28"/>
  <c r="AW48" i="28"/>
  <c r="AV48" i="28"/>
  <c r="AU48" i="28"/>
  <c r="AT48" i="28"/>
  <c r="AS48" i="28"/>
  <c r="AR48" i="28"/>
  <c r="AQ48" i="28"/>
  <c r="AO48" i="28"/>
  <c r="AN48" i="28"/>
  <c r="AM48" i="28"/>
  <c r="AL48" i="28"/>
  <c r="AK48" i="28"/>
  <c r="AJ48" i="28"/>
  <c r="AI48" i="28"/>
  <c r="AH48" i="28"/>
  <c r="AG48" i="28"/>
  <c r="AE48" i="28"/>
  <c r="AD48" i="28"/>
  <c r="AC48" i="28"/>
  <c r="AB48" i="28"/>
  <c r="AA48" i="28"/>
  <c r="Z48" i="28"/>
  <c r="Y48" i="28"/>
  <c r="X48" i="28"/>
  <c r="W48" i="28"/>
  <c r="U48" i="28"/>
  <c r="T48" i="28"/>
  <c r="S48" i="28"/>
  <c r="R48" i="28"/>
  <c r="Q48" i="28"/>
  <c r="P48" i="28"/>
  <c r="O48" i="28"/>
  <c r="N48" i="28"/>
  <c r="M48" i="28"/>
  <c r="K48" i="28"/>
  <c r="J48" i="28"/>
  <c r="I48" i="28"/>
  <c r="H48" i="28"/>
  <c r="G48" i="28"/>
  <c r="F48" i="28"/>
  <c r="E48" i="28"/>
  <c r="D48" i="28"/>
  <c r="C48" i="28"/>
  <c r="BI47" i="28"/>
  <c r="BH47" i="28"/>
  <c r="BG47" i="28"/>
  <c r="BF47" i="28"/>
  <c r="BE47" i="28"/>
  <c r="BD47" i="28"/>
  <c r="BC47" i="28"/>
  <c r="BB47" i="28"/>
  <c r="BA47" i="28"/>
  <c r="AY47" i="28"/>
  <c r="AX47" i="28"/>
  <c r="AW47" i="28"/>
  <c r="AV47" i="28"/>
  <c r="AU47" i="28"/>
  <c r="AT47" i="28"/>
  <c r="AS47" i="28"/>
  <c r="AR47" i="28"/>
  <c r="AQ47" i="28"/>
  <c r="AO47" i="28"/>
  <c r="AN47" i="28"/>
  <c r="AM47" i="28"/>
  <c r="AL47" i="28"/>
  <c r="AK47" i="28"/>
  <c r="AJ47" i="28"/>
  <c r="AI47" i="28"/>
  <c r="AH47" i="28"/>
  <c r="AG47" i="28"/>
  <c r="AE47" i="28"/>
  <c r="AD47" i="28"/>
  <c r="AC47" i="28"/>
  <c r="AB47" i="28"/>
  <c r="AA47" i="28"/>
  <c r="Z47" i="28"/>
  <c r="Y47" i="28"/>
  <c r="X47" i="28"/>
  <c r="W47" i="28"/>
  <c r="U47" i="28"/>
  <c r="T47" i="28"/>
  <c r="S47" i="28"/>
  <c r="R47" i="28"/>
  <c r="Q47" i="28"/>
  <c r="P47" i="28"/>
  <c r="O47" i="28"/>
  <c r="N47" i="28"/>
  <c r="M47" i="28"/>
  <c r="K47" i="28"/>
  <c r="J47" i="28"/>
  <c r="I47" i="28"/>
  <c r="H47" i="28"/>
  <c r="G47" i="28"/>
  <c r="F47" i="28"/>
  <c r="E47" i="28"/>
  <c r="D47" i="28"/>
  <c r="C47" i="28"/>
  <c r="K46" i="28"/>
  <c r="J46" i="28"/>
  <c r="I46" i="28"/>
  <c r="H46" i="28"/>
  <c r="G46" i="28"/>
  <c r="F46" i="28"/>
  <c r="E46" i="28"/>
  <c r="D46" i="28"/>
  <c r="C46" i="28"/>
  <c r="K45" i="28"/>
  <c r="J45" i="28"/>
  <c r="I45" i="28"/>
  <c r="H45" i="28"/>
  <c r="G45" i="28"/>
  <c r="F45" i="28"/>
  <c r="E45" i="28"/>
  <c r="D45" i="28"/>
  <c r="C45" i="28"/>
  <c r="K44" i="28"/>
  <c r="J44" i="28"/>
  <c r="I44" i="28"/>
  <c r="H44" i="28"/>
  <c r="G44" i="28"/>
  <c r="F44" i="28"/>
  <c r="E44" i="28"/>
  <c r="D44" i="28"/>
  <c r="C44" i="28"/>
  <c r="K43" i="28"/>
  <c r="J43" i="28"/>
  <c r="I43" i="28"/>
  <c r="H43" i="28"/>
  <c r="G43" i="28"/>
  <c r="F43" i="28"/>
  <c r="E43" i="28"/>
  <c r="D43" i="28"/>
  <c r="C43" i="28"/>
  <c r="K42" i="28"/>
  <c r="J42" i="28"/>
  <c r="I42" i="28"/>
  <c r="H42" i="28"/>
  <c r="G42" i="28"/>
  <c r="F42" i="28"/>
  <c r="E42" i="28"/>
  <c r="D42" i="28"/>
  <c r="C42" i="28"/>
  <c r="H41" i="28"/>
  <c r="G41" i="28"/>
  <c r="F41" i="28"/>
  <c r="E41" i="28"/>
  <c r="D41" i="28"/>
  <c r="C41" i="28"/>
  <c r="K37" i="28"/>
  <c r="J37" i="28"/>
  <c r="I37" i="28"/>
  <c r="H37" i="28"/>
  <c r="G37" i="28"/>
  <c r="F37" i="28"/>
  <c r="E37" i="28"/>
  <c r="D37" i="28"/>
  <c r="C37" i="28"/>
  <c r="K31" i="28"/>
  <c r="J31" i="28"/>
  <c r="I31" i="28"/>
  <c r="H31" i="28"/>
  <c r="G31" i="28"/>
  <c r="F31" i="28"/>
  <c r="E31" i="28"/>
  <c r="D31" i="28"/>
  <c r="C31" i="28"/>
  <c r="K25" i="28"/>
  <c r="J25" i="28"/>
  <c r="I25" i="28"/>
  <c r="H25" i="28"/>
  <c r="G25" i="28"/>
  <c r="F25" i="28"/>
  <c r="E25" i="28"/>
  <c r="D25" i="28"/>
  <c r="C25" i="28"/>
  <c r="K19" i="28"/>
  <c r="J19" i="28"/>
  <c r="I19" i="28"/>
  <c r="H19" i="28"/>
  <c r="G19" i="28"/>
  <c r="F19" i="28"/>
  <c r="E19" i="28"/>
  <c r="D19" i="28"/>
  <c r="C19" i="28"/>
  <c r="K13" i="28"/>
  <c r="J13" i="28"/>
  <c r="I13" i="28"/>
  <c r="H13" i="28"/>
  <c r="G13" i="28"/>
  <c r="F13" i="28"/>
  <c r="E13" i="28"/>
  <c r="D13" i="28"/>
  <c r="C13" i="28"/>
  <c r="H7" i="28"/>
  <c r="G7" i="28"/>
  <c r="F7" i="28"/>
  <c r="E7" i="28"/>
  <c r="D7" i="28"/>
  <c r="R161" i="26"/>
  <c r="Q161" i="26"/>
  <c r="P161" i="26"/>
  <c r="O161" i="26"/>
  <c r="N161" i="26"/>
  <c r="M161" i="26"/>
  <c r="L161" i="26"/>
  <c r="K161" i="26"/>
  <c r="J161" i="26"/>
  <c r="I161" i="26"/>
  <c r="H161" i="26"/>
  <c r="G161" i="26"/>
  <c r="F161" i="26"/>
  <c r="E161" i="26"/>
  <c r="D161" i="26"/>
  <c r="C161" i="26"/>
  <c r="R160" i="26"/>
  <c r="Q160" i="26"/>
  <c r="P160" i="26"/>
  <c r="O160" i="26"/>
  <c r="N160" i="26"/>
  <c r="M160" i="26"/>
  <c r="L160" i="26"/>
  <c r="K160" i="26"/>
  <c r="J160" i="26"/>
  <c r="I160" i="26"/>
  <c r="H160" i="26"/>
  <c r="G160" i="26"/>
  <c r="F160" i="26"/>
  <c r="E160" i="26"/>
  <c r="D160" i="26"/>
  <c r="C160" i="26"/>
  <c r="R159" i="26"/>
  <c r="Q159" i="26"/>
  <c r="P159" i="26"/>
  <c r="O159" i="26"/>
  <c r="N159" i="26"/>
  <c r="M159" i="26"/>
  <c r="L159" i="26"/>
  <c r="K159" i="26"/>
  <c r="J159" i="26"/>
  <c r="I159" i="26"/>
  <c r="H159" i="26"/>
  <c r="G159" i="26"/>
  <c r="F159" i="26"/>
  <c r="E159" i="26"/>
  <c r="D159" i="26"/>
  <c r="C159" i="26"/>
  <c r="R158" i="26"/>
  <c r="Q158" i="26"/>
  <c r="P158" i="26"/>
  <c r="O158" i="26"/>
  <c r="N158" i="26"/>
  <c r="M158" i="26"/>
  <c r="L158" i="26"/>
  <c r="K158" i="26"/>
  <c r="J158" i="26"/>
  <c r="I158" i="26"/>
  <c r="H158" i="26"/>
  <c r="G158" i="26"/>
  <c r="F158" i="26"/>
  <c r="E158" i="26"/>
  <c r="D158" i="26"/>
  <c r="C158" i="26"/>
  <c r="R157" i="26"/>
  <c r="Q157" i="26"/>
  <c r="P157" i="26"/>
  <c r="O157" i="26"/>
  <c r="N157" i="26"/>
  <c r="M157" i="26"/>
  <c r="L157" i="26"/>
  <c r="K157" i="26"/>
  <c r="J157" i="26"/>
  <c r="I157" i="26"/>
  <c r="H157" i="26"/>
  <c r="G157" i="26"/>
  <c r="F157" i="26"/>
  <c r="E157" i="26"/>
  <c r="D157" i="26"/>
  <c r="C157" i="26"/>
  <c r="R156" i="26"/>
  <c r="Q156" i="26"/>
  <c r="P156" i="26"/>
  <c r="O156" i="26"/>
  <c r="N156" i="26"/>
  <c r="M156" i="26"/>
  <c r="L156" i="26"/>
  <c r="K156" i="26"/>
  <c r="J156" i="26"/>
  <c r="I156" i="26"/>
  <c r="H156" i="26"/>
  <c r="G156" i="26"/>
  <c r="F156" i="26"/>
  <c r="E156" i="26"/>
  <c r="D156" i="26"/>
  <c r="C156" i="26"/>
  <c r="R155" i="26"/>
  <c r="Q155" i="26"/>
  <c r="P155" i="26"/>
  <c r="O155" i="26"/>
  <c r="N155" i="26"/>
  <c r="M155" i="26"/>
  <c r="L155" i="26"/>
  <c r="K155" i="26"/>
  <c r="J155" i="26"/>
  <c r="I155" i="26"/>
  <c r="H155" i="26"/>
  <c r="G155" i="26"/>
  <c r="F155" i="26"/>
  <c r="E155" i="26"/>
  <c r="D155" i="26"/>
  <c r="R154" i="26"/>
  <c r="Q154" i="26"/>
  <c r="P154" i="26"/>
  <c r="O154" i="26"/>
  <c r="N154" i="26"/>
  <c r="M154" i="26"/>
  <c r="L154" i="26"/>
  <c r="K154" i="26"/>
  <c r="J154" i="26"/>
  <c r="I154" i="26"/>
  <c r="H154" i="26"/>
  <c r="G154" i="26"/>
  <c r="F154" i="26"/>
  <c r="E154" i="26"/>
  <c r="D154" i="26"/>
  <c r="R153" i="26"/>
  <c r="Q153" i="26"/>
  <c r="P153" i="26"/>
  <c r="O153" i="26"/>
  <c r="N153" i="26"/>
  <c r="M153" i="26"/>
  <c r="L153" i="26"/>
  <c r="K153" i="26"/>
  <c r="J153" i="26"/>
  <c r="I153" i="26"/>
  <c r="H153" i="26"/>
  <c r="G153" i="26"/>
  <c r="F153" i="26"/>
  <c r="E153" i="26"/>
  <c r="D153" i="26"/>
  <c r="R152" i="26"/>
  <c r="Q152" i="26"/>
  <c r="P152" i="26"/>
  <c r="O152" i="26"/>
  <c r="N152" i="26"/>
  <c r="M152" i="26"/>
  <c r="L152" i="26"/>
  <c r="K152" i="26"/>
  <c r="J152" i="26"/>
  <c r="I152" i="26"/>
  <c r="H152" i="26"/>
  <c r="G152" i="26"/>
  <c r="F152" i="26"/>
  <c r="E152" i="26"/>
  <c r="D152" i="26"/>
  <c r="R151" i="26"/>
  <c r="Q151" i="26"/>
  <c r="P151" i="26"/>
  <c r="O151" i="26"/>
  <c r="N151" i="26"/>
  <c r="M151" i="26"/>
  <c r="L151" i="26"/>
  <c r="K151" i="26"/>
  <c r="J151" i="26"/>
  <c r="I151" i="26"/>
  <c r="H151" i="26"/>
  <c r="G151" i="26"/>
  <c r="F151" i="26"/>
  <c r="E151" i="26"/>
  <c r="D151" i="26"/>
  <c r="R150" i="26"/>
  <c r="Q150" i="26"/>
  <c r="P150" i="26"/>
  <c r="O150" i="26"/>
  <c r="N150" i="26"/>
  <c r="M150" i="26"/>
  <c r="L150" i="26"/>
  <c r="K150" i="26"/>
  <c r="J150" i="26"/>
  <c r="I150" i="26"/>
  <c r="H150" i="26"/>
  <c r="G150" i="26"/>
  <c r="F150" i="26"/>
  <c r="E150" i="26"/>
  <c r="D150" i="26"/>
  <c r="R149" i="26"/>
  <c r="Q149" i="26"/>
  <c r="P149" i="26"/>
  <c r="O149" i="26"/>
  <c r="N149" i="26"/>
  <c r="M149" i="26"/>
  <c r="L149" i="26"/>
  <c r="K149" i="26"/>
  <c r="J149" i="26"/>
  <c r="I149" i="26"/>
  <c r="H149" i="26"/>
  <c r="G149" i="26"/>
  <c r="F149" i="26"/>
  <c r="E149" i="26"/>
  <c r="D149" i="26"/>
  <c r="C149" i="26"/>
  <c r="R148" i="26"/>
  <c r="Q148" i="26"/>
  <c r="P148" i="26"/>
  <c r="O148" i="26"/>
  <c r="N148" i="26"/>
  <c r="M148" i="26"/>
  <c r="L148" i="26"/>
  <c r="K148" i="26"/>
  <c r="J148" i="26"/>
  <c r="I148" i="26"/>
  <c r="H148" i="26"/>
  <c r="G148" i="26"/>
  <c r="F148" i="26"/>
  <c r="E148" i="26"/>
  <c r="D148" i="26"/>
  <c r="C148" i="26"/>
  <c r="R147" i="26"/>
  <c r="Q147" i="26"/>
  <c r="P147" i="26"/>
  <c r="O147" i="26"/>
  <c r="N147" i="26"/>
  <c r="M147" i="26"/>
  <c r="L147" i="26"/>
  <c r="K147" i="26"/>
  <c r="J147" i="26"/>
  <c r="I147" i="26"/>
  <c r="H147" i="26"/>
  <c r="G147" i="26"/>
  <c r="F147" i="26"/>
  <c r="E147" i="26"/>
  <c r="D147" i="26"/>
  <c r="C147" i="26"/>
  <c r="R146" i="26"/>
  <c r="Q146" i="26"/>
  <c r="P146" i="26"/>
  <c r="O146" i="26"/>
  <c r="N146" i="26"/>
  <c r="M146" i="26"/>
  <c r="L146" i="26"/>
  <c r="K146" i="26"/>
  <c r="J146" i="26"/>
  <c r="I146" i="26"/>
  <c r="H146" i="26"/>
  <c r="G146" i="26"/>
  <c r="F146" i="26"/>
  <c r="E146" i="26"/>
  <c r="D146" i="26"/>
  <c r="C146" i="26"/>
  <c r="DE145" i="26"/>
  <c r="DD145" i="26"/>
  <c r="DC145" i="26"/>
  <c r="DB145" i="26"/>
  <c r="DA145" i="26"/>
  <c r="CZ145" i="26"/>
  <c r="CY145" i="26"/>
  <c r="CX145" i="26"/>
  <c r="CW145" i="26"/>
  <c r="CV145" i="26"/>
  <c r="CU145" i="26"/>
  <c r="CT145" i="26"/>
  <c r="CS145" i="26"/>
  <c r="CR145" i="26"/>
  <c r="CP145" i="26"/>
  <c r="CO145" i="26"/>
  <c r="CN145" i="26"/>
  <c r="CM145" i="26"/>
  <c r="CL145" i="26"/>
  <c r="CK145" i="26"/>
  <c r="CJ145" i="26"/>
  <c r="CI145" i="26"/>
  <c r="CH145" i="26"/>
  <c r="CG145" i="26"/>
  <c r="CF145" i="26"/>
  <c r="CE145" i="26"/>
  <c r="CD145" i="26"/>
  <c r="CC145" i="26"/>
  <c r="CB145" i="26"/>
  <c r="BZ145" i="26"/>
  <c r="BY145" i="26"/>
  <c r="BX145" i="26"/>
  <c r="BW145" i="26"/>
  <c r="BV145" i="26"/>
  <c r="BU145" i="26"/>
  <c r="BT145" i="26"/>
  <c r="BS145" i="26"/>
  <c r="BR145" i="26"/>
  <c r="BQ145" i="26"/>
  <c r="BP145" i="26"/>
  <c r="BO145" i="26"/>
  <c r="BN145" i="26"/>
  <c r="BM145" i="26"/>
  <c r="BL145" i="26"/>
  <c r="BJ145" i="26"/>
  <c r="BI145" i="26"/>
  <c r="BH145" i="26"/>
  <c r="BG145" i="26"/>
  <c r="BF145" i="26"/>
  <c r="BE145" i="26"/>
  <c r="BD145" i="26"/>
  <c r="BC145" i="26"/>
  <c r="BB145" i="26"/>
  <c r="BA145" i="26"/>
  <c r="AZ145" i="26"/>
  <c r="AY145" i="26"/>
  <c r="AX145" i="26"/>
  <c r="AW145" i="26"/>
  <c r="AV145" i="26"/>
  <c r="AT145" i="26"/>
  <c r="AS145" i="26"/>
  <c r="AR145" i="26"/>
  <c r="AQ145" i="26"/>
  <c r="AP145" i="26"/>
  <c r="AO145" i="26"/>
  <c r="AN145" i="26"/>
  <c r="AM145" i="26"/>
  <c r="AL145" i="26"/>
  <c r="AK145" i="26"/>
  <c r="AJ145" i="26"/>
  <c r="AI145" i="26"/>
  <c r="AH145" i="26"/>
  <c r="AG145" i="26"/>
  <c r="AF145" i="26"/>
  <c r="R145" i="26"/>
  <c r="Q145" i="26"/>
  <c r="P145" i="26"/>
  <c r="O145" i="26"/>
  <c r="N145" i="26"/>
  <c r="M145" i="26"/>
  <c r="L145" i="26"/>
  <c r="K145" i="26"/>
  <c r="J145" i="26"/>
  <c r="I145" i="26"/>
  <c r="H145" i="26"/>
  <c r="G145" i="26"/>
  <c r="F145" i="26"/>
  <c r="E145" i="26"/>
  <c r="D145" i="26"/>
  <c r="C145" i="26"/>
  <c r="DE144" i="26"/>
  <c r="DD144" i="26"/>
  <c r="DC144" i="26"/>
  <c r="DB144" i="26"/>
  <c r="DA144" i="26"/>
  <c r="CZ144" i="26"/>
  <c r="CY144" i="26"/>
  <c r="CX144" i="26"/>
  <c r="CW144" i="26"/>
  <c r="CV144" i="26"/>
  <c r="CU144" i="26"/>
  <c r="CT144" i="26"/>
  <c r="CS144" i="26"/>
  <c r="CR144" i="26"/>
  <c r="CP144" i="26"/>
  <c r="CO144" i="26"/>
  <c r="CN144" i="26"/>
  <c r="CM144" i="26"/>
  <c r="CL144" i="26"/>
  <c r="CK144" i="26"/>
  <c r="CJ144" i="26"/>
  <c r="CI144" i="26"/>
  <c r="CH144" i="26"/>
  <c r="CG144" i="26"/>
  <c r="CF144" i="26"/>
  <c r="CE144" i="26"/>
  <c r="CD144" i="26"/>
  <c r="CC144" i="26"/>
  <c r="CB144" i="26"/>
  <c r="BZ144" i="26"/>
  <c r="BY144" i="26"/>
  <c r="BX144" i="26"/>
  <c r="BW144" i="26"/>
  <c r="BV144" i="26"/>
  <c r="BU144" i="26"/>
  <c r="BT144" i="26"/>
  <c r="BS144" i="26"/>
  <c r="BR144" i="26"/>
  <c r="BQ144" i="26"/>
  <c r="BP144" i="26"/>
  <c r="BO144" i="26"/>
  <c r="BN144" i="26"/>
  <c r="BM144" i="26"/>
  <c r="BL144" i="26"/>
  <c r="BJ144" i="26"/>
  <c r="BI144" i="26"/>
  <c r="BH144" i="26"/>
  <c r="BG144" i="26"/>
  <c r="BF144" i="26"/>
  <c r="BE144" i="26"/>
  <c r="BD144" i="26"/>
  <c r="BC144" i="26"/>
  <c r="BB144" i="26"/>
  <c r="BA144" i="26"/>
  <c r="AZ144" i="26"/>
  <c r="AY144" i="26"/>
  <c r="AX144" i="26"/>
  <c r="AW144" i="26"/>
  <c r="AV144" i="26"/>
  <c r="AT144" i="26"/>
  <c r="AS144" i="26"/>
  <c r="AR144" i="26"/>
  <c r="AQ144" i="26"/>
  <c r="AP144" i="26"/>
  <c r="AO144" i="26"/>
  <c r="AN144" i="26"/>
  <c r="AM144" i="26"/>
  <c r="AL144" i="26"/>
  <c r="AK144" i="26"/>
  <c r="AJ144" i="26"/>
  <c r="AI144" i="26"/>
  <c r="AH144" i="26"/>
  <c r="AG144" i="26"/>
  <c r="AF144" i="26"/>
  <c r="AE144" i="26"/>
  <c r="R144" i="26"/>
  <c r="Q144" i="26"/>
  <c r="P144" i="26"/>
  <c r="O144" i="26"/>
  <c r="N144" i="26"/>
  <c r="M144" i="26"/>
  <c r="L144" i="26"/>
  <c r="K144" i="26"/>
  <c r="J144" i="26"/>
  <c r="I144" i="26"/>
  <c r="H144" i="26"/>
  <c r="G144" i="26"/>
  <c r="F144" i="26"/>
  <c r="E144" i="26"/>
  <c r="D144" i="26"/>
  <c r="C144" i="26"/>
  <c r="DE143" i="26"/>
  <c r="DD143" i="26"/>
  <c r="DC143" i="26"/>
  <c r="DB143" i="26"/>
  <c r="DA143" i="26"/>
  <c r="CZ143" i="26"/>
  <c r="CY143" i="26"/>
  <c r="CX143" i="26"/>
  <c r="CW143" i="26"/>
  <c r="CV143" i="26"/>
  <c r="CU143" i="26"/>
  <c r="CT143" i="26"/>
  <c r="CS143" i="26"/>
  <c r="CR143" i="26"/>
  <c r="CP143" i="26"/>
  <c r="CO143" i="26"/>
  <c r="CN143" i="26"/>
  <c r="CM143" i="26"/>
  <c r="CL143" i="26"/>
  <c r="CK143" i="26"/>
  <c r="CJ143" i="26"/>
  <c r="CI143" i="26"/>
  <c r="CH143" i="26"/>
  <c r="CG143" i="26"/>
  <c r="CF143" i="26"/>
  <c r="CE143" i="26"/>
  <c r="CD143" i="26"/>
  <c r="CC143" i="26"/>
  <c r="CB143" i="26"/>
  <c r="BZ143" i="26"/>
  <c r="BY143" i="26"/>
  <c r="BX143" i="26"/>
  <c r="BW143" i="26"/>
  <c r="BV143" i="26"/>
  <c r="BU143" i="26"/>
  <c r="BT143" i="26"/>
  <c r="BS143" i="26"/>
  <c r="BR143" i="26"/>
  <c r="BQ143" i="26"/>
  <c r="BP143" i="26"/>
  <c r="BO143" i="26"/>
  <c r="BN143" i="26"/>
  <c r="BM143" i="26"/>
  <c r="BL143" i="26"/>
  <c r="BJ143" i="26"/>
  <c r="BI143" i="26"/>
  <c r="BH143" i="26"/>
  <c r="BG143" i="26"/>
  <c r="BF143" i="26"/>
  <c r="BE143" i="26"/>
  <c r="BD143" i="26"/>
  <c r="BC143" i="26"/>
  <c r="BB143" i="26"/>
  <c r="BA143" i="26"/>
  <c r="AZ143" i="26"/>
  <c r="AY143" i="26"/>
  <c r="AX143" i="26"/>
  <c r="AW143" i="26"/>
  <c r="AV143" i="26"/>
  <c r="AT143" i="26"/>
  <c r="AS143" i="26"/>
  <c r="AR143" i="26"/>
  <c r="AQ143" i="26"/>
  <c r="AP143" i="26"/>
  <c r="AO143" i="26"/>
  <c r="AN143" i="26"/>
  <c r="AM143" i="26"/>
  <c r="AL143" i="26"/>
  <c r="AK143" i="26"/>
  <c r="AJ143" i="26"/>
  <c r="AI143" i="26"/>
  <c r="AH143" i="26"/>
  <c r="AG143" i="26"/>
  <c r="AF143" i="26"/>
  <c r="AE143" i="26"/>
  <c r="R143" i="26"/>
  <c r="Q143" i="26"/>
  <c r="P143" i="26"/>
  <c r="O143" i="26"/>
  <c r="N143" i="26"/>
  <c r="M143" i="26"/>
  <c r="L143" i="26"/>
  <c r="K143" i="26"/>
  <c r="J143" i="26"/>
  <c r="I143" i="26"/>
  <c r="H143" i="26"/>
  <c r="G143" i="26"/>
  <c r="F143" i="26"/>
  <c r="E143" i="26"/>
  <c r="D143" i="26"/>
  <c r="C143" i="26"/>
  <c r="DE142" i="26"/>
  <c r="DD142" i="26"/>
  <c r="DC142" i="26"/>
  <c r="DB142" i="26"/>
  <c r="DA142" i="26"/>
  <c r="CZ142" i="26"/>
  <c r="CY142" i="26"/>
  <c r="CX142" i="26"/>
  <c r="CW142" i="26"/>
  <c r="CV142" i="26"/>
  <c r="CU142" i="26"/>
  <c r="CT142" i="26"/>
  <c r="CS142" i="26"/>
  <c r="CR142" i="26"/>
  <c r="CP142" i="26"/>
  <c r="CO142" i="26"/>
  <c r="CN142" i="26"/>
  <c r="CM142" i="26"/>
  <c r="CL142" i="26"/>
  <c r="CK142" i="26"/>
  <c r="CJ142" i="26"/>
  <c r="CI142" i="26"/>
  <c r="CH142" i="26"/>
  <c r="CG142" i="26"/>
  <c r="CF142" i="26"/>
  <c r="CE142" i="26"/>
  <c r="CD142" i="26"/>
  <c r="CC142" i="26"/>
  <c r="CB142" i="26"/>
  <c r="BZ142" i="26"/>
  <c r="BY142" i="26"/>
  <c r="BX142" i="26"/>
  <c r="BW142" i="26"/>
  <c r="BV142" i="26"/>
  <c r="BU142" i="26"/>
  <c r="BT142" i="26"/>
  <c r="BS142" i="26"/>
  <c r="BR142" i="26"/>
  <c r="BQ142" i="26"/>
  <c r="BP142" i="26"/>
  <c r="BO142" i="26"/>
  <c r="BN142" i="26"/>
  <c r="BM142" i="26"/>
  <c r="BL142" i="26"/>
  <c r="BJ142" i="26"/>
  <c r="BI142" i="26"/>
  <c r="BH142" i="26"/>
  <c r="BG142" i="26"/>
  <c r="BF142" i="26"/>
  <c r="BE142" i="26"/>
  <c r="BD142" i="26"/>
  <c r="BC142" i="26"/>
  <c r="BB142" i="26"/>
  <c r="BA142" i="26"/>
  <c r="AZ142" i="26"/>
  <c r="AY142" i="26"/>
  <c r="AX142" i="26"/>
  <c r="AW142" i="26"/>
  <c r="AV142" i="26"/>
  <c r="AT142" i="26"/>
  <c r="AS142" i="26"/>
  <c r="AR142" i="26"/>
  <c r="AQ142" i="26"/>
  <c r="AP142" i="26"/>
  <c r="AO142" i="26"/>
  <c r="AN142" i="26"/>
  <c r="AM142" i="26"/>
  <c r="AL142" i="26"/>
  <c r="AK142" i="26"/>
  <c r="AJ142" i="26"/>
  <c r="AI142" i="26"/>
  <c r="AH142" i="26"/>
  <c r="AG142" i="26"/>
  <c r="AF142" i="26"/>
  <c r="AE142" i="26"/>
  <c r="R142" i="26"/>
  <c r="Q142" i="26"/>
  <c r="P142" i="26"/>
  <c r="O142" i="26"/>
  <c r="N142" i="26"/>
  <c r="M142" i="26"/>
  <c r="L142" i="26"/>
  <c r="K142" i="26"/>
  <c r="J142" i="26"/>
  <c r="I142" i="26"/>
  <c r="H142" i="26"/>
  <c r="G142" i="26"/>
  <c r="F142" i="26"/>
  <c r="E142" i="26"/>
  <c r="D142" i="26"/>
  <c r="C142" i="26"/>
  <c r="DE141" i="26"/>
  <c r="DD141" i="26"/>
  <c r="DC141" i="26"/>
  <c r="DB141" i="26"/>
  <c r="DA141" i="26"/>
  <c r="CZ141" i="26"/>
  <c r="CY141" i="26"/>
  <c r="CX141" i="26"/>
  <c r="CW141" i="26"/>
  <c r="CV141" i="26"/>
  <c r="CU141" i="26"/>
  <c r="CT141" i="26"/>
  <c r="CS141" i="26"/>
  <c r="CR141" i="26"/>
  <c r="CP141" i="26"/>
  <c r="CO141" i="26"/>
  <c r="CN141" i="26"/>
  <c r="CM141" i="26"/>
  <c r="CL141" i="26"/>
  <c r="CK141" i="26"/>
  <c r="CJ141" i="26"/>
  <c r="CI141" i="26"/>
  <c r="CH141" i="26"/>
  <c r="CG141" i="26"/>
  <c r="CF141" i="26"/>
  <c r="CE141" i="26"/>
  <c r="CD141" i="26"/>
  <c r="CC141" i="26"/>
  <c r="CB141" i="26"/>
  <c r="BZ141" i="26"/>
  <c r="BY141" i="26"/>
  <c r="BX141" i="26"/>
  <c r="BW141" i="26"/>
  <c r="BV141" i="26"/>
  <c r="BU141" i="26"/>
  <c r="BT141" i="26"/>
  <c r="BS141" i="26"/>
  <c r="BR141" i="26"/>
  <c r="BQ141" i="26"/>
  <c r="BP141" i="26"/>
  <c r="BO141" i="26"/>
  <c r="BN141" i="26"/>
  <c r="BM141" i="26"/>
  <c r="BL141" i="26"/>
  <c r="BJ141" i="26"/>
  <c r="BI141" i="26"/>
  <c r="BH141" i="26"/>
  <c r="BG141" i="26"/>
  <c r="BF141" i="26"/>
  <c r="BE141" i="26"/>
  <c r="BD141" i="26"/>
  <c r="BC141" i="26"/>
  <c r="BB141" i="26"/>
  <c r="BA141" i="26"/>
  <c r="AZ141" i="26"/>
  <c r="AY141" i="26"/>
  <c r="AX141" i="26"/>
  <c r="AW141" i="26"/>
  <c r="AV141" i="26"/>
  <c r="AT141" i="26"/>
  <c r="AS141" i="26"/>
  <c r="AR141" i="26"/>
  <c r="AQ141" i="26"/>
  <c r="AP141" i="26"/>
  <c r="AO141" i="26"/>
  <c r="AN141" i="26"/>
  <c r="AM141" i="26"/>
  <c r="AL141" i="26"/>
  <c r="AK141" i="26"/>
  <c r="AJ141" i="26"/>
  <c r="AI141" i="26"/>
  <c r="AH141" i="26"/>
  <c r="AG141" i="26"/>
  <c r="AF141" i="26"/>
  <c r="AE141" i="26"/>
  <c r="R141" i="26"/>
  <c r="Q141" i="26"/>
  <c r="P141" i="26"/>
  <c r="O141" i="26"/>
  <c r="N141" i="26"/>
  <c r="M141" i="26"/>
  <c r="L141" i="26"/>
  <c r="K141" i="26"/>
  <c r="J141" i="26"/>
  <c r="I141" i="26"/>
  <c r="H141" i="26"/>
  <c r="G141" i="26"/>
  <c r="F141" i="26"/>
  <c r="E141" i="26"/>
  <c r="D141" i="26"/>
  <c r="C141" i="26"/>
  <c r="DE140" i="26"/>
  <c r="DD140" i="26"/>
  <c r="DC140" i="26"/>
  <c r="DB140" i="26"/>
  <c r="DA140" i="26"/>
  <c r="CZ140" i="26"/>
  <c r="CY140" i="26"/>
  <c r="CX140" i="26"/>
  <c r="CW140" i="26"/>
  <c r="CV140" i="26"/>
  <c r="CU140" i="26"/>
  <c r="CT140" i="26"/>
  <c r="CS140" i="26"/>
  <c r="CR140" i="26"/>
  <c r="CP140" i="26"/>
  <c r="CO140" i="26"/>
  <c r="CN140" i="26"/>
  <c r="CM140" i="26"/>
  <c r="CL140" i="26"/>
  <c r="CK140" i="26"/>
  <c r="CJ140" i="26"/>
  <c r="CI140" i="26"/>
  <c r="CH140" i="26"/>
  <c r="CG140" i="26"/>
  <c r="CF140" i="26"/>
  <c r="CE140" i="26"/>
  <c r="CD140" i="26"/>
  <c r="CC140" i="26"/>
  <c r="CB140" i="26"/>
  <c r="BZ140" i="26"/>
  <c r="BY140" i="26"/>
  <c r="BX140" i="26"/>
  <c r="BW140" i="26"/>
  <c r="BV140" i="26"/>
  <c r="BU140" i="26"/>
  <c r="BT140" i="26"/>
  <c r="BS140" i="26"/>
  <c r="BR140" i="26"/>
  <c r="BQ140" i="26"/>
  <c r="BP140" i="26"/>
  <c r="BO140" i="26"/>
  <c r="BN140" i="26"/>
  <c r="BM140" i="26"/>
  <c r="BL140" i="26"/>
  <c r="BJ140" i="26"/>
  <c r="BI140" i="26"/>
  <c r="BH140" i="26"/>
  <c r="BG140" i="26"/>
  <c r="BF140" i="26"/>
  <c r="BE140" i="26"/>
  <c r="BD140" i="26"/>
  <c r="BC140" i="26"/>
  <c r="BB140" i="26"/>
  <c r="BA140" i="26"/>
  <c r="AZ140" i="26"/>
  <c r="AY140" i="26"/>
  <c r="AX140" i="26"/>
  <c r="AW140" i="26"/>
  <c r="AV140" i="26"/>
  <c r="AT140" i="26"/>
  <c r="AS140" i="26"/>
  <c r="AR140" i="26"/>
  <c r="AQ140" i="26"/>
  <c r="AP140" i="26"/>
  <c r="AO140" i="26"/>
  <c r="AN140" i="26"/>
  <c r="AM140" i="26"/>
  <c r="AL140" i="26"/>
  <c r="AK140" i="26"/>
  <c r="AJ140" i="26"/>
  <c r="AI140" i="26"/>
  <c r="AH140" i="26"/>
  <c r="AG140" i="26"/>
  <c r="AF140" i="26"/>
  <c r="AE140" i="26"/>
  <c r="R140" i="26"/>
  <c r="Q140" i="26"/>
  <c r="P140" i="26"/>
  <c r="O140" i="26"/>
  <c r="N140" i="26"/>
  <c r="M140" i="26"/>
  <c r="L140" i="26"/>
  <c r="K140" i="26"/>
  <c r="J140" i="26"/>
  <c r="I140" i="26"/>
  <c r="H140" i="26"/>
  <c r="G140" i="26"/>
  <c r="F140" i="26"/>
  <c r="E140" i="26"/>
  <c r="D140" i="26"/>
  <c r="C140" i="26"/>
  <c r="DC139" i="26"/>
  <c r="DB139" i="26"/>
  <c r="DA139" i="26"/>
  <c r="CZ139" i="26"/>
  <c r="CY139" i="26"/>
  <c r="CX139" i="26"/>
  <c r="CW139" i="26"/>
  <c r="CV139" i="26"/>
  <c r="CU139" i="26"/>
  <c r="CT139" i="26"/>
  <c r="CS139" i="26"/>
  <c r="CR139" i="26"/>
  <c r="CP139" i="26"/>
  <c r="CO139" i="26"/>
  <c r="CN139" i="26"/>
  <c r="CM139" i="26"/>
  <c r="CL139" i="26"/>
  <c r="CK139" i="26"/>
  <c r="CJ139" i="26"/>
  <c r="CI139" i="26"/>
  <c r="CH139" i="26"/>
  <c r="CG139" i="26"/>
  <c r="CF139" i="26"/>
  <c r="CE139" i="26"/>
  <c r="CD139" i="26"/>
  <c r="CC139" i="26"/>
  <c r="CB139" i="26"/>
  <c r="BZ139" i="26"/>
  <c r="BY139" i="26"/>
  <c r="BX139" i="26"/>
  <c r="BW139" i="26"/>
  <c r="BV139" i="26"/>
  <c r="BU139" i="26"/>
  <c r="BT139" i="26"/>
  <c r="BS139" i="26"/>
  <c r="BR139" i="26"/>
  <c r="BQ139" i="26"/>
  <c r="BP139" i="26"/>
  <c r="BO139" i="26"/>
  <c r="BN139" i="26"/>
  <c r="BM139" i="26"/>
  <c r="BL139" i="26"/>
  <c r="BJ139" i="26"/>
  <c r="BI139" i="26"/>
  <c r="BH139" i="26"/>
  <c r="BG139" i="26"/>
  <c r="BF139" i="26"/>
  <c r="BE139" i="26"/>
  <c r="BD139" i="26"/>
  <c r="BC139" i="26"/>
  <c r="BB139" i="26"/>
  <c r="BA139" i="26"/>
  <c r="AZ139" i="26"/>
  <c r="AY139" i="26"/>
  <c r="AX139" i="26"/>
  <c r="AW139" i="26"/>
  <c r="AV139" i="26"/>
  <c r="AT139" i="26"/>
  <c r="AS139" i="26"/>
  <c r="AR139" i="26"/>
  <c r="AQ139" i="26"/>
  <c r="AP139" i="26"/>
  <c r="AO139" i="26"/>
  <c r="AN139" i="26"/>
  <c r="AM139" i="26"/>
  <c r="AL139" i="26"/>
  <c r="AK139" i="26"/>
  <c r="AJ139" i="26"/>
  <c r="AI139" i="26"/>
  <c r="AH139" i="26"/>
  <c r="AG139" i="26"/>
  <c r="AF139" i="26"/>
  <c r="R139" i="26"/>
  <c r="Q139" i="26"/>
  <c r="P139" i="26"/>
  <c r="O139" i="26"/>
  <c r="N139" i="26"/>
  <c r="M139" i="26"/>
  <c r="L139" i="26"/>
  <c r="K139" i="26"/>
  <c r="J139" i="26"/>
  <c r="I139" i="26"/>
  <c r="H139" i="26"/>
  <c r="G139" i="26"/>
  <c r="F139" i="26"/>
  <c r="E139" i="26"/>
  <c r="D139" i="26"/>
  <c r="C139" i="26"/>
  <c r="R138" i="26"/>
  <c r="Q138" i="26"/>
  <c r="P138" i="26"/>
  <c r="O138" i="26"/>
  <c r="N138" i="26"/>
  <c r="M138" i="26"/>
  <c r="L138" i="26"/>
  <c r="K138" i="26"/>
  <c r="J138" i="26"/>
  <c r="I138" i="26"/>
  <c r="H138" i="26"/>
  <c r="G138" i="26"/>
  <c r="F138" i="26"/>
  <c r="E138" i="26"/>
  <c r="D138" i="26"/>
  <c r="C138" i="26"/>
  <c r="R137" i="26"/>
  <c r="Q137" i="26"/>
  <c r="P137" i="26"/>
  <c r="O137" i="26"/>
  <c r="N137" i="26"/>
  <c r="M137" i="26"/>
  <c r="L137" i="26"/>
  <c r="K137" i="26"/>
  <c r="J137" i="26"/>
  <c r="I137" i="26"/>
  <c r="H137" i="26"/>
  <c r="G137" i="26"/>
  <c r="F137" i="26"/>
  <c r="E137" i="26"/>
  <c r="D137" i="26"/>
  <c r="C137" i="26"/>
  <c r="R136" i="26"/>
  <c r="Q136" i="26"/>
  <c r="P136" i="26"/>
  <c r="O136" i="26"/>
  <c r="N136" i="26"/>
  <c r="M136" i="26"/>
  <c r="L136" i="26"/>
  <c r="K136" i="26"/>
  <c r="J136" i="26"/>
  <c r="I136" i="26"/>
  <c r="H136" i="26"/>
  <c r="G136" i="26"/>
  <c r="F136" i="26"/>
  <c r="E136" i="26"/>
  <c r="D136" i="26"/>
  <c r="C136" i="26"/>
  <c r="R135" i="26"/>
  <c r="Q135" i="26"/>
  <c r="P135" i="26"/>
  <c r="O135" i="26"/>
  <c r="N135" i="26"/>
  <c r="M135" i="26"/>
  <c r="L135" i="26"/>
  <c r="K135" i="26"/>
  <c r="J135" i="26"/>
  <c r="I135" i="26"/>
  <c r="H135" i="26"/>
  <c r="G135" i="26"/>
  <c r="F135" i="26"/>
  <c r="E135" i="26"/>
  <c r="D135" i="26"/>
  <c r="C135" i="26"/>
  <c r="R134" i="26"/>
  <c r="Q134" i="26"/>
  <c r="P134" i="26"/>
  <c r="O134" i="26"/>
  <c r="N134" i="26"/>
  <c r="M134" i="26"/>
  <c r="L134" i="26"/>
  <c r="K134" i="26"/>
  <c r="J134" i="26"/>
  <c r="I134" i="26"/>
  <c r="H134" i="26"/>
  <c r="G134" i="26"/>
  <c r="F134" i="26"/>
  <c r="E134" i="26"/>
  <c r="D134" i="26"/>
  <c r="C134" i="26"/>
  <c r="R133" i="26"/>
  <c r="Q133" i="26"/>
  <c r="P133" i="26"/>
  <c r="O133" i="26"/>
  <c r="N133" i="26"/>
  <c r="M133" i="26"/>
  <c r="L133" i="26"/>
  <c r="K133" i="26"/>
  <c r="J133" i="26"/>
  <c r="I133" i="26"/>
  <c r="H133" i="26"/>
  <c r="G133" i="26"/>
  <c r="F133" i="26"/>
  <c r="E133" i="26"/>
  <c r="D133" i="26"/>
  <c r="C133" i="26"/>
  <c r="R132" i="26"/>
  <c r="Q132" i="26"/>
  <c r="P132" i="26"/>
  <c r="O132" i="26"/>
  <c r="N132" i="26"/>
  <c r="M132" i="26"/>
  <c r="L132" i="26"/>
  <c r="K132" i="26"/>
  <c r="J132" i="26"/>
  <c r="I132" i="26"/>
  <c r="H132" i="26"/>
  <c r="G132" i="26"/>
  <c r="F132" i="26"/>
  <c r="E132" i="26"/>
  <c r="D132" i="26"/>
  <c r="C132" i="26"/>
  <c r="R128" i="26"/>
  <c r="Q128" i="26"/>
  <c r="P128" i="26"/>
  <c r="R122" i="26"/>
  <c r="Q122" i="26"/>
  <c r="P122" i="26"/>
  <c r="R116" i="26"/>
  <c r="Q116" i="26"/>
  <c r="P116" i="26"/>
  <c r="R110" i="26"/>
  <c r="Q110" i="26"/>
  <c r="P110" i="26"/>
  <c r="R104" i="26"/>
  <c r="Q104" i="26"/>
  <c r="P104" i="26"/>
  <c r="DF93" i="26"/>
  <c r="DE93" i="26"/>
  <c r="DD93" i="26"/>
  <c r="DC93" i="26"/>
  <c r="DB93" i="26"/>
  <c r="DA93" i="26"/>
  <c r="CZ93" i="26"/>
  <c r="CY93" i="26"/>
  <c r="CX93" i="26"/>
  <c r="CW93" i="26"/>
  <c r="CV93" i="26"/>
  <c r="CU93" i="26"/>
  <c r="CT93" i="26"/>
  <c r="CS93" i="26"/>
  <c r="CR93" i="26"/>
  <c r="CP93" i="26"/>
  <c r="CO93" i="26"/>
  <c r="CN93" i="26"/>
  <c r="CM93" i="26"/>
  <c r="CL93" i="26"/>
  <c r="CK93" i="26"/>
  <c r="CJ93" i="26"/>
  <c r="CI93" i="26"/>
  <c r="CH93" i="26"/>
  <c r="CG93" i="26"/>
  <c r="CF93" i="26"/>
  <c r="CE93" i="26"/>
  <c r="CD93" i="26"/>
  <c r="CC93" i="26"/>
  <c r="CB93" i="26"/>
  <c r="BZ93" i="26"/>
  <c r="BY93" i="26"/>
  <c r="BX93" i="26"/>
  <c r="BW93" i="26"/>
  <c r="BV93" i="26"/>
  <c r="BU93" i="26"/>
  <c r="BT93" i="26"/>
  <c r="BS93" i="26"/>
  <c r="BR93" i="26"/>
  <c r="BQ93" i="26"/>
  <c r="BP93" i="26"/>
  <c r="BO93" i="26"/>
  <c r="BN93" i="26"/>
  <c r="BM93" i="26"/>
  <c r="BL93" i="26"/>
  <c r="BJ93" i="26"/>
  <c r="BI93" i="26"/>
  <c r="BH93" i="26"/>
  <c r="BG93" i="26"/>
  <c r="BF93" i="26"/>
  <c r="BE93" i="26"/>
  <c r="BD93" i="26"/>
  <c r="BC93" i="26"/>
  <c r="BB93" i="26"/>
  <c r="BA93" i="26"/>
  <c r="AZ93" i="26"/>
  <c r="AY93" i="26"/>
  <c r="AX93" i="26"/>
  <c r="AW93" i="26"/>
  <c r="AV93" i="26"/>
  <c r="AT93" i="26"/>
  <c r="AS93" i="26"/>
  <c r="AR93" i="26"/>
  <c r="AQ93" i="26"/>
  <c r="AP93" i="26"/>
  <c r="AO93" i="26"/>
  <c r="AN93" i="26"/>
  <c r="AM93" i="26"/>
  <c r="AL93" i="26"/>
  <c r="AK93" i="26"/>
  <c r="AJ93" i="26"/>
  <c r="AI93" i="26"/>
  <c r="AH93" i="26"/>
  <c r="AG93" i="26"/>
  <c r="AF93" i="26"/>
  <c r="DF92" i="26"/>
  <c r="DE92" i="26"/>
  <c r="DD92" i="26"/>
  <c r="DC92" i="26"/>
  <c r="DB92" i="26"/>
  <c r="DA92" i="26"/>
  <c r="CZ92" i="26"/>
  <c r="CY92" i="26"/>
  <c r="CX92" i="26"/>
  <c r="CW92" i="26"/>
  <c r="CV92" i="26"/>
  <c r="CU92" i="26"/>
  <c r="CT92" i="26"/>
  <c r="CS92" i="26"/>
  <c r="CR92" i="26"/>
  <c r="CP92" i="26"/>
  <c r="CO92" i="26"/>
  <c r="CN92" i="26"/>
  <c r="CM92" i="26"/>
  <c r="CL92" i="26"/>
  <c r="CK92" i="26"/>
  <c r="CJ92" i="26"/>
  <c r="CI92" i="26"/>
  <c r="CH92" i="26"/>
  <c r="CG92" i="26"/>
  <c r="CF92" i="26"/>
  <c r="CE92" i="26"/>
  <c r="CD92" i="26"/>
  <c r="CC92" i="26"/>
  <c r="CB92" i="26"/>
  <c r="BZ92" i="26"/>
  <c r="BY92" i="26"/>
  <c r="BX92" i="26"/>
  <c r="BW92" i="26"/>
  <c r="BV92" i="26"/>
  <c r="BU92" i="26"/>
  <c r="BT92" i="26"/>
  <c r="BS92" i="26"/>
  <c r="BR92" i="26"/>
  <c r="BQ92" i="26"/>
  <c r="BP92" i="26"/>
  <c r="BO92" i="26"/>
  <c r="BN92" i="26"/>
  <c r="BM92" i="26"/>
  <c r="BL92" i="26"/>
  <c r="BJ92" i="26"/>
  <c r="BI92" i="26"/>
  <c r="BH92" i="26"/>
  <c r="BG92" i="26"/>
  <c r="BF92" i="26"/>
  <c r="BE92" i="26"/>
  <c r="BD92" i="26"/>
  <c r="BC92" i="26"/>
  <c r="BB92" i="26"/>
  <c r="BA92" i="26"/>
  <c r="AZ92" i="26"/>
  <c r="AY92" i="26"/>
  <c r="AX92" i="26"/>
  <c r="AW92" i="26"/>
  <c r="AV92" i="26"/>
  <c r="AT92" i="26"/>
  <c r="AS92" i="26"/>
  <c r="AR92" i="26"/>
  <c r="AQ92" i="26"/>
  <c r="AP92" i="26"/>
  <c r="AO92" i="26"/>
  <c r="AN92" i="26"/>
  <c r="AM92" i="26"/>
  <c r="AL92" i="26"/>
  <c r="AK92" i="26"/>
  <c r="AJ92" i="26"/>
  <c r="AI92" i="26"/>
  <c r="AH92" i="26"/>
  <c r="AG92" i="26"/>
  <c r="AF92" i="26"/>
  <c r="DF91" i="26"/>
  <c r="DE91" i="26"/>
  <c r="DD91" i="26"/>
  <c r="DC91" i="26"/>
  <c r="DB91" i="26"/>
  <c r="DA91" i="26"/>
  <c r="CZ91" i="26"/>
  <c r="CY91" i="26"/>
  <c r="CX91" i="26"/>
  <c r="CW91" i="26"/>
  <c r="CV91" i="26"/>
  <c r="CU91" i="26"/>
  <c r="CT91" i="26"/>
  <c r="CS91" i="26"/>
  <c r="CR91" i="26"/>
  <c r="CP91" i="26"/>
  <c r="CO91" i="26"/>
  <c r="CN91" i="26"/>
  <c r="CM91" i="26"/>
  <c r="CL91" i="26"/>
  <c r="CK91" i="26"/>
  <c r="CJ91" i="26"/>
  <c r="CI91" i="26"/>
  <c r="CH91" i="26"/>
  <c r="CG91" i="26"/>
  <c r="CF91" i="26"/>
  <c r="CE91" i="26"/>
  <c r="CD91" i="26"/>
  <c r="CC91" i="26"/>
  <c r="CB91" i="26"/>
  <c r="BZ91" i="26"/>
  <c r="BY91" i="26"/>
  <c r="BX91" i="26"/>
  <c r="BW91" i="26"/>
  <c r="BV91" i="26"/>
  <c r="BU91" i="26"/>
  <c r="BT91" i="26"/>
  <c r="BS91" i="26"/>
  <c r="BR91" i="26"/>
  <c r="BQ91" i="26"/>
  <c r="BP91" i="26"/>
  <c r="BO91" i="26"/>
  <c r="BN91" i="26"/>
  <c r="BM91" i="26"/>
  <c r="BL91" i="26"/>
  <c r="BJ91" i="26"/>
  <c r="BI91" i="26"/>
  <c r="BH91" i="26"/>
  <c r="BG91" i="26"/>
  <c r="BF91" i="26"/>
  <c r="BE91" i="26"/>
  <c r="BD91" i="26"/>
  <c r="BC91" i="26"/>
  <c r="BB91" i="26"/>
  <c r="BA91" i="26"/>
  <c r="AZ91" i="26"/>
  <c r="AY91" i="26"/>
  <c r="AX91" i="26"/>
  <c r="AW91" i="26"/>
  <c r="AV91" i="26"/>
  <c r="AT91" i="26"/>
  <c r="AS91" i="26"/>
  <c r="AR91" i="26"/>
  <c r="AQ91" i="26"/>
  <c r="AP91" i="26"/>
  <c r="AO91" i="26"/>
  <c r="AN91" i="26"/>
  <c r="AM91" i="26"/>
  <c r="AL91" i="26"/>
  <c r="AK91" i="26"/>
  <c r="AJ91" i="26"/>
  <c r="AI91" i="26"/>
  <c r="AH91" i="26"/>
  <c r="AG91" i="26"/>
  <c r="AF91" i="26"/>
  <c r="DF90" i="26"/>
  <c r="DE90" i="26"/>
  <c r="DD90" i="26"/>
  <c r="DC90" i="26"/>
  <c r="DB90" i="26"/>
  <c r="DA90" i="26"/>
  <c r="CZ90" i="26"/>
  <c r="CY90" i="26"/>
  <c r="CX90" i="26"/>
  <c r="CW90" i="26"/>
  <c r="CV90" i="26"/>
  <c r="CU90" i="26"/>
  <c r="CT90" i="26"/>
  <c r="CS90" i="26"/>
  <c r="CR90" i="26"/>
  <c r="CP90" i="26"/>
  <c r="CO90" i="26"/>
  <c r="CN90" i="26"/>
  <c r="CM90" i="26"/>
  <c r="CL90" i="26"/>
  <c r="CK90" i="26"/>
  <c r="CJ90" i="26"/>
  <c r="CI90" i="26"/>
  <c r="CH90" i="26"/>
  <c r="CG90" i="26"/>
  <c r="CF90" i="26"/>
  <c r="CE90" i="26"/>
  <c r="CD90" i="26"/>
  <c r="CC90" i="26"/>
  <c r="CB90" i="26"/>
  <c r="BZ90" i="26"/>
  <c r="BY90" i="26"/>
  <c r="BX90" i="26"/>
  <c r="BW90" i="26"/>
  <c r="BV90" i="26"/>
  <c r="BU90" i="26"/>
  <c r="BT90" i="26"/>
  <c r="BS90" i="26"/>
  <c r="BR90" i="26"/>
  <c r="BQ90" i="26"/>
  <c r="BP90" i="26"/>
  <c r="BO90" i="26"/>
  <c r="BN90" i="26"/>
  <c r="BM90" i="26"/>
  <c r="BL90" i="26"/>
  <c r="BJ90" i="26"/>
  <c r="BI90" i="26"/>
  <c r="BH90" i="26"/>
  <c r="BG90" i="26"/>
  <c r="BF90" i="26"/>
  <c r="BE90" i="26"/>
  <c r="BD90" i="26"/>
  <c r="BC90" i="26"/>
  <c r="BB90" i="26"/>
  <c r="BA90" i="26"/>
  <c r="AZ90" i="26"/>
  <c r="AY90" i="26"/>
  <c r="AX90" i="26"/>
  <c r="AW90" i="26"/>
  <c r="AV90" i="26"/>
  <c r="AT90" i="26"/>
  <c r="AS90" i="26"/>
  <c r="AR90" i="26"/>
  <c r="AQ90" i="26"/>
  <c r="AP90" i="26"/>
  <c r="AO90" i="26"/>
  <c r="AN90" i="26"/>
  <c r="AM90" i="26"/>
  <c r="AL90" i="26"/>
  <c r="AK90" i="26"/>
  <c r="AJ90" i="26"/>
  <c r="AI90" i="26"/>
  <c r="AH90" i="26"/>
  <c r="AG90" i="26"/>
  <c r="AF90" i="26"/>
  <c r="DF89" i="26"/>
  <c r="DE89" i="26"/>
  <c r="DD89" i="26"/>
  <c r="DC89" i="26"/>
  <c r="DB89" i="26"/>
  <c r="DA89" i="26"/>
  <c r="CZ89" i="26"/>
  <c r="CY89" i="26"/>
  <c r="CX89" i="26"/>
  <c r="CW89" i="26"/>
  <c r="CV89" i="26"/>
  <c r="CU89" i="26"/>
  <c r="CT89" i="26"/>
  <c r="CS89" i="26"/>
  <c r="CR89" i="26"/>
  <c r="CP89" i="26"/>
  <c r="CO89" i="26"/>
  <c r="CN89" i="26"/>
  <c r="CM89" i="26"/>
  <c r="CL89" i="26"/>
  <c r="CK89" i="26"/>
  <c r="CJ89" i="26"/>
  <c r="CI89" i="26"/>
  <c r="CH89" i="26"/>
  <c r="CG89" i="26"/>
  <c r="CF89" i="26"/>
  <c r="CE89" i="26"/>
  <c r="CD89" i="26"/>
  <c r="CC89" i="26"/>
  <c r="CB89" i="26"/>
  <c r="BZ89" i="26"/>
  <c r="BY89" i="26"/>
  <c r="BX89" i="26"/>
  <c r="BW89" i="26"/>
  <c r="BV89" i="26"/>
  <c r="BU89" i="26"/>
  <c r="BT89" i="26"/>
  <c r="BS89" i="26"/>
  <c r="BR89" i="26"/>
  <c r="BQ89" i="26"/>
  <c r="BP89" i="26"/>
  <c r="BO89" i="26"/>
  <c r="BN89" i="26"/>
  <c r="BM89" i="26"/>
  <c r="BL89" i="26"/>
  <c r="BJ89" i="26"/>
  <c r="BI89" i="26"/>
  <c r="BH89" i="26"/>
  <c r="BG89" i="26"/>
  <c r="BF89" i="26"/>
  <c r="BE89" i="26"/>
  <c r="BD89" i="26"/>
  <c r="BC89" i="26"/>
  <c r="BB89" i="26"/>
  <c r="BA89" i="26"/>
  <c r="AZ89" i="26"/>
  <c r="AY89" i="26"/>
  <c r="AX89" i="26"/>
  <c r="AW89" i="26"/>
  <c r="AV89" i="26"/>
  <c r="AT89" i="26"/>
  <c r="AS89" i="26"/>
  <c r="AR89" i="26"/>
  <c r="AQ89" i="26"/>
  <c r="AP89" i="26"/>
  <c r="AO89" i="26"/>
  <c r="AN89" i="26"/>
  <c r="AM89" i="26"/>
  <c r="AL89" i="26"/>
  <c r="AK89" i="26"/>
  <c r="AJ89" i="26"/>
  <c r="AI89" i="26"/>
  <c r="AH89" i="26"/>
  <c r="AG89" i="26"/>
  <c r="AF89" i="26"/>
  <c r="DF88" i="26"/>
  <c r="DE88" i="26"/>
  <c r="DD88" i="26"/>
  <c r="DC88" i="26"/>
  <c r="DB88" i="26"/>
  <c r="DA88" i="26"/>
  <c r="CZ88" i="26"/>
  <c r="CY88" i="26"/>
  <c r="CX88" i="26"/>
  <c r="CW88" i="26"/>
  <c r="CV88" i="26"/>
  <c r="CU88" i="26"/>
  <c r="CT88" i="26"/>
  <c r="CS88" i="26"/>
  <c r="CR88" i="26"/>
  <c r="CP88" i="26"/>
  <c r="CO88" i="26"/>
  <c r="CN88" i="26"/>
  <c r="CM88" i="26"/>
  <c r="CL88" i="26"/>
  <c r="CK88" i="26"/>
  <c r="CJ88" i="26"/>
  <c r="CI88" i="26"/>
  <c r="CH88" i="26"/>
  <c r="CG88" i="26"/>
  <c r="CF88" i="26"/>
  <c r="CE88" i="26"/>
  <c r="CD88" i="26"/>
  <c r="CC88" i="26"/>
  <c r="CB88" i="26"/>
  <c r="BZ88" i="26"/>
  <c r="BY88" i="26"/>
  <c r="BX88" i="26"/>
  <c r="BW88" i="26"/>
  <c r="BV88" i="26"/>
  <c r="BU88" i="26"/>
  <c r="BT88" i="26"/>
  <c r="BS88" i="26"/>
  <c r="BR88" i="26"/>
  <c r="BQ88" i="26"/>
  <c r="BP88" i="26"/>
  <c r="BO88" i="26"/>
  <c r="BN88" i="26"/>
  <c r="BM88" i="26"/>
  <c r="BL88" i="26"/>
  <c r="BJ88" i="26"/>
  <c r="BI88" i="26"/>
  <c r="BH88" i="26"/>
  <c r="BG88" i="26"/>
  <c r="BF88" i="26"/>
  <c r="BE88" i="26"/>
  <c r="BD88" i="26"/>
  <c r="BC88" i="26"/>
  <c r="BB88" i="26"/>
  <c r="BA88" i="26"/>
  <c r="AZ88" i="26"/>
  <c r="AY88" i="26"/>
  <c r="AX88" i="26"/>
  <c r="AW88" i="26"/>
  <c r="AV88" i="26"/>
  <c r="AT88" i="26"/>
  <c r="AS88" i="26"/>
  <c r="AR88" i="26"/>
  <c r="AQ88" i="26"/>
  <c r="AP88" i="26"/>
  <c r="AO88" i="26"/>
  <c r="AN88" i="26"/>
  <c r="AM88" i="26"/>
  <c r="AL88" i="26"/>
  <c r="AK88" i="26"/>
  <c r="AJ88" i="26"/>
  <c r="AI88" i="26"/>
  <c r="AH88" i="26"/>
  <c r="AG88" i="26"/>
  <c r="AF88" i="26"/>
  <c r="DF87" i="26"/>
  <c r="DE87" i="26"/>
  <c r="DD87" i="26"/>
  <c r="DC87" i="26"/>
  <c r="DB87" i="26"/>
  <c r="DA87" i="26"/>
  <c r="CZ87" i="26"/>
  <c r="CY87" i="26"/>
  <c r="CX87" i="26"/>
  <c r="CW87" i="26"/>
  <c r="CV87" i="26"/>
  <c r="CU87" i="26"/>
  <c r="CT87" i="26"/>
  <c r="CS87" i="26"/>
  <c r="CR87" i="26"/>
  <c r="CP87" i="26"/>
  <c r="CO87" i="26"/>
  <c r="CN87" i="26"/>
  <c r="CM87" i="26"/>
  <c r="CL87" i="26"/>
  <c r="CK87" i="26"/>
  <c r="CJ87" i="26"/>
  <c r="CI87" i="26"/>
  <c r="CH87" i="26"/>
  <c r="CG87" i="26"/>
  <c r="CF87" i="26"/>
  <c r="CE87" i="26"/>
  <c r="CD87" i="26"/>
  <c r="CC87" i="26"/>
  <c r="CB87" i="26"/>
  <c r="BZ87" i="26"/>
  <c r="BY87" i="26"/>
  <c r="BX87" i="26"/>
  <c r="BW87" i="26"/>
  <c r="BV87" i="26"/>
  <c r="BU87" i="26"/>
  <c r="BT87" i="26"/>
  <c r="BS87" i="26"/>
  <c r="BR87" i="26"/>
  <c r="BQ87" i="26"/>
  <c r="BP87" i="26"/>
  <c r="BO87" i="26"/>
  <c r="BN87" i="26"/>
  <c r="BM87" i="26"/>
  <c r="BL87" i="26"/>
  <c r="BJ87" i="26"/>
  <c r="BI87" i="26"/>
  <c r="BH87" i="26"/>
  <c r="BG87" i="26"/>
  <c r="BF87" i="26"/>
  <c r="BE87" i="26"/>
  <c r="BD87" i="26"/>
  <c r="BC87" i="26"/>
  <c r="BB87" i="26"/>
  <c r="BA87" i="26"/>
  <c r="AZ87" i="26"/>
  <c r="AY87" i="26"/>
  <c r="AX87" i="26"/>
  <c r="AW87" i="26"/>
  <c r="AV87" i="26"/>
  <c r="AT87" i="26"/>
  <c r="AS87" i="26"/>
  <c r="AR87" i="26"/>
  <c r="AQ87" i="26"/>
  <c r="AP87" i="26"/>
  <c r="AO87" i="26"/>
  <c r="AN87" i="26"/>
  <c r="AM87" i="26"/>
  <c r="AL87" i="26"/>
  <c r="AK87" i="26"/>
  <c r="AJ87" i="26"/>
  <c r="AI87" i="26"/>
  <c r="AH87" i="26"/>
  <c r="AG87" i="26"/>
  <c r="AF87" i="26"/>
  <c r="DF84" i="26"/>
  <c r="DE84" i="26"/>
  <c r="DD84" i="26"/>
  <c r="DC84" i="26"/>
  <c r="DB84" i="26"/>
  <c r="DA84" i="26"/>
  <c r="CZ84" i="26"/>
  <c r="CY84" i="26"/>
  <c r="CX84" i="26"/>
  <c r="CW84" i="26"/>
  <c r="CV84" i="26"/>
  <c r="CU84" i="26"/>
  <c r="CT84" i="26"/>
  <c r="CS84" i="26"/>
  <c r="CR84" i="26"/>
  <c r="CP84" i="26"/>
  <c r="CO84" i="26"/>
  <c r="CN84" i="26"/>
  <c r="CM84" i="26"/>
  <c r="CL84" i="26"/>
  <c r="CK84" i="26"/>
  <c r="CJ84" i="26"/>
  <c r="CI84" i="26"/>
  <c r="CH84" i="26"/>
  <c r="CG84" i="26"/>
  <c r="CF84" i="26"/>
  <c r="CE84" i="26"/>
  <c r="CD84" i="26"/>
  <c r="CC84" i="26"/>
  <c r="CB84" i="26"/>
  <c r="BZ84" i="26"/>
  <c r="BY84" i="26"/>
  <c r="BX84" i="26"/>
  <c r="BW84" i="26"/>
  <c r="BV84" i="26"/>
  <c r="BU84" i="26"/>
  <c r="BT84" i="26"/>
  <c r="BS84" i="26"/>
  <c r="BR84" i="26"/>
  <c r="BQ84" i="26"/>
  <c r="BP84" i="26"/>
  <c r="BO84" i="26"/>
  <c r="BN84" i="26"/>
  <c r="BM84" i="26"/>
  <c r="BL84" i="26"/>
  <c r="BJ84" i="26"/>
  <c r="BI84" i="26"/>
  <c r="BH84" i="26"/>
  <c r="BG84" i="26"/>
  <c r="BF84" i="26"/>
  <c r="BE84" i="26"/>
  <c r="BD84" i="26"/>
  <c r="BC84" i="26"/>
  <c r="BB84" i="26"/>
  <c r="BA84" i="26"/>
  <c r="AZ84" i="26"/>
  <c r="AY84" i="26"/>
  <c r="AX84" i="26"/>
  <c r="AW84" i="26"/>
  <c r="AV84" i="26"/>
  <c r="AT84" i="26"/>
  <c r="AS84" i="26"/>
  <c r="AR84" i="26"/>
  <c r="AQ84" i="26"/>
  <c r="AP84" i="26"/>
  <c r="AO84" i="26"/>
  <c r="AN84" i="26"/>
  <c r="AM84" i="26"/>
  <c r="AL84" i="26"/>
  <c r="AK84" i="26"/>
  <c r="AJ84" i="26"/>
  <c r="AI84" i="26"/>
  <c r="AH84" i="26"/>
  <c r="AG84" i="26"/>
  <c r="AF84" i="26"/>
  <c r="DF83" i="26"/>
  <c r="DE83" i="26"/>
  <c r="DD83" i="26"/>
  <c r="DC83" i="26"/>
  <c r="DB83" i="26"/>
  <c r="DA83" i="26"/>
  <c r="CZ83" i="26"/>
  <c r="CY83" i="26"/>
  <c r="CX83" i="26"/>
  <c r="CW83" i="26"/>
  <c r="CV83" i="26"/>
  <c r="CU83" i="26"/>
  <c r="CT83" i="26"/>
  <c r="CS83" i="26"/>
  <c r="CR83" i="26"/>
  <c r="CP83" i="26"/>
  <c r="CO83" i="26"/>
  <c r="CN83" i="26"/>
  <c r="CM83" i="26"/>
  <c r="CL83" i="26"/>
  <c r="CK83" i="26"/>
  <c r="CJ83" i="26"/>
  <c r="CI83" i="26"/>
  <c r="CH83" i="26"/>
  <c r="CG83" i="26"/>
  <c r="CF83" i="26"/>
  <c r="CE83" i="26"/>
  <c r="CD83" i="26"/>
  <c r="CC83" i="26"/>
  <c r="CB83" i="26"/>
  <c r="BZ83" i="26"/>
  <c r="BY83" i="26"/>
  <c r="BX83" i="26"/>
  <c r="BW83" i="26"/>
  <c r="BV83" i="26"/>
  <c r="BU83" i="26"/>
  <c r="BT83" i="26"/>
  <c r="BS83" i="26"/>
  <c r="BR83" i="26"/>
  <c r="BQ83" i="26"/>
  <c r="BP83" i="26"/>
  <c r="BO83" i="26"/>
  <c r="BN83" i="26"/>
  <c r="BM83" i="26"/>
  <c r="BL83" i="26"/>
  <c r="BJ83" i="26"/>
  <c r="BI83" i="26"/>
  <c r="BH83" i="26"/>
  <c r="BG83" i="26"/>
  <c r="BF83" i="26"/>
  <c r="BE83" i="26"/>
  <c r="BD83" i="26"/>
  <c r="BC83" i="26"/>
  <c r="BB83" i="26"/>
  <c r="BA83" i="26"/>
  <c r="AZ83" i="26"/>
  <c r="AY83" i="26"/>
  <c r="AX83" i="26"/>
  <c r="AW83" i="26"/>
  <c r="AV83" i="26"/>
  <c r="AT83" i="26"/>
  <c r="AS83" i="26"/>
  <c r="AR83" i="26"/>
  <c r="AQ83" i="26"/>
  <c r="AP83" i="26"/>
  <c r="AO83" i="26"/>
  <c r="AN83" i="26"/>
  <c r="AM83" i="26"/>
  <c r="AL83" i="26"/>
  <c r="AK83" i="26"/>
  <c r="AJ83" i="26"/>
  <c r="AI83" i="26"/>
  <c r="AH83" i="26"/>
  <c r="AG83" i="26"/>
  <c r="AF83" i="26"/>
  <c r="DF82" i="26"/>
  <c r="DE82" i="26"/>
  <c r="DD82" i="26"/>
  <c r="DC82" i="26"/>
  <c r="DB82" i="26"/>
  <c r="DA82" i="26"/>
  <c r="CZ82" i="26"/>
  <c r="CY82" i="26"/>
  <c r="CX82" i="26"/>
  <c r="CW82" i="26"/>
  <c r="CV82" i="26"/>
  <c r="CU82" i="26"/>
  <c r="CT82" i="26"/>
  <c r="CS82" i="26"/>
  <c r="CR82" i="26"/>
  <c r="CP82" i="26"/>
  <c r="CO82" i="26"/>
  <c r="CN82" i="26"/>
  <c r="CM82" i="26"/>
  <c r="CL82" i="26"/>
  <c r="CK82" i="26"/>
  <c r="CJ82" i="26"/>
  <c r="CI82" i="26"/>
  <c r="CH82" i="26"/>
  <c r="CG82" i="26"/>
  <c r="CF82" i="26"/>
  <c r="CE82" i="26"/>
  <c r="CD82" i="26"/>
  <c r="CC82" i="26"/>
  <c r="CB82" i="26"/>
  <c r="BZ82" i="26"/>
  <c r="BY82" i="26"/>
  <c r="BX82" i="26"/>
  <c r="BW82" i="26"/>
  <c r="BV82" i="26"/>
  <c r="BU82" i="26"/>
  <c r="BT82" i="26"/>
  <c r="BS82" i="26"/>
  <c r="BR82" i="26"/>
  <c r="BQ82" i="26"/>
  <c r="BP82" i="26"/>
  <c r="BO82" i="26"/>
  <c r="BN82" i="26"/>
  <c r="BM82" i="26"/>
  <c r="BL82" i="26"/>
  <c r="BJ82" i="26"/>
  <c r="BI82" i="26"/>
  <c r="BH82" i="26"/>
  <c r="BG82" i="26"/>
  <c r="BF82" i="26"/>
  <c r="BE82" i="26"/>
  <c r="BD82" i="26"/>
  <c r="BC82" i="26"/>
  <c r="BB82" i="26"/>
  <c r="BA82" i="26"/>
  <c r="AZ82" i="26"/>
  <c r="AY82" i="26"/>
  <c r="AX82" i="26"/>
  <c r="AW82" i="26"/>
  <c r="AV82" i="26"/>
  <c r="AT82" i="26"/>
  <c r="AS82" i="26"/>
  <c r="AR82" i="26"/>
  <c r="AQ82" i="26"/>
  <c r="AP82" i="26"/>
  <c r="AO82" i="26"/>
  <c r="AN82" i="26"/>
  <c r="AM82" i="26"/>
  <c r="AL82" i="26"/>
  <c r="AK82" i="26"/>
  <c r="AJ82" i="26"/>
  <c r="AI82" i="26"/>
  <c r="AH82" i="26"/>
  <c r="AG82" i="26"/>
  <c r="AF82" i="26"/>
  <c r="DF81" i="26"/>
  <c r="DE81" i="26"/>
  <c r="DD81" i="26"/>
  <c r="DC81" i="26"/>
  <c r="DB81" i="26"/>
  <c r="DA81" i="26"/>
  <c r="CZ81" i="26"/>
  <c r="CY81" i="26"/>
  <c r="CX81" i="26"/>
  <c r="CW81" i="26"/>
  <c r="CV81" i="26"/>
  <c r="CU81" i="26"/>
  <c r="CT81" i="26"/>
  <c r="CS81" i="26"/>
  <c r="CR81" i="26"/>
  <c r="CP81" i="26"/>
  <c r="CO81" i="26"/>
  <c r="CN81" i="26"/>
  <c r="CM81" i="26"/>
  <c r="CL81" i="26"/>
  <c r="CK81" i="26"/>
  <c r="CJ81" i="26"/>
  <c r="CI81" i="26"/>
  <c r="CH81" i="26"/>
  <c r="CG81" i="26"/>
  <c r="CF81" i="26"/>
  <c r="CE81" i="26"/>
  <c r="CD81" i="26"/>
  <c r="CC81" i="26"/>
  <c r="CB81" i="26"/>
  <c r="BZ81" i="26"/>
  <c r="BY81" i="26"/>
  <c r="BX81" i="26"/>
  <c r="BW81" i="26"/>
  <c r="BV81" i="26"/>
  <c r="BU81" i="26"/>
  <c r="BT81" i="26"/>
  <c r="BS81" i="26"/>
  <c r="BR81" i="26"/>
  <c r="BQ81" i="26"/>
  <c r="BP81" i="26"/>
  <c r="BO81" i="26"/>
  <c r="BN81" i="26"/>
  <c r="BM81" i="26"/>
  <c r="BL81" i="26"/>
  <c r="BJ81" i="26"/>
  <c r="BI81" i="26"/>
  <c r="BH81" i="26"/>
  <c r="BG81" i="26"/>
  <c r="BF81" i="26"/>
  <c r="BE81" i="26"/>
  <c r="BD81" i="26"/>
  <c r="BC81" i="26"/>
  <c r="BB81" i="26"/>
  <c r="BA81" i="26"/>
  <c r="AZ81" i="26"/>
  <c r="AY81" i="26"/>
  <c r="AX81" i="26"/>
  <c r="AW81" i="26"/>
  <c r="AV81" i="26"/>
  <c r="AT81" i="26"/>
  <c r="AS81" i="26"/>
  <c r="AR81" i="26"/>
  <c r="AQ81" i="26"/>
  <c r="AP81" i="26"/>
  <c r="AO81" i="26"/>
  <c r="AN81" i="26"/>
  <c r="AM81" i="26"/>
  <c r="AL81" i="26"/>
  <c r="AK81" i="26"/>
  <c r="AJ81" i="26"/>
  <c r="AI81" i="26"/>
  <c r="AH81" i="26"/>
  <c r="AG81" i="26"/>
  <c r="AF81" i="26"/>
  <c r="AA54" i="26"/>
  <c r="Z54" i="26"/>
  <c r="Y54" i="26"/>
  <c r="X54" i="26"/>
  <c r="W54" i="26"/>
  <c r="V54" i="26"/>
  <c r="U54" i="26"/>
  <c r="T54" i="26"/>
  <c r="S54" i="26"/>
  <c r="R54" i="26"/>
  <c r="Q54" i="26"/>
  <c r="P54" i="26"/>
  <c r="O54" i="26"/>
  <c r="N54" i="26"/>
  <c r="M54" i="26"/>
  <c r="L54" i="26"/>
  <c r="K54" i="26"/>
  <c r="J54" i="26"/>
  <c r="I54" i="26"/>
  <c r="H54" i="26"/>
  <c r="G54" i="26"/>
  <c r="F54" i="26"/>
  <c r="E54" i="26"/>
  <c r="D54" i="26"/>
  <c r="C54" i="26"/>
  <c r="AA53" i="26"/>
  <c r="Z53" i="26"/>
  <c r="Y53" i="26"/>
  <c r="X53" i="26"/>
  <c r="W53" i="26"/>
  <c r="V53" i="26"/>
  <c r="U53" i="26"/>
  <c r="T53" i="26"/>
  <c r="S53" i="26"/>
  <c r="R53" i="26"/>
  <c r="Q53" i="26"/>
  <c r="P53" i="26"/>
  <c r="O53" i="26"/>
  <c r="N53" i="26"/>
  <c r="M53" i="26"/>
  <c r="L53" i="26"/>
  <c r="K53" i="26"/>
  <c r="J53" i="26"/>
  <c r="I53" i="26"/>
  <c r="H53" i="26"/>
  <c r="G53" i="26"/>
  <c r="F53" i="26"/>
  <c r="E53" i="26"/>
  <c r="D53" i="26"/>
  <c r="C53" i="26"/>
  <c r="AA52" i="26"/>
  <c r="Z52" i="26"/>
  <c r="Y52" i="26"/>
  <c r="X52" i="26"/>
  <c r="W52" i="26"/>
  <c r="V52" i="26"/>
  <c r="U52" i="26"/>
  <c r="T52" i="26"/>
  <c r="S52" i="26"/>
  <c r="R52" i="26"/>
  <c r="Q52" i="26"/>
  <c r="P52" i="26"/>
  <c r="O52" i="26"/>
  <c r="N52" i="26"/>
  <c r="M52" i="26"/>
  <c r="L52" i="26"/>
  <c r="K52" i="26"/>
  <c r="J52" i="26"/>
  <c r="I52" i="26"/>
  <c r="H52" i="26"/>
  <c r="G52" i="26"/>
  <c r="F52" i="26"/>
  <c r="E52" i="26"/>
  <c r="D52" i="26"/>
  <c r="C52" i="26"/>
  <c r="AA51" i="26"/>
  <c r="Z51" i="26"/>
  <c r="Y51" i="26"/>
  <c r="X51" i="26"/>
  <c r="W51" i="26"/>
  <c r="V51" i="26"/>
  <c r="U51" i="26"/>
  <c r="T51" i="26"/>
  <c r="S51" i="26"/>
  <c r="R51" i="26"/>
  <c r="Q51" i="26"/>
  <c r="P51" i="26"/>
  <c r="O51" i="26"/>
  <c r="N51" i="26"/>
  <c r="M51" i="26"/>
  <c r="L51" i="26"/>
  <c r="K51" i="26"/>
  <c r="J51" i="26"/>
  <c r="I51" i="26"/>
  <c r="H51" i="26"/>
  <c r="G51" i="26"/>
  <c r="F51" i="26"/>
  <c r="E51" i="26"/>
  <c r="D51" i="26"/>
  <c r="C51" i="26"/>
  <c r="AA50" i="26"/>
  <c r="Z50" i="26"/>
  <c r="Y50" i="26"/>
  <c r="X50" i="26"/>
  <c r="W50" i="26"/>
  <c r="V50" i="26"/>
  <c r="U50" i="26"/>
  <c r="T50" i="26"/>
  <c r="S50" i="26"/>
  <c r="R50" i="26"/>
  <c r="Q50" i="26"/>
  <c r="P50" i="26"/>
  <c r="O50" i="26"/>
  <c r="N50" i="26"/>
  <c r="M50" i="26"/>
  <c r="L50" i="26"/>
  <c r="K50" i="26"/>
  <c r="J50" i="26"/>
  <c r="I50" i="26"/>
  <c r="H50" i="26"/>
  <c r="G50" i="26"/>
  <c r="F50" i="26"/>
  <c r="E50" i="26"/>
  <c r="D50" i="26"/>
  <c r="C50" i="26"/>
  <c r="AA49" i="26"/>
  <c r="Z49" i="26"/>
  <c r="Y49" i="26"/>
  <c r="X49" i="26"/>
  <c r="W49" i="26"/>
  <c r="V49" i="26"/>
  <c r="U49" i="26"/>
  <c r="T49" i="26"/>
  <c r="S49" i="26"/>
  <c r="R49" i="26"/>
  <c r="Q49" i="26"/>
  <c r="P49" i="26"/>
  <c r="O49" i="26"/>
  <c r="N49" i="26"/>
  <c r="M49" i="26"/>
  <c r="L49" i="26"/>
  <c r="K49" i="26"/>
  <c r="J49" i="26"/>
  <c r="I49" i="26"/>
  <c r="H49" i="26"/>
  <c r="G49" i="26"/>
  <c r="F49" i="26"/>
  <c r="E49" i="26"/>
  <c r="D49" i="26"/>
  <c r="C49" i="26"/>
  <c r="AA48" i="26"/>
  <c r="Z48" i="26"/>
  <c r="Y48" i="26"/>
  <c r="X48" i="26"/>
  <c r="W48" i="26"/>
  <c r="V48" i="26"/>
  <c r="U48" i="26"/>
  <c r="T48" i="26"/>
  <c r="S48" i="26"/>
  <c r="R48" i="26"/>
  <c r="Q48" i="26"/>
  <c r="P48" i="26"/>
  <c r="O48" i="26"/>
  <c r="N48" i="26"/>
  <c r="M48" i="26"/>
  <c r="L48" i="26"/>
  <c r="K48" i="26"/>
  <c r="J48" i="26"/>
  <c r="I48" i="26"/>
  <c r="H48" i="26"/>
  <c r="G48" i="26"/>
  <c r="F48" i="26"/>
  <c r="E48" i="26"/>
  <c r="D48" i="26"/>
  <c r="C48" i="26"/>
  <c r="AA47" i="26"/>
  <c r="Z47" i="26"/>
  <c r="Y47" i="26"/>
  <c r="X47" i="26"/>
  <c r="W47" i="26"/>
  <c r="V47" i="26"/>
  <c r="U47" i="26"/>
  <c r="T47" i="26"/>
  <c r="S47" i="26"/>
  <c r="R47" i="26"/>
  <c r="Q47" i="26"/>
  <c r="P47" i="26"/>
  <c r="O47" i="26"/>
  <c r="N47" i="26"/>
  <c r="M47" i="26"/>
  <c r="L47" i="26"/>
  <c r="K47" i="26"/>
  <c r="J47" i="26"/>
  <c r="I47" i="26"/>
  <c r="H47" i="26"/>
  <c r="G47" i="26"/>
  <c r="F47" i="26"/>
  <c r="E47" i="26"/>
  <c r="D47" i="26"/>
  <c r="C47" i="26"/>
  <c r="AA46" i="26"/>
  <c r="Z46" i="26"/>
  <c r="Y46" i="26"/>
  <c r="X46" i="26"/>
  <c r="W46" i="26"/>
  <c r="V46" i="26"/>
  <c r="U46" i="26"/>
  <c r="T46" i="26"/>
  <c r="S46" i="26"/>
  <c r="R46" i="26"/>
  <c r="Q46" i="26"/>
  <c r="P46" i="26"/>
  <c r="O46" i="26"/>
  <c r="N46" i="26"/>
  <c r="M46" i="26"/>
  <c r="L46" i="26"/>
  <c r="K46" i="26"/>
  <c r="J46" i="26"/>
  <c r="I46" i="26"/>
  <c r="H46" i="26"/>
  <c r="G46" i="26"/>
  <c r="F46" i="26"/>
  <c r="E46" i="26"/>
  <c r="D46" i="26"/>
  <c r="C46" i="26"/>
  <c r="AA45" i="26"/>
  <c r="Z45" i="26"/>
  <c r="Y45" i="26"/>
  <c r="X45" i="26"/>
  <c r="W45" i="26"/>
  <c r="V45" i="26"/>
  <c r="U45" i="26"/>
  <c r="T45" i="26"/>
  <c r="S45" i="26"/>
  <c r="R45" i="26"/>
  <c r="Q45" i="26"/>
  <c r="P45" i="26"/>
  <c r="O45" i="26"/>
  <c r="N45" i="26"/>
  <c r="M45" i="26"/>
  <c r="L45" i="26"/>
  <c r="K45" i="26"/>
  <c r="J45" i="26"/>
  <c r="I45" i="26"/>
  <c r="H45" i="26"/>
  <c r="G45" i="26"/>
  <c r="F45" i="26"/>
  <c r="E45" i="26"/>
  <c r="D45" i="26"/>
  <c r="C45" i="26"/>
  <c r="AD44" i="26"/>
  <c r="AC44" i="26"/>
  <c r="AA44" i="26"/>
  <c r="Z44" i="26"/>
  <c r="Y44" i="26"/>
  <c r="X44" i="26"/>
  <c r="W44" i="26"/>
  <c r="V44" i="26"/>
  <c r="U44" i="26"/>
  <c r="T44" i="26"/>
  <c r="S44" i="26"/>
  <c r="R44" i="26"/>
  <c r="Q44" i="26"/>
  <c r="P44" i="26"/>
  <c r="O44" i="26"/>
  <c r="N44" i="26"/>
  <c r="M44" i="26"/>
  <c r="L44" i="26"/>
  <c r="K44" i="26"/>
  <c r="J44" i="26"/>
  <c r="I44" i="26"/>
  <c r="H44" i="26"/>
  <c r="G44" i="26"/>
  <c r="F44" i="26"/>
  <c r="E44" i="26"/>
  <c r="D44" i="26"/>
  <c r="C44" i="26"/>
  <c r="AD41" i="26"/>
  <c r="AC41" i="26"/>
  <c r="AB41" i="26"/>
  <c r="AA41" i="26"/>
  <c r="Z41" i="26"/>
  <c r="AD34" i="26"/>
  <c r="AC34" i="26"/>
  <c r="AB34" i="26"/>
  <c r="AA34" i="26"/>
  <c r="Z34" i="26"/>
  <c r="AD27" i="26"/>
  <c r="AC27" i="26"/>
  <c r="AB27" i="26"/>
  <c r="AA27" i="26"/>
  <c r="AD20" i="26"/>
  <c r="AC20" i="26"/>
  <c r="AB20" i="26"/>
  <c r="AA20" i="26"/>
  <c r="AD13" i="26"/>
  <c r="AC13" i="26"/>
  <c r="AB13" i="26"/>
  <c r="AA13" i="26"/>
  <c r="AC176" i="33"/>
  <c r="AC175" i="33"/>
  <c r="AC174" i="33"/>
  <c r="CE173" i="33"/>
  <c r="AC173" i="33"/>
  <c r="CE172" i="33"/>
  <c r="AC172" i="33"/>
  <c r="CE171" i="33"/>
  <c r="AC171" i="33"/>
  <c r="CE170" i="33"/>
  <c r="AC170" i="33"/>
  <c r="CR169" i="33"/>
  <c r="CQ169" i="33"/>
  <c r="CP169" i="33"/>
  <c r="CO169" i="33"/>
  <c r="CN169" i="33"/>
  <c r="CM169" i="33"/>
  <c r="CL169" i="33"/>
  <c r="CK169" i="33"/>
  <c r="CJ169" i="33"/>
  <c r="CI169" i="33"/>
  <c r="CH169" i="33"/>
  <c r="CG169" i="33"/>
  <c r="CF169" i="33"/>
  <c r="CE169" i="33"/>
  <c r="AC169" i="33"/>
  <c r="CW168" i="33"/>
  <c r="CR168" i="33"/>
  <c r="CQ168" i="33"/>
  <c r="CP168" i="33"/>
  <c r="CO168" i="33"/>
  <c r="CN168" i="33"/>
  <c r="CM168" i="33"/>
  <c r="CL168" i="33"/>
  <c r="CK168" i="33"/>
  <c r="CJ168" i="33"/>
  <c r="CI168" i="33"/>
  <c r="CH168" i="33"/>
  <c r="CG168" i="33"/>
  <c r="CF168" i="33"/>
  <c r="CE168" i="33"/>
  <c r="BM168" i="33"/>
  <c r="AC168" i="33"/>
  <c r="CW167" i="33"/>
  <c r="CR167" i="33"/>
  <c r="CQ167" i="33"/>
  <c r="CP167" i="33"/>
  <c r="CO167" i="33"/>
  <c r="CN167" i="33"/>
  <c r="CM167" i="33"/>
  <c r="CL167" i="33"/>
  <c r="CK167" i="33"/>
  <c r="CJ167" i="33"/>
  <c r="CI167" i="33"/>
  <c r="CH167" i="33"/>
  <c r="CG167" i="33"/>
  <c r="CF167" i="33"/>
  <c r="CE167" i="33"/>
  <c r="BM167" i="33"/>
  <c r="AD167" i="33"/>
  <c r="AC167" i="33"/>
  <c r="CW166" i="33"/>
  <c r="CR166" i="33"/>
  <c r="CQ166" i="33"/>
  <c r="CP166" i="33"/>
  <c r="CO166" i="33"/>
  <c r="CN166" i="33"/>
  <c r="CM166" i="33"/>
  <c r="CL166" i="33"/>
  <c r="CK166" i="33"/>
  <c r="CJ166" i="33"/>
  <c r="CI166" i="33"/>
  <c r="CH166" i="33"/>
  <c r="CG166" i="33"/>
  <c r="CF166" i="33"/>
  <c r="CE166" i="33"/>
  <c r="BM166" i="33"/>
  <c r="AD166" i="33"/>
  <c r="AC166" i="33"/>
  <c r="CW165" i="33"/>
  <c r="CR165" i="33"/>
  <c r="CQ165" i="33"/>
  <c r="CP165" i="33"/>
  <c r="CO165" i="33"/>
  <c r="CN165" i="33"/>
  <c r="CM165" i="33"/>
  <c r="CL165" i="33"/>
  <c r="CK165" i="33"/>
  <c r="CJ165" i="33"/>
  <c r="CI165" i="33"/>
  <c r="CH165" i="33"/>
  <c r="CG165" i="33"/>
  <c r="CF165" i="33"/>
  <c r="CE165" i="33"/>
  <c r="BM165" i="33"/>
  <c r="AD165" i="33"/>
  <c r="AC165" i="33"/>
  <c r="CW164" i="33"/>
  <c r="CR164" i="33"/>
  <c r="CQ164" i="33"/>
  <c r="CP164" i="33"/>
  <c r="CO164" i="33"/>
  <c r="CN164" i="33"/>
  <c r="CM164" i="33"/>
  <c r="CL164" i="33"/>
  <c r="CK164" i="33"/>
  <c r="CJ164" i="33"/>
  <c r="CI164" i="33"/>
  <c r="CH164" i="33"/>
  <c r="CG164" i="33"/>
  <c r="CF164" i="33"/>
  <c r="CE164" i="33"/>
  <c r="BM164" i="33"/>
  <c r="AD164" i="33"/>
  <c r="AC164" i="33"/>
  <c r="CW163" i="33"/>
  <c r="CR163" i="33"/>
  <c r="CQ163" i="33"/>
  <c r="CP163" i="33"/>
  <c r="CO163" i="33"/>
  <c r="CN163" i="33"/>
  <c r="CM163" i="33"/>
  <c r="CL163" i="33"/>
  <c r="CK163" i="33"/>
  <c r="CJ163" i="33"/>
  <c r="CI163" i="33"/>
  <c r="CH163" i="33"/>
  <c r="CG163" i="33"/>
  <c r="CF163" i="33"/>
  <c r="CE163" i="33"/>
  <c r="BM163" i="33"/>
  <c r="AD163" i="33"/>
  <c r="AC163" i="33"/>
  <c r="CW162" i="33"/>
  <c r="CR162" i="33"/>
  <c r="CQ162" i="33"/>
  <c r="CP162" i="33"/>
  <c r="CO162" i="33"/>
  <c r="CN162" i="33"/>
  <c r="CM162" i="33"/>
  <c r="CL162" i="33"/>
  <c r="CK162" i="33"/>
  <c r="CJ162" i="33"/>
  <c r="CI162" i="33"/>
  <c r="CH162" i="33"/>
  <c r="CG162" i="33"/>
  <c r="CF162" i="33"/>
  <c r="CE162" i="33"/>
  <c r="BM162" i="33"/>
  <c r="AD162" i="33"/>
  <c r="AC162" i="33"/>
  <c r="DJ161" i="33"/>
  <c r="DI161" i="33"/>
  <c r="DH161" i="33"/>
  <c r="DG161" i="33"/>
  <c r="DF161" i="33"/>
  <c r="DE161" i="33"/>
  <c r="DD161" i="33"/>
  <c r="DC161" i="33"/>
  <c r="DB161" i="33"/>
  <c r="DA161" i="33"/>
  <c r="CZ161" i="33"/>
  <c r="CY161" i="33"/>
  <c r="CX161" i="33"/>
  <c r="CW161" i="33"/>
  <c r="CR161" i="33"/>
  <c r="CQ161" i="33"/>
  <c r="CP161" i="33"/>
  <c r="CO161" i="33"/>
  <c r="CN161" i="33"/>
  <c r="CM161" i="33"/>
  <c r="CL161" i="33"/>
  <c r="CK161" i="33"/>
  <c r="CJ161" i="33"/>
  <c r="CI161" i="33"/>
  <c r="CH161" i="33"/>
  <c r="CG161" i="33"/>
  <c r="CF161" i="33"/>
  <c r="CE161" i="33"/>
  <c r="BZ161" i="33"/>
  <c r="BY161" i="33"/>
  <c r="BX161" i="33"/>
  <c r="BW161" i="33"/>
  <c r="BV161" i="33"/>
  <c r="BU161" i="33"/>
  <c r="BT161" i="33"/>
  <c r="BS161" i="33"/>
  <c r="BR161" i="33"/>
  <c r="BQ161" i="33"/>
  <c r="BP161" i="33"/>
  <c r="BO161" i="33"/>
  <c r="BN161" i="33"/>
  <c r="BM161" i="33"/>
  <c r="AD161" i="33"/>
  <c r="AC161" i="33"/>
  <c r="DJ160" i="33"/>
  <c r="DI160" i="33"/>
  <c r="DH160" i="33"/>
  <c r="DG160" i="33"/>
  <c r="DF160" i="33"/>
  <c r="DE160" i="33"/>
  <c r="DD160" i="33"/>
  <c r="DC160" i="33"/>
  <c r="DB160" i="33"/>
  <c r="DA160" i="33"/>
  <c r="CZ160" i="33"/>
  <c r="CY160" i="33"/>
  <c r="CX160" i="33"/>
  <c r="CW160" i="33"/>
  <c r="CR160" i="33"/>
  <c r="CQ160" i="33"/>
  <c r="CP160" i="33"/>
  <c r="CO160" i="33"/>
  <c r="CN160" i="33"/>
  <c r="CM160" i="33"/>
  <c r="CL160" i="33"/>
  <c r="CK160" i="33"/>
  <c r="CJ160" i="33"/>
  <c r="CI160" i="33"/>
  <c r="CH160" i="33"/>
  <c r="CG160" i="33"/>
  <c r="CF160" i="33"/>
  <c r="CE160" i="33"/>
  <c r="BZ160" i="33"/>
  <c r="BY160" i="33"/>
  <c r="BX160" i="33"/>
  <c r="BW160" i="33"/>
  <c r="BV160" i="33"/>
  <c r="BU160" i="33"/>
  <c r="BT160" i="33"/>
  <c r="BS160" i="33"/>
  <c r="BR160" i="33"/>
  <c r="BQ160" i="33"/>
  <c r="BP160" i="33"/>
  <c r="BO160" i="33"/>
  <c r="BN160" i="33"/>
  <c r="BM160" i="33"/>
  <c r="AQ160" i="33"/>
  <c r="AP160" i="33"/>
  <c r="AO160" i="33"/>
  <c r="AN160" i="33"/>
  <c r="AM160" i="33"/>
  <c r="AL160" i="33"/>
  <c r="AK160" i="33"/>
  <c r="AJ160" i="33"/>
  <c r="AI160" i="33"/>
  <c r="AH160" i="33"/>
  <c r="AG160" i="33"/>
  <c r="AF160" i="33"/>
  <c r="AE160" i="33"/>
  <c r="AD160" i="33"/>
  <c r="AC160" i="33"/>
  <c r="DJ159" i="33"/>
  <c r="DI159" i="33"/>
  <c r="DH159" i="33"/>
  <c r="DG159" i="33"/>
  <c r="DF159" i="33"/>
  <c r="DE159" i="33"/>
  <c r="DD159" i="33"/>
  <c r="DC159" i="33"/>
  <c r="DB159" i="33"/>
  <c r="DA159" i="33"/>
  <c r="CZ159" i="33"/>
  <c r="CY159" i="33"/>
  <c r="CX159" i="33"/>
  <c r="CW159" i="33"/>
  <c r="CR159" i="33"/>
  <c r="CQ159" i="33"/>
  <c r="CP159" i="33"/>
  <c r="CO159" i="33"/>
  <c r="CN159" i="33"/>
  <c r="CM159" i="33"/>
  <c r="CL159" i="33"/>
  <c r="CK159" i="33"/>
  <c r="CJ159" i="33"/>
  <c r="CI159" i="33"/>
  <c r="CH159" i="33"/>
  <c r="CG159" i="33"/>
  <c r="CF159" i="33"/>
  <c r="CE159" i="33"/>
  <c r="BZ159" i="33"/>
  <c r="BY159" i="33"/>
  <c r="BX159" i="33"/>
  <c r="BW159" i="33"/>
  <c r="BV159" i="33"/>
  <c r="BU159" i="33"/>
  <c r="BT159" i="33"/>
  <c r="BS159" i="33"/>
  <c r="BR159" i="33"/>
  <c r="BQ159" i="33"/>
  <c r="BP159" i="33"/>
  <c r="BO159" i="33"/>
  <c r="BN159" i="33"/>
  <c r="BM159" i="33"/>
  <c r="AQ159" i="33"/>
  <c r="AP159" i="33"/>
  <c r="AO159" i="33"/>
  <c r="AN159" i="33"/>
  <c r="AM159" i="33"/>
  <c r="AL159" i="33"/>
  <c r="AK159" i="33"/>
  <c r="AJ159" i="33"/>
  <c r="AI159" i="33"/>
  <c r="AH159" i="33"/>
  <c r="AG159" i="33"/>
  <c r="AF159" i="33"/>
  <c r="AE159" i="33"/>
  <c r="AD159" i="33"/>
  <c r="AC159" i="33"/>
  <c r="DJ158" i="33"/>
  <c r="DI158" i="33"/>
  <c r="DH158" i="33"/>
  <c r="DG158" i="33"/>
  <c r="DF158" i="33"/>
  <c r="DE158" i="33"/>
  <c r="DD158" i="33"/>
  <c r="DC158" i="33"/>
  <c r="DB158" i="33"/>
  <c r="DA158" i="33"/>
  <c r="CZ158" i="33"/>
  <c r="CY158" i="33"/>
  <c r="CX158" i="33"/>
  <c r="CW158" i="33"/>
  <c r="CR158" i="33"/>
  <c r="CQ158" i="33"/>
  <c r="CP158" i="33"/>
  <c r="CO158" i="33"/>
  <c r="CN158" i="33"/>
  <c r="CM158" i="33"/>
  <c r="CL158" i="33"/>
  <c r="CK158" i="33"/>
  <c r="CJ158" i="33"/>
  <c r="CI158" i="33"/>
  <c r="CH158" i="33"/>
  <c r="CG158" i="33"/>
  <c r="CF158" i="33"/>
  <c r="CE158" i="33"/>
  <c r="BZ158" i="33"/>
  <c r="BY158" i="33"/>
  <c r="BX158" i="33"/>
  <c r="BW158" i="33"/>
  <c r="BV158" i="33"/>
  <c r="BU158" i="33"/>
  <c r="BT158" i="33"/>
  <c r="BS158" i="33"/>
  <c r="BR158" i="33"/>
  <c r="BQ158" i="33"/>
  <c r="BP158" i="33"/>
  <c r="BO158" i="33"/>
  <c r="BN158" i="33"/>
  <c r="BM158" i="33"/>
  <c r="AQ158" i="33"/>
  <c r="AP158" i="33"/>
  <c r="AO158" i="33"/>
  <c r="AN158" i="33"/>
  <c r="AM158" i="33"/>
  <c r="AL158" i="33"/>
  <c r="AK158" i="33"/>
  <c r="AJ158" i="33"/>
  <c r="AI158" i="33"/>
  <c r="AH158" i="33"/>
  <c r="AG158" i="33"/>
  <c r="AF158" i="33"/>
  <c r="AE158" i="33"/>
  <c r="AD158" i="33"/>
  <c r="AC158" i="33"/>
  <c r="DJ157" i="33"/>
  <c r="DI157" i="33"/>
  <c r="DH157" i="33"/>
  <c r="DG157" i="33"/>
  <c r="DF157" i="33"/>
  <c r="DE157" i="33"/>
  <c r="DD157" i="33"/>
  <c r="DC157" i="33"/>
  <c r="DB157" i="33"/>
  <c r="DA157" i="33"/>
  <c r="CZ157" i="33"/>
  <c r="CY157" i="33"/>
  <c r="CX157" i="33"/>
  <c r="CW157" i="33"/>
  <c r="CR157" i="33"/>
  <c r="CQ157" i="33"/>
  <c r="CP157" i="33"/>
  <c r="CO157" i="33"/>
  <c r="CN157" i="33"/>
  <c r="CM157" i="33"/>
  <c r="CL157" i="33"/>
  <c r="CK157" i="33"/>
  <c r="CJ157" i="33"/>
  <c r="CI157" i="33"/>
  <c r="CH157" i="33"/>
  <c r="CG157" i="33"/>
  <c r="CF157" i="33"/>
  <c r="CE157" i="33"/>
  <c r="BZ157" i="33"/>
  <c r="BY157" i="33"/>
  <c r="BX157" i="33"/>
  <c r="BW157" i="33"/>
  <c r="BV157" i="33"/>
  <c r="BU157" i="33"/>
  <c r="BT157" i="33"/>
  <c r="BS157" i="33"/>
  <c r="BR157" i="33"/>
  <c r="BQ157" i="33"/>
  <c r="BP157" i="33"/>
  <c r="BO157" i="33"/>
  <c r="BN157" i="33"/>
  <c r="BM157" i="33"/>
  <c r="AQ157" i="33"/>
  <c r="AP157" i="33"/>
  <c r="AO157" i="33"/>
  <c r="AN157" i="33"/>
  <c r="AM157" i="33"/>
  <c r="AL157" i="33"/>
  <c r="AK157" i="33"/>
  <c r="AJ157" i="33"/>
  <c r="AI157" i="33"/>
  <c r="AH157" i="33"/>
  <c r="AG157" i="33"/>
  <c r="AF157" i="33"/>
  <c r="AE157" i="33"/>
  <c r="AD157" i="33"/>
  <c r="AC157" i="33"/>
  <c r="DJ156" i="33"/>
  <c r="DI156" i="33"/>
  <c r="DH156" i="33"/>
  <c r="DG156" i="33"/>
  <c r="DF156" i="33"/>
  <c r="DE156" i="33"/>
  <c r="DD156" i="33"/>
  <c r="DC156" i="33"/>
  <c r="DB156" i="33"/>
  <c r="DA156" i="33"/>
  <c r="CZ156" i="33"/>
  <c r="CY156" i="33"/>
  <c r="CX156" i="33"/>
  <c r="CW156" i="33"/>
  <c r="CR156" i="33"/>
  <c r="CQ156" i="33"/>
  <c r="CP156" i="33"/>
  <c r="CO156" i="33"/>
  <c r="CN156" i="33"/>
  <c r="CM156" i="33"/>
  <c r="CL156" i="33"/>
  <c r="CK156" i="33"/>
  <c r="CJ156" i="33"/>
  <c r="CI156" i="33"/>
  <c r="CH156" i="33"/>
  <c r="CG156" i="33"/>
  <c r="CF156" i="33"/>
  <c r="CE156" i="33"/>
  <c r="BZ156" i="33"/>
  <c r="BY156" i="33"/>
  <c r="BX156" i="33"/>
  <c r="BW156" i="33"/>
  <c r="BV156" i="33"/>
  <c r="BU156" i="33"/>
  <c r="BT156" i="33"/>
  <c r="BS156" i="33"/>
  <c r="BR156" i="33"/>
  <c r="BQ156" i="33"/>
  <c r="BP156" i="33"/>
  <c r="BO156" i="33"/>
  <c r="BN156" i="33"/>
  <c r="BM156" i="33"/>
  <c r="AQ156" i="33"/>
  <c r="AP156" i="33"/>
  <c r="AO156" i="33"/>
  <c r="AN156" i="33"/>
  <c r="AM156" i="33"/>
  <c r="AL156" i="33"/>
  <c r="AK156" i="33"/>
  <c r="AJ156" i="33"/>
  <c r="AI156" i="33"/>
  <c r="AH156" i="33"/>
  <c r="AG156" i="33"/>
  <c r="AF156" i="33"/>
  <c r="AE156" i="33"/>
  <c r="AD156" i="33"/>
  <c r="AC156" i="33"/>
  <c r="DJ155" i="33"/>
  <c r="DI155" i="33"/>
  <c r="DH155" i="33"/>
  <c r="DG155" i="33"/>
  <c r="DF155" i="33"/>
  <c r="DE155" i="33"/>
  <c r="DD155" i="33"/>
  <c r="DC155" i="33"/>
  <c r="DB155" i="33"/>
  <c r="DA155" i="33"/>
  <c r="CZ155" i="33"/>
  <c r="CY155" i="33"/>
  <c r="CX155" i="33"/>
  <c r="CW155" i="33"/>
  <c r="CR155" i="33"/>
  <c r="CQ155" i="33"/>
  <c r="CP155" i="33"/>
  <c r="CO155" i="33"/>
  <c r="CN155" i="33"/>
  <c r="CM155" i="33"/>
  <c r="CL155" i="33"/>
  <c r="CK155" i="33"/>
  <c r="CJ155" i="33"/>
  <c r="CI155" i="33"/>
  <c r="CH155" i="33"/>
  <c r="CG155" i="33"/>
  <c r="CF155" i="33"/>
  <c r="CE155" i="33"/>
  <c r="BZ155" i="33"/>
  <c r="BY155" i="33"/>
  <c r="BX155" i="33"/>
  <c r="BW155" i="33"/>
  <c r="BV155" i="33"/>
  <c r="BU155" i="33"/>
  <c r="BT155" i="33"/>
  <c r="BS155" i="33"/>
  <c r="BR155" i="33"/>
  <c r="BQ155" i="33"/>
  <c r="BP155" i="33"/>
  <c r="BO155" i="33"/>
  <c r="BN155" i="33"/>
  <c r="BM155" i="33"/>
  <c r="AQ155" i="33"/>
  <c r="AP155" i="33"/>
  <c r="AO155" i="33"/>
  <c r="AN155" i="33"/>
  <c r="AM155" i="33"/>
  <c r="AL155" i="33"/>
  <c r="AK155" i="33"/>
  <c r="AJ155" i="33"/>
  <c r="AI155" i="33"/>
  <c r="AH155" i="33"/>
  <c r="AG155" i="33"/>
  <c r="AF155" i="33"/>
  <c r="AE155" i="33"/>
  <c r="AD155" i="33"/>
  <c r="AC155" i="33"/>
  <c r="DJ154" i="33"/>
  <c r="DI154" i="33"/>
  <c r="DH154" i="33"/>
  <c r="DG154" i="33"/>
  <c r="DF154" i="33"/>
  <c r="DE154" i="33"/>
  <c r="DD154" i="33"/>
  <c r="DC154" i="33"/>
  <c r="DB154" i="33"/>
  <c r="DA154" i="33"/>
  <c r="CZ154" i="33"/>
  <c r="CY154" i="33"/>
  <c r="CX154" i="33"/>
  <c r="CW154" i="33"/>
  <c r="CR154" i="33"/>
  <c r="CQ154" i="33"/>
  <c r="CP154" i="33"/>
  <c r="CO154" i="33"/>
  <c r="CN154" i="33"/>
  <c r="CM154" i="33"/>
  <c r="CL154" i="33"/>
  <c r="CK154" i="33"/>
  <c r="CJ154" i="33"/>
  <c r="CI154" i="33"/>
  <c r="CH154" i="33"/>
  <c r="CG154" i="33"/>
  <c r="CF154" i="33"/>
  <c r="CE154" i="33"/>
  <c r="BZ154" i="33"/>
  <c r="BY154" i="33"/>
  <c r="BX154" i="33"/>
  <c r="BW154" i="33"/>
  <c r="BV154" i="33"/>
  <c r="BU154" i="33"/>
  <c r="BT154" i="33"/>
  <c r="BS154" i="33"/>
  <c r="BR154" i="33"/>
  <c r="BQ154" i="33"/>
  <c r="BP154" i="33"/>
  <c r="BO154" i="33"/>
  <c r="BN154" i="33"/>
  <c r="BM154" i="33"/>
  <c r="AQ154" i="33"/>
  <c r="AP154" i="33"/>
  <c r="AO154" i="33"/>
  <c r="AN154" i="33"/>
  <c r="AM154" i="33"/>
  <c r="AL154" i="33"/>
  <c r="AK154" i="33"/>
  <c r="AJ154" i="33"/>
  <c r="AI154" i="33"/>
  <c r="AH154" i="33"/>
  <c r="AG154" i="33"/>
  <c r="AF154" i="33"/>
  <c r="AE154" i="33"/>
  <c r="AD154" i="33"/>
  <c r="AC154" i="33"/>
  <c r="DJ153" i="33"/>
  <c r="DI153" i="33"/>
  <c r="DH153" i="33"/>
  <c r="DG153" i="33"/>
  <c r="DF153" i="33"/>
  <c r="DE153" i="33"/>
  <c r="DD153" i="33"/>
  <c r="DC153" i="33"/>
  <c r="DB153" i="33"/>
  <c r="DA153" i="33"/>
  <c r="CZ153" i="33"/>
  <c r="CY153" i="33"/>
  <c r="CX153" i="33"/>
  <c r="CW153" i="33"/>
  <c r="CR153" i="33"/>
  <c r="CQ153" i="33"/>
  <c r="CP153" i="33"/>
  <c r="CO153" i="33"/>
  <c r="CN153" i="33"/>
  <c r="CM153" i="33"/>
  <c r="CL153" i="33"/>
  <c r="CK153" i="33"/>
  <c r="CJ153" i="33"/>
  <c r="CI153" i="33"/>
  <c r="CH153" i="33"/>
  <c r="CG153" i="33"/>
  <c r="CF153" i="33"/>
  <c r="CE153" i="33"/>
  <c r="BZ153" i="33"/>
  <c r="BY153" i="33"/>
  <c r="BX153" i="33"/>
  <c r="BW153" i="33"/>
  <c r="BV153" i="33"/>
  <c r="BU153" i="33"/>
  <c r="BT153" i="33"/>
  <c r="BS153" i="33"/>
  <c r="BR153" i="33"/>
  <c r="BQ153" i="33"/>
  <c r="BP153" i="33"/>
  <c r="BO153" i="33"/>
  <c r="BN153" i="33"/>
  <c r="BM153" i="33"/>
  <c r="AQ153" i="33"/>
  <c r="AP153" i="33"/>
  <c r="AO153" i="33"/>
  <c r="AN153" i="33"/>
  <c r="AM153" i="33"/>
  <c r="AL153" i="33"/>
  <c r="AK153" i="33"/>
  <c r="AJ153" i="33"/>
  <c r="AI153" i="33"/>
  <c r="AH153" i="33"/>
  <c r="AG153" i="33"/>
  <c r="AF153" i="33"/>
  <c r="AE153" i="33"/>
  <c r="AD153" i="33"/>
  <c r="AC153" i="33"/>
  <c r="DJ152" i="33"/>
  <c r="DI152" i="33"/>
  <c r="DH152" i="33"/>
  <c r="DG152" i="33"/>
  <c r="DF152" i="33"/>
  <c r="DE152" i="33"/>
  <c r="DD152" i="33"/>
  <c r="DC152" i="33"/>
  <c r="DB152" i="33"/>
  <c r="DA152" i="33"/>
  <c r="CZ152" i="33"/>
  <c r="CY152" i="33"/>
  <c r="CX152" i="33"/>
  <c r="CW152" i="33"/>
  <c r="CR152" i="33"/>
  <c r="CQ152" i="33"/>
  <c r="CP152" i="33"/>
  <c r="CO152" i="33"/>
  <c r="CN152" i="33"/>
  <c r="CM152" i="33"/>
  <c r="CL152" i="33"/>
  <c r="CK152" i="33"/>
  <c r="CJ152" i="33"/>
  <c r="CI152" i="33"/>
  <c r="CH152" i="33"/>
  <c r="CG152" i="33"/>
  <c r="CF152" i="33"/>
  <c r="CE152" i="33"/>
  <c r="BZ152" i="33"/>
  <c r="BY152" i="33"/>
  <c r="BX152" i="33"/>
  <c r="BW152" i="33"/>
  <c r="BV152" i="33"/>
  <c r="BU152" i="33"/>
  <c r="BT152" i="33"/>
  <c r="BS152" i="33"/>
  <c r="BR152" i="33"/>
  <c r="BQ152" i="33"/>
  <c r="BP152" i="33"/>
  <c r="BO152" i="33"/>
  <c r="BN152" i="33"/>
  <c r="BM152" i="33"/>
  <c r="AQ152" i="33"/>
  <c r="AP152" i="33"/>
  <c r="AO152" i="33"/>
  <c r="AN152" i="33"/>
  <c r="AM152" i="33"/>
  <c r="AL152" i="33"/>
  <c r="AK152" i="33"/>
  <c r="AJ152" i="33"/>
  <c r="AI152" i="33"/>
  <c r="AH152" i="33"/>
  <c r="AG152" i="33"/>
  <c r="AF152" i="33"/>
  <c r="AE152" i="33"/>
  <c r="AD152" i="33"/>
  <c r="AC152" i="33"/>
  <c r="DJ151" i="33"/>
  <c r="DI151" i="33"/>
  <c r="DH151" i="33"/>
  <c r="DG151" i="33"/>
  <c r="DF151" i="33"/>
  <c r="DE151" i="33"/>
  <c r="DD151" i="33"/>
  <c r="DC151" i="33"/>
  <c r="DB151" i="33"/>
  <c r="DA151" i="33"/>
  <c r="CZ151" i="33"/>
  <c r="CY151" i="33"/>
  <c r="CX151" i="33"/>
  <c r="CW151" i="33"/>
  <c r="CR151" i="33"/>
  <c r="CQ151" i="33"/>
  <c r="CP151" i="33"/>
  <c r="CO151" i="33"/>
  <c r="CN151" i="33"/>
  <c r="CM151" i="33"/>
  <c r="CL151" i="33"/>
  <c r="CK151" i="33"/>
  <c r="CJ151" i="33"/>
  <c r="CI151" i="33"/>
  <c r="CH151" i="33"/>
  <c r="CG151" i="33"/>
  <c r="CF151" i="33"/>
  <c r="CE151" i="33"/>
  <c r="BZ151" i="33"/>
  <c r="BY151" i="33"/>
  <c r="BX151" i="33"/>
  <c r="BW151" i="33"/>
  <c r="BV151" i="33"/>
  <c r="BU151" i="33"/>
  <c r="BT151" i="33"/>
  <c r="BS151" i="33"/>
  <c r="BR151" i="33"/>
  <c r="BQ151" i="33"/>
  <c r="BP151" i="33"/>
  <c r="BO151" i="33"/>
  <c r="BN151" i="33"/>
  <c r="BM151" i="33"/>
  <c r="AQ151" i="33"/>
  <c r="AP151" i="33"/>
  <c r="AO151" i="33"/>
  <c r="AN151" i="33"/>
  <c r="AM151" i="33"/>
  <c r="AL151" i="33"/>
  <c r="AK151" i="33"/>
  <c r="AJ151" i="33"/>
  <c r="AI151" i="33"/>
  <c r="AH151" i="33"/>
  <c r="AG151" i="33"/>
  <c r="AF151" i="33"/>
  <c r="AE151" i="33"/>
  <c r="AD151" i="33"/>
  <c r="AC151" i="33"/>
  <c r="DJ150" i="33"/>
  <c r="DI150" i="33"/>
  <c r="DH150" i="33"/>
  <c r="DG150" i="33"/>
  <c r="DF150" i="33"/>
  <c r="DE150" i="33"/>
  <c r="DD150" i="33"/>
  <c r="DC150" i="33"/>
  <c r="DB150" i="33"/>
  <c r="DA150" i="33"/>
  <c r="CZ150" i="33"/>
  <c r="CY150" i="33"/>
  <c r="CX150" i="33"/>
  <c r="CW150" i="33"/>
  <c r="CR150" i="33"/>
  <c r="CQ150" i="33"/>
  <c r="CP150" i="33"/>
  <c r="CO150" i="33"/>
  <c r="CN150" i="33"/>
  <c r="CM150" i="33"/>
  <c r="CL150" i="33"/>
  <c r="CK150" i="33"/>
  <c r="CJ150" i="33"/>
  <c r="CI150" i="33"/>
  <c r="CH150" i="33"/>
  <c r="CG150" i="33"/>
  <c r="CF150" i="33"/>
  <c r="CE150" i="33"/>
  <c r="BZ150" i="33"/>
  <c r="BY150" i="33"/>
  <c r="BX150" i="33"/>
  <c r="BW150" i="33"/>
  <c r="BV150" i="33"/>
  <c r="BU150" i="33"/>
  <c r="BT150" i="33"/>
  <c r="BS150" i="33"/>
  <c r="BR150" i="33"/>
  <c r="BQ150" i="33"/>
  <c r="BP150" i="33"/>
  <c r="BO150" i="33"/>
  <c r="BN150" i="33"/>
  <c r="BM150" i="33"/>
  <c r="AQ150" i="33"/>
  <c r="AP150" i="33"/>
  <c r="AO150" i="33"/>
  <c r="AN150" i="33"/>
  <c r="AM150" i="33"/>
  <c r="AL150" i="33"/>
  <c r="AK150" i="33"/>
  <c r="AJ150" i="33"/>
  <c r="AI150" i="33"/>
  <c r="AH150" i="33"/>
  <c r="AG150" i="33"/>
  <c r="AF150" i="33"/>
  <c r="AE150" i="33"/>
  <c r="AD150" i="33"/>
  <c r="AC150" i="33"/>
  <c r="DK149" i="33"/>
  <c r="DJ149" i="33"/>
  <c r="DI149" i="33"/>
  <c r="DH149" i="33"/>
  <c r="DG149" i="33"/>
  <c r="DF149" i="33"/>
  <c r="DE149" i="33"/>
  <c r="DD149" i="33"/>
  <c r="DC149" i="33"/>
  <c r="DB149" i="33"/>
  <c r="DA149" i="33"/>
  <c r="CZ149" i="33"/>
  <c r="CY149" i="33"/>
  <c r="CX149" i="33"/>
  <c r="CW149" i="33"/>
  <c r="CR149" i="33"/>
  <c r="CQ149" i="33"/>
  <c r="CP149" i="33"/>
  <c r="CO149" i="33"/>
  <c r="CN149" i="33"/>
  <c r="CM149" i="33"/>
  <c r="CL149" i="33"/>
  <c r="CK149" i="33"/>
  <c r="CJ149" i="33"/>
  <c r="CI149" i="33"/>
  <c r="CH149" i="33"/>
  <c r="CG149" i="33"/>
  <c r="CF149" i="33"/>
  <c r="CE149" i="33"/>
  <c r="BZ149" i="33"/>
  <c r="BY149" i="33"/>
  <c r="BW149" i="33"/>
  <c r="BV149" i="33"/>
  <c r="BU149" i="33"/>
  <c r="BT149" i="33"/>
  <c r="BS149" i="33"/>
  <c r="BR149" i="33"/>
  <c r="BQ149" i="33"/>
  <c r="BP149" i="33"/>
  <c r="BO149" i="33"/>
  <c r="BN149" i="33"/>
  <c r="BM149" i="33"/>
  <c r="BG149" i="33"/>
  <c r="BF149" i="33"/>
  <c r="BE149" i="33"/>
  <c r="BD149" i="33"/>
  <c r="BC149" i="33"/>
  <c r="BB149" i="33"/>
  <c r="BA149" i="33"/>
  <c r="AZ149" i="33"/>
  <c r="AY149" i="33"/>
  <c r="AX149" i="33"/>
  <c r="AW149" i="33"/>
  <c r="AQ149" i="33"/>
  <c r="AP149" i="33"/>
  <c r="AO149" i="33"/>
  <c r="AN149" i="33"/>
  <c r="AM149" i="33"/>
  <c r="AL149" i="33"/>
  <c r="AK149" i="33"/>
  <c r="AJ149" i="33"/>
  <c r="AI149" i="33"/>
  <c r="AH149" i="33"/>
  <c r="AG149" i="33"/>
  <c r="AF149" i="33"/>
  <c r="AE149" i="33"/>
  <c r="AD149" i="33"/>
  <c r="AC147" i="33"/>
  <c r="AC146" i="33"/>
  <c r="AC145" i="33"/>
  <c r="AC144" i="33"/>
  <c r="AC143" i="33"/>
  <c r="AC142" i="33"/>
  <c r="AC141" i="33"/>
  <c r="AC140" i="33"/>
  <c r="AC139" i="33"/>
  <c r="AC138" i="33"/>
  <c r="AC137" i="33"/>
  <c r="AC136" i="33"/>
  <c r="AC135" i="33"/>
  <c r="AC134" i="33"/>
  <c r="DN133" i="33" a="1"/>
  <c r="DN133" i="33"/>
  <c r="DL133" i="33" a="1"/>
  <c r="DL133" i="33"/>
  <c r="CV133" i="33" a="1"/>
  <c r="CV133" i="33"/>
  <c r="CT133" i="33" a="1"/>
  <c r="CT133" i="33"/>
  <c r="CD133" i="33" a="1"/>
  <c r="CD133" i="33"/>
  <c r="CB133" i="33" a="1"/>
  <c r="CB133" i="33"/>
  <c r="AU133" i="33" a="1"/>
  <c r="AU133" i="33"/>
  <c r="AS133" i="33" a="1"/>
  <c r="AS133" i="33"/>
  <c r="AC133" i="33"/>
  <c r="DN132" i="33"/>
  <c r="DM132" i="33"/>
  <c r="DL132" i="33"/>
  <c r="DK132" i="33"/>
  <c r="DJ132" i="33"/>
  <c r="DI132" i="33"/>
  <c r="DH132" i="33"/>
  <c r="DG132" i="33"/>
  <c r="DF132" i="33"/>
  <c r="DE132" i="33"/>
  <c r="DD132" i="33"/>
  <c r="DC132" i="33"/>
  <c r="DB132" i="33"/>
  <c r="DA132" i="33"/>
  <c r="CZ132" i="33"/>
  <c r="CY132" i="33"/>
  <c r="CX132" i="33"/>
  <c r="CV132" i="33"/>
  <c r="CU132" i="33"/>
  <c r="CT132" i="33"/>
  <c r="CS132" i="33"/>
  <c r="CR132" i="33"/>
  <c r="CQ132" i="33"/>
  <c r="CP132" i="33"/>
  <c r="CO132" i="33"/>
  <c r="CN132" i="33"/>
  <c r="CM132" i="33"/>
  <c r="CL132" i="33"/>
  <c r="CK132" i="33"/>
  <c r="CJ132" i="33"/>
  <c r="CI132" i="33"/>
  <c r="CH132" i="33"/>
  <c r="CG132" i="33"/>
  <c r="CF132" i="33"/>
  <c r="CD132" i="33"/>
  <c r="CC132" i="33"/>
  <c r="CB132" i="33"/>
  <c r="CA132" i="33"/>
  <c r="BZ132" i="33"/>
  <c r="BY132" i="33"/>
  <c r="BX132" i="33"/>
  <c r="BW132" i="33"/>
  <c r="BV132" i="33"/>
  <c r="BU132" i="33"/>
  <c r="BT132" i="33"/>
  <c r="BS132" i="33"/>
  <c r="BR132" i="33"/>
  <c r="BQ132" i="33"/>
  <c r="BP132" i="33"/>
  <c r="BO132" i="33"/>
  <c r="BN132" i="33"/>
  <c r="BJ132" i="33"/>
  <c r="BK132" i="33" s="1"/>
  <c r="BI132" i="33"/>
  <c r="BH132" i="33"/>
  <c r="BG132" i="33"/>
  <c r="BF132" i="33"/>
  <c r="BE132" i="33"/>
  <c r="BD132" i="33"/>
  <c r="BC132" i="33"/>
  <c r="BB132" i="33"/>
  <c r="BA132" i="33"/>
  <c r="AZ132" i="33"/>
  <c r="AY132" i="33"/>
  <c r="AX132" i="33"/>
  <c r="AW132" i="33"/>
  <c r="AU132" i="33"/>
  <c r="AT132" i="33"/>
  <c r="AS132" i="33"/>
  <c r="AR132" i="33"/>
  <c r="AQ132" i="33"/>
  <c r="AP132" i="33"/>
  <c r="AO132" i="33"/>
  <c r="AN132" i="33"/>
  <c r="AM132" i="33"/>
  <c r="AL132" i="33"/>
  <c r="AK132" i="33"/>
  <c r="AJ132" i="33"/>
  <c r="AI132" i="33"/>
  <c r="AH132" i="33"/>
  <c r="AG132" i="33"/>
  <c r="AF132" i="33"/>
  <c r="AE132" i="33"/>
  <c r="AC132" i="33"/>
  <c r="DN131" i="33"/>
  <c r="DM131" i="33"/>
  <c r="DL131" i="33"/>
  <c r="DK131" i="33"/>
  <c r="DJ131" i="33"/>
  <c r="DI131" i="33"/>
  <c r="DH131" i="33"/>
  <c r="DG131" i="33"/>
  <c r="DF131" i="33"/>
  <c r="DE131" i="33"/>
  <c r="DD131" i="33"/>
  <c r="DC131" i="33"/>
  <c r="DB131" i="33"/>
  <c r="DA131" i="33"/>
  <c r="CZ131" i="33"/>
  <c r="CY131" i="33"/>
  <c r="CX131" i="33"/>
  <c r="CV131" i="33"/>
  <c r="CU131" i="33"/>
  <c r="CT131" i="33"/>
  <c r="CS131" i="33"/>
  <c r="CR131" i="33"/>
  <c r="CQ131" i="33"/>
  <c r="CP131" i="33"/>
  <c r="CO131" i="33"/>
  <c r="CN131" i="33"/>
  <c r="CM131" i="33"/>
  <c r="CL131" i="33"/>
  <c r="CK131" i="33"/>
  <c r="CJ131" i="33"/>
  <c r="CI131" i="33"/>
  <c r="CH131" i="33"/>
  <c r="CG131" i="33"/>
  <c r="CF131" i="33"/>
  <c r="CD131" i="33"/>
  <c r="CC131" i="33"/>
  <c r="CB131" i="33"/>
  <c r="CA131" i="33"/>
  <c r="BZ131" i="33"/>
  <c r="BY131" i="33"/>
  <c r="BX131" i="33"/>
  <c r="BW131" i="33"/>
  <c r="BV131" i="33"/>
  <c r="BU131" i="33"/>
  <c r="BT131" i="33"/>
  <c r="BS131" i="33"/>
  <c r="BR131" i="33"/>
  <c r="BQ131" i="33"/>
  <c r="BP131" i="33"/>
  <c r="BO131" i="33"/>
  <c r="BN131" i="33"/>
  <c r="BJ131" i="33"/>
  <c r="BK131" i="33" s="1"/>
  <c r="BI131" i="33"/>
  <c r="BH131" i="33"/>
  <c r="BG131" i="33"/>
  <c r="BF131" i="33"/>
  <c r="BE131" i="33"/>
  <c r="BD131" i="33"/>
  <c r="BC131" i="33"/>
  <c r="BB131" i="33"/>
  <c r="BA131" i="33"/>
  <c r="AZ131" i="33"/>
  <c r="AY131" i="33"/>
  <c r="AX131" i="33"/>
  <c r="AW131" i="33"/>
  <c r="AU131" i="33"/>
  <c r="AT131" i="33"/>
  <c r="AS131" i="33"/>
  <c r="AR131" i="33"/>
  <c r="AQ131" i="33"/>
  <c r="AP131" i="33"/>
  <c r="AO131" i="33"/>
  <c r="AN131" i="33"/>
  <c r="AM131" i="33"/>
  <c r="AL131" i="33"/>
  <c r="AK131" i="33"/>
  <c r="AJ131" i="33"/>
  <c r="AI131" i="33"/>
  <c r="AH131" i="33"/>
  <c r="AG131" i="33"/>
  <c r="AF131" i="33"/>
  <c r="AE131" i="33"/>
  <c r="AC131" i="33"/>
  <c r="DN130" i="33"/>
  <c r="DM130" i="33"/>
  <c r="DL130" i="33"/>
  <c r="DK130" i="33"/>
  <c r="DJ130" i="33"/>
  <c r="DI130" i="33"/>
  <c r="DH130" i="33"/>
  <c r="DG130" i="33"/>
  <c r="DF130" i="33"/>
  <c r="DE130" i="33"/>
  <c r="DD130" i="33"/>
  <c r="DC130" i="33"/>
  <c r="DB130" i="33"/>
  <c r="DA130" i="33"/>
  <c r="CZ130" i="33"/>
  <c r="CY130" i="33"/>
  <c r="CX130" i="33"/>
  <c r="CV130" i="33"/>
  <c r="CU130" i="33"/>
  <c r="CT130" i="33"/>
  <c r="CS130" i="33"/>
  <c r="CR130" i="33"/>
  <c r="CQ130" i="33"/>
  <c r="CP130" i="33"/>
  <c r="CO130" i="33"/>
  <c r="CN130" i="33"/>
  <c r="CM130" i="33"/>
  <c r="CL130" i="33"/>
  <c r="CK130" i="33"/>
  <c r="CJ130" i="33"/>
  <c r="CI130" i="33"/>
  <c r="CH130" i="33"/>
  <c r="CG130" i="33"/>
  <c r="CF130" i="33"/>
  <c r="CD130" i="33"/>
  <c r="CC130" i="33"/>
  <c r="CB130" i="33"/>
  <c r="CA130" i="33"/>
  <c r="BZ130" i="33"/>
  <c r="BY130" i="33"/>
  <c r="BX130" i="33"/>
  <c r="BW130" i="33"/>
  <c r="BV130" i="33"/>
  <c r="BU130" i="33"/>
  <c r="BT130" i="33"/>
  <c r="BS130" i="33"/>
  <c r="BR130" i="33"/>
  <c r="BQ130" i="33"/>
  <c r="BP130" i="33"/>
  <c r="BO130" i="33"/>
  <c r="BN130" i="33"/>
  <c r="BJ130" i="33"/>
  <c r="BI130" i="33"/>
  <c r="BH130" i="33"/>
  <c r="BG130" i="33"/>
  <c r="BF130" i="33"/>
  <c r="BE130" i="33"/>
  <c r="BD130" i="33"/>
  <c r="BC130" i="33"/>
  <c r="BB130" i="33"/>
  <c r="BA130" i="33"/>
  <c r="AZ130" i="33"/>
  <c r="AY130" i="33"/>
  <c r="AX130" i="33"/>
  <c r="AW130" i="33"/>
  <c r="AU130" i="33"/>
  <c r="AT130" i="33"/>
  <c r="AS130" i="33"/>
  <c r="AR130" i="33"/>
  <c r="AQ130" i="33"/>
  <c r="AP130" i="33"/>
  <c r="AO130" i="33"/>
  <c r="AN130" i="33"/>
  <c r="AM130" i="33"/>
  <c r="AL130" i="33"/>
  <c r="AK130" i="33"/>
  <c r="AJ130" i="33"/>
  <c r="AI130" i="33"/>
  <c r="AH130" i="33"/>
  <c r="AG130" i="33"/>
  <c r="AF130" i="33"/>
  <c r="AE130" i="33"/>
  <c r="AC130" i="33"/>
  <c r="DN129" i="33"/>
  <c r="DM129" i="33"/>
  <c r="DL129" i="33"/>
  <c r="DK129" i="33"/>
  <c r="DJ129" i="33"/>
  <c r="DI129" i="33"/>
  <c r="DH129" i="33"/>
  <c r="DG129" i="33"/>
  <c r="DF129" i="33"/>
  <c r="DE129" i="33"/>
  <c r="DD129" i="33"/>
  <c r="DC129" i="33"/>
  <c r="DB129" i="33"/>
  <c r="DA129" i="33"/>
  <c r="CZ129" i="33"/>
  <c r="CY129" i="33"/>
  <c r="CX129" i="33"/>
  <c r="CV129" i="33"/>
  <c r="CU129" i="33"/>
  <c r="CT129" i="33"/>
  <c r="CS129" i="33"/>
  <c r="CR129" i="33"/>
  <c r="CQ129" i="33"/>
  <c r="CP129" i="33"/>
  <c r="CO129" i="33"/>
  <c r="CN129" i="33"/>
  <c r="CM129" i="33"/>
  <c r="CL129" i="33"/>
  <c r="CK129" i="33"/>
  <c r="CJ129" i="33"/>
  <c r="CI129" i="33"/>
  <c r="CH129" i="33"/>
  <c r="CG129" i="33"/>
  <c r="CF129" i="33"/>
  <c r="CD129" i="33"/>
  <c r="CC129" i="33"/>
  <c r="CB129" i="33"/>
  <c r="CA129" i="33"/>
  <c r="BZ129" i="33"/>
  <c r="BY129" i="33"/>
  <c r="BX129" i="33"/>
  <c r="BW129" i="33"/>
  <c r="BV129" i="33"/>
  <c r="BU129" i="33"/>
  <c r="BT129" i="33"/>
  <c r="BS129" i="33"/>
  <c r="BR129" i="33"/>
  <c r="BQ129" i="33"/>
  <c r="BP129" i="33"/>
  <c r="BO129" i="33"/>
  <c r="BN129" i="33"/>
  <c r="BI129" i="33"/>
  <c r="BH129" i="33"/>
  <c r="BG129" i="33"/>
  <c r="BF129" i="33"/>
  <c r="BE129" i="33"/>
  <c r="BD129" i="33"/>
  <c r="BC129" i="33"/>
  <c r="BB129" i="33"/>
  <c r="BA129" i="33"/>
  <c r="AZ129" i="33"/>
  <c r="AY129" i="33"/>
  <c r="AX129" i="33"/>
  <c r="AW129" i="33"/>
  <c r="AU129" i="33"/>
  <c r="AT129" i="33"/>
  <c r="AS129" i="33"/>
  <c r="AR129" i="33"/>
  <c r="AQ129" i="33"/>
  <c r="AP129" i="33"/>
  <c r="AO129" i="33"/>
  <c r="AN129" i="33"/>
  <c r="AM129" i="33"/>
  <c r="AL129" i="33"/>
  <c r="AK129" i="33"/>
  <c r="AJ129" i="33"/>
  <c r="AI129" i="33"/>
  <c r="AH129" i="33"/>
  <c r="AG129" i="33"/>
  <c r="AF129" i="33"/>
  <c r="AE129" i="33"/>
  <c r="AC129" i="33"/>
  <c r="DN128" i="33"/>
  <c r="DM128" i="33"/>
  <c r="DL128" i="33"/>
  <c r="DK128" i="33"/>
  <c r="DJ128" i="33"/>
  <c r="DI128" i="33"/>
  <c r="DH128" i="33"/>
  <c r="DG128" i="33"/>
  <c r="DF128" i="33"/>
  <c r="DE128" i="33"/>
  <c r="DD128" i="33"/>
  <c r="DC128" i="33"/>
  <c r="DB128" i="33"/>
  <c r="DA128" i="33"/>
  <c r="CZ128" i="33"/>
  <c r="CY128" i="33"/>
  <c r="CX128" i="33"/>
  <c r="CV128" i="33"/>
  <c r="CU128" i="33"/>
  <c r="CT128" i="33"/>
  <c r="CS128" i="33"/>
  <c r="CR128" i="33"/>
  <c r="CQ128" i="33"/>
  <c r="CP128" i="33"/>
  <c r="CO128" i="33"/>
  <c r="CN128" i="33"/>
  <c r="CM128" i="33"/>
  <c r="CL128" i="33"/>
  <c r="CK128" i="33"/>
  <c r="CJ128" i="33"/>
  <c r="CI128" i="33"/>
  <c r="CH128" i="33"/>
  <c r="CG128" i="33"/>
  <c r="CF128" i="33"/>
  <c r="CD128" i="33"/>
  <c r="CC128" i="33"/>
  <c r="CB128" i="33"/>
  <c r="CA128" i="33"/>
  <c r="BZ128" i="33"/>
  <c r="BY128" i="33"/>
  <c r="BX128" i="33"/>
  <c r="BW128" i="33"/>
  <c r="BV128" i="33"/>
  <c r="BU128" i="33"/>
  <c r="BT128" i="33"/>
  <c r="BS128" i="33"/>
  <c r="BR128" i="33"/>
  <c r="BQ128" i="33"/>
  <c r="BP128" i="33"/>
  <c r="BO128" i="33"/>
  <c r="BN128" i="33"/>
  <c r="BJ128" i="33"/>
  <c r="BK128" i="33" s="1"/>
  <c r="BI128" i="33"/>
  <c r="BH128" i="33"/>
  <c r="BG128" i="33"/>
  <c r="BF128" i="33"/>
  <c r="BE128" i="33"/>
  <c r="BD128" i="33"/>
  <c r="BC128" i="33"/>
  <c r="BB128" i="33"/>
  <c r="BA128" i="33"/>
  <c r="AZ128" i="33"/>
  <c r="AY128" i="33"/>
  <c r="AX128" i="33"/>
  <c r="AW128" i="33"/>
  <c r="AU128" i="33"/>
  <c r="AT128" i="33"/>
  <c r="AS128" i="33"/>
  <c r="AR128" i="33"/>
  <c r="AQ128" i="33"/>
  <c r="AP128" i="33"/>
  <c r="AO128" i="33"/>
  <c r="AN128" i="33"/>
  <c r="AM128" i="33"/>
  <c r="AL128" i="33"/>
  <c r="AK128" i="33"/>
  <c r="AJ128" i="33"/>
  <c r="AI128" i="33"/>
  <c r="AH128" i="33"/>
  <c r="AG128" i="33"/>
  <c r="AF128" i="33"/>
  <c r="AE128" i="33"/>
  <c r="AC128" i="33"/>
  <c r="DN127" i="33"/>
  <c r="DM127" i="33"/>
  <c r="DL127" i="33"/>
  <c r="DK127" i="33"/>
  <c r="DJ127" i="33"/>
  <c r="DI127" i="33"/>
  <c r="DH127" i="33"/>
  <c r="DG127" i="33"/>
  <c r="DF127" i="33"/>
  <c r="DE127" i="33"/>
  <c r="DD127" i="33"/>
  <c r="DC127" i="33"/>
  <c r="DB127" i="33"/>
  <c r="DA127" i="33"/>
  <c r="CZ127" i="33"/>
  <c r="CY127" i="33"/>
  <c r="CX127" i="33"/>
  <c r="CV127" i="33"/>
  <c r="CU127" i="33"/>
  <c r="CT127" i="33"/>
  <c r="CS127" i="33"/>
  <c r="CR127" i="33"/>
  <c r="CQ127" i="33"/>
  <c r="CP127" i="33"/>
  <c r="CO127" i="33"/>
  <c r="CN127" i="33"/>
  <c r="CM127" i="33"/>
  <c r="CL127" i="33"/>
  <c r="CK127" i="33"/>
  <c r="CJ127" i="33"/>
  <c r="CI127" i="33"/>
  <c r="CH127" i="33"/>
  <c r="CG127" i="33"/>
  <c r="CF127" i="33"/>
  <c r="CD127" i="33"/>
  <c r="CC127" i="33"/>
  <c r="CB127" i="33"/>
  <c r="CA127" i="33"/>
  <c r="BZ127" i="33"/>
  <c r="BY127" i="33"/>
  <c r="BX127" i="33"/>
  <c r="BW127" i="33"/>
  <c r="BV127" i="33"/>
  <c r="BU127" i="33"/>
  <c r="BT127" i="33"/>
  <c r="BS127" i="33"/>
  <c r="BR127" i="33"/>
  <c r="BQ127" i="33"/>
  <c r="BP127" i="33"/>
  <c r="BO127" i="33"/>
  <c r="BN127" i="33"/>
  <c r="BK127" i="33"/>
  <c r="BJ127" i="33"/>
  <c r="BI127" i="33"/>
  <c r="BH127" i="33"/>
  <c r="BG127" i="33"/>
  <c r="BF127" i="33"/>
  <c r="BE127" i="33"/>
  <c r="BD127" i="33"/>
  <c r="BC127" i="33"/>
  <c r="BB127" i="33"/>
  <c r="BA127" i="33"/>
  <c r="AZ127" i="33"/>
  <c r="AY127" i="33"/>
  <c r="AX127" i="33"/>
  <c r="AW127" i="33"/>
  <c r="AU127" i="33"/>
  <c r="AT127" i="33"/>
  <c r="AS127" i="33"/>
  <c r="AR127" i="33"/>
  <c r="AQ127" i="33"/>
  <c r="AP127" i="33"/>
  <c r="AO127" i="33"/>
  <c r="AN127" i="33"/>
  <c r="AM127" i="33"/>
  <c r="AL127" i="33"/>
  <c r="AK127" i="33"/>
  <c r="AJ127" i="33"/>
  <c r="AI127" i="33"/>
  <c r="AH127" i="33"/>
  <c r="AG127" i="33"/>
  <c r="AF127" i="33"/>
  <c r="AE127" i="33"/>
  <c r="AC127" i="33"/>
  <c r="DN126" i="33"/>
  <c r="DM126" i="33"/>
  <c r="DL126" i="33"/>
  <c r="DK126" i="33"/>
  <c r="DJ126" i="33"/>
  <c r="DI126" i="33"/>
  <c r="DH126" i="33"/>
  <c r="DG126" i="33"/>
  <c r="DF126" i="33"/>
  <c r="DE126" i="33"/>
  <c r="DD126" i="33"/>
  <c r="DC126" i="33"/>
  <c r="DB126" i="33"/>
  <c r="DA126" i="33"/>
  <c r="CZ126" i="33"/>
  <c r="CY126" i="33"/>
  <c r="CX126" i="33"/>
  <c r="CV126" i="33"/>
  <c r="CU126" i="33"/>
  <c r="CT126" i="33"/>
  <c r="CS126" i="33"/>
  <c r="CR126" i="33"/>
  <c r="CQ126" i="33"/>
  <c r="CP126" i="33"/>
  <c r="CO126" i="33"/>
  <c r="CN126" i="33"/>
  <c r="CM126" i="33"/>
  <c r="CL126" i="33"/>
  <c r="CK126" i="33"/>
  <c r="CJ126" i="33"/>
  <c r="CI126" i="33"/>
  <c r="CH126" i="33"/>
  <c r="CG126" i="33"/>
  <c r="CF126" i="33"/>
  <c r="CD126" i="33"/>
  <c r="CC126" i="33"/>
  <c r="CB126" i="33"/>
  <c r="CA126" i="33"/>
  <c r="BZ126" i="33"/>
  <c r="BY126" i="33"/>
  <c r="BX126" i="33"/>
  <c r="BW126" i="33"/>
  <c r="BV126" i="33"/>
  <c r="BU126" i="33"/>
  <c r="BT126" i="33"/>
  <c r="BS126" i="33"/>
  <c r="BR126" i="33"/>
  <c r="BQ126" i="33"/>
  <c r="BP126" i="33"/>
  <c r="BO126" i="33"/>
  <c r="BN126" i="33"/>
  <c r="BJ126" i="33"/>
  <c r="BK126" i="33" s="1"/>
  <c r="BI126" i="33"/>
  <c r="BH126" i="33"/>
  <c r="BG126" i="33"/>
  <c r="BF126" i="33"/>
  <c r="BE126" i="33"/>
  <c r="BD126" i="33"/>
  <c r="BC126" i="33"/>
  <c r="BB126" i="33"/>
  <c r="BA126" i="33"/>
  <c r="AZ126" i="33"/>
  <c r="AY126" i="33"/>
  <c r="AX126" i="33"/>
  <c r="AW126" i="33"/>
  <c r="AU126" i="33"/>
  <c r="AT126" i="33"/>
  <c r="AS126" i="33"/>
  <c r="AR126" i="33"/>
  <c r="AQ126" i="33"/>
  <c r="AP126" i="33"/>
  <c r="AO126" i="33"/>
  <c r="AN126" i="33"/>
  <c r="AM126" i="33"/>
  <c r="AL126" i="33"/>
  <c r="AK126" i="33"/>
  <c r="AJ126" i="33"/>
  <c r="AI126" i="33"/>
  <c r="AH126" i="33"/>
  <c r="AG126" i="33"/>
  <c r="AF126" i="33"/>
  <c r="AE126" i="33"/>
  <c r="AC126" i="33"/>
  <c r="DN125" i="33"/>
  <c r="DM125" i="33"/>
  <c r="DL125" i="33"/>
  <c r="DK125" i="33"/>
  <c r="DJ125" i="33"/>
  <c r="DI125" i="33"/>
  <c r="DH125" i="33"/>
  <c r="DG125" i="33"/>
  <c r="DF125" i="33"/>
  <c r="DE125" i="33"/>
  <c r="DD125" i="33"/>
  <c r="DC125" i="33"/>
  <c r="DB125" i="33"/>
  <c r="DA125" i="33"/>
  <c r="CZ125" i="33"/>
  <c r="CY125" i="33"/>
  <c r="CX125" i="33"/>
  <c r="CV125" i="33"/>
  <c r="CU125" i="33"/>
  <c r="CT125" i="33"/>
  <c r="CS125" i="33"/>
  <c r="CR125" i="33"/>
  <c r="CQ125" i="33"/>
  <c r="CP125" i="33"/>
  <c r="CO125" i="33"/>
  <c r="CN125" i="33"/>
  <c r="CM125" i="33"/>
  <c r="CL125" i="33"/>
  <c r="CK125" i="33"/>
  <c r="CJ125" i="33"/>
  <c r="CI125" i="33"/>
  <c r="CH125" i="33"/>
  <c r="CG125" i="33"/>
  <c r="CF125" i="33"/>
  <c r="CD125" i="33"/>
  <c r="CC125" i="33"/>
  <c r="CB125" i="33"/>
  <c r="CA125" i="33"/>
  <c r="BZ125" i="33"/>
  <c r="BY125" i="33"/>
  <c r="BX125" i="33"/>
  <c r="BW125" i="33"/>
  <c r="BV125" i="33"/>
  <c r="BU125" i="33"/>
  <c r="BT125" i="33"/>
  <c r="BS125" i="33"/>
  <c r="BR125" i="33"/>
  <c r="BQ125" i="33"/>
  <c r="BP125" i="33"/>
  <c r="BO125" i="33"/>
  <c r="BN125" i="33"/>
  <c r="BK125" i="33"/>
  <c r="BJ125" i="33"/>
  <c r="BI125" i="33"/>
  <c r="BH125" i="33"/>
  <c r="BG125" i="33"/>
  <c r="BF125" i="33"/>
  <c r="BE125" i="33"/>
  <c r="BD125" i="33"/>
  <c r="BC125" i="33"/>
  <c r="BB125" i="33"/>
  <c r="BA125" i="33"/>
  <c r="AZ125" i="33"/>
  <c r="AY125" i="33"/>
  <c r="AX125" i="33"/>
  <c r="AW125" i="33"/>
  <c r="AU125" i="33"/>
  <c r="AT125" i="33"/>
  <c r="AS125" i="33"/>
  <c r="AR125" i="33"/>
  <c r="AQ125" i="33"/>
  <c r="AP125" i="33"/>
  <c r="AO125" i="33"/>
  <c r="AN125" i="33"/>
  <c r="AM125" i="33"/>
  <c r="AL125" i="33"/>
  <c r="AK125" i="33"/>
  <c r="AJ125" i="33"/>
  <c r="AI125" i="33"/>
  <c r="AH125" i="33"/>
  <c r="AG125" i="33"/>
  <c r="AF125" i="33"/>
  <c r="AE125" i="33"/>
  <c r="AC125" i="33"/>
  <c r="DN124" i="33"/>
  <c r="DM124" i="33"/>
  <c r="DL124" i="33"/>
  <c r="DK124" i="33"/>
  <c r="DJ124" i="33"/>
  <c r="DI124" i="33"/>
  <c r="DH124" i="33"/>
  <c r="DG124" i="33"/>
  <c r="DF124" i="33"/>
  <c r="DE124" i="33"/>
  <c r="DD124" i="33"/>
  <c r="DC124" i="33"/>
  <c r="DB124" i="33"/>
  <c r="DA124" i="33"/>
  <c r="CZ124" i="33"/>
  <c r="CY124" i="33"/>
  <c r="CX124" i="33"/>
  <c r="CV124" i="33"/>
  <c r="CU124" i="33"/>
  <c r="CT124" i="33"/>
  <c r="CS124" i="33"/>
  <c r="CR124" i="33"/>
  <c r="CQ124" i="33"/>
  <c r="CP124" i="33"/>
  <c r="CO124" i="33"/>
  <c r="CN124" i="33"/>
  <c r="CM124" i="33"/>
  <c r="CL124" i="33"/>
  <c r="CK124" i="33"/>
  <c r="CJ124" i="33"/>
  <c r="CI124" i="33"/>
  <c r="CH124" i="33"/>
  <c r="CG124" i="33"/>
  <c r="CF124" i="33"/>
  <c r="CD124" i="33"/>
  <c r="CC124" i="33"/>
  <c r="CB124" i="33"/>
  <c r="CA124" i="33"/>
  <c r="BZ124" i="33"/>
  <c r="BY124" i="33"/>
  <c r="BX124" i="33"/>
  <c r="BW124" i="33"/>
  <c r="BV124" i="33"/>
  <c r="BU124" i="33"/>
  <c r="BT124" i="33"/>
  <c r="BS124" i="33"/>
  <c r="BR124" i="33"/>
  <c r="BQ124" i="33"/>
  <c r="BP124" i="33"/>
  <c r="BO124" i="33"/>
  <c r="BN124" i="33"/>
  <c r="BI124" i="33"/>
  <c r="BH124" i="33"/>
  <c r="BG124" i="33"/>
  <c r="BF124" i="33"/>
  <c r="BE124" i="33"/>
  <c r="BD124" i="33"/>
  <c r="BC124" i="33"/>
  <c r="BB124" i="33"/>
  <c r="BA124" i="33"/>
  <c r="AZ124" i="33"/>
  <c r="AY124" i="33"/>
  <c r="AX124" i="33"/>
  <c r="AW124" i="33"/>
  <c r="AU124" i="33"/>
  <c r="AT124" i="33"/>
  <c r="AS124" i="33"/>
  <c r="AR124" i="33"/>
  <c r="AQ124" i="33"/>
  <c r="AP124" i="33"/>
  <c r="AO124" i="33"/>
  <c r="AN124" i="33"/>
  <c r="AM124" i="33"/>
  <c r="AL124" i="33"/>
  <c r="AK124" i="33"/>
  <c r="AJ124" i="33"/>
  <c r="AI124" i="33"/>
  <c r="AH124" i="33"/>
  <c r="AG124" i="33"/>
  <c r="AF124" i="33"/>
  <c r="AE124" i="33"/>
  <c r="AC124" i="33"/>
  <c r="DN123" i="33"/>
  <c r="DM123" i="33"/>
  <c r="DL123" i="33"/>
  <c r="DK123" i="33"/>
  <c r="DJ123" i="33"/>
  <c r="DI123" i="33"/>
  <c r="DH123" i="33"/>
  <c r="DG123" i="33"/>
  <c r="DF123" i="33"/>
  <c r="DE123" i="33"/>
  <c r="DD123" i="33"/>
  <c r="DC123" i="33"/>
  <c r="DB123" i="33"/>
  <c r="DA123" i="33"/>
  <c r="CZ123" i="33"/>
  <c r="CY123" i="33"/>
  <c r="CX123" i="33"/>
  <c r="CV123" i="33"/>
  <c r="CU123" i="33"/>
  <c r="CT123" i="33"/>
  <c r="CS123" i="33"/>
  <c r="CR123" i="33"/>
  <c r="CQ123" i="33"/>
  <c r="CP123" i="33"/>
  <c r="CO123" i="33"/>
  <c r="CN123" i="33"/>
  <c r="CM123" i="33"/>
  <c r="CL123" i="33"/>
  <c r="CK123" i="33"/>
  <c r="CJ123" i="33"/>
  <c r="CI123" i="33"/>
  <c r="CH123" i="33"/>
  <c r="CG123" i="33"/>
  <c r="CF123" i="33"/>
  <c r="CD123" i="33"/>
  <c r="CC123" i="33"/>
  <c r="CB123" i="33"/>
  <c r="CA123" i="33"/>
  <c r="BZ123" i="33"/>
  <c r="BY123" i="33"/>
  <c r="BX123" i="33"/>
  <c r="BW123" i="33"/>
  <c r="BV123" i="33"/>
  <c r="BU123" i="33"/>
  <c r="BT123" i="33"/>
  <c r="BS123" i="33"/>
  <c r="BR123" i="33"/>
  <c r="BQ123" i="33"/>
  <c r="BP123" i="33"/>
  <c r="BO123" i="33"/>
  <c r="BN123" i="33"/>
  <c r="BJ123" i="33"/>
  <c r="BK123" i="33" s="1"/>
  <c r="BI123" i="33"/>
  <c r="BH123" i="33"/>
  <c r="BG123" i="33"/>
  <c r="BF123" i="33"/>
  <c r="BE123" i="33"/>
  <c r="BD123" i="33"/>
  <c r="BC123" i="33"/>
  <c r="BB123" i="33"/>
  <c r="BA123" i="33"/>
  <c r="AZ123" i="33"/>
  <c r="AY123" i="33"/>
  <c r="AX123" i="33"/>
  <c r="AW123" i="33"/>
  <c r="AU123" i="33"/>
  <c r="AT123" i="33"/>
  <c r="AS123" i="33"/>
  <c r="AR123" i="33"/>
  <c r="AQ123" i="33"/>
  <c r="AP123" i="33"/>
  <c r="AO123" i="33"/>
  <c r="AN123" i="33"/>
  <c r="AM123" i="33"/>
  <c r="AL123" i="33"/>
  <c r="AK123" i="33"/>
  <c r="AJ123" i="33"/>
  <c r="AI123" i="33"/>
  <c r="AH123" i="33"/>
  <c r="AG123" i="33"/>
  <c r="AF123" i="33"/>
  <c r="AE123" i="33"/>
  <c r="AC123" i="33"/>
  <c r="DN122" i="33"/>
  <c r="DM122" i="33"/>
  <c r="DL122" i="33"/>
  <c r="DK122" i="33"/>
  <c r="DJ122" i="33"/>
  <c r="DI122" i="33"/>
  <c r="DH122" i="33"/>
  <c r="DG122" i="33"/>
  <c r="DF122" i="33"/>
  <c r="DE122" i="33"/>
  <c r="DD122" i="33"/>
  <c r="DC122" i="33"/>
  <c r="DB122" i="33"/>
  <c r="DA122" i="33"/>
  <c r="CZ122" i="33"/>
  <c r="CY122" i="33"/>
  <c r="CX122" i="33"/>
  <c r="CV122" i="33"/>
  <c r="CU122" i="33"/>
  <c r="CT122" i="33"/>
  <c r="CS122" i="33"/>
  <c r="CR122" i="33"/>
  <c r="CQ122" i="33"/>
  <c r="CP122" i="33"/>
  <c r="CO122" i="33"/>
  <c r="CN122" i="33"/>
  <c r="CM122" i="33"/>
  <c r="CL122" i="33"/>
  <c r="CK122" i="33"/>
  <c r="CJ122" i="33"/>
  <c r="CI122" i="33"/>
  <c r="CH122" i="33"/>
  <c r="CG122" i="33"/>
  <c r="CF122" i="33"/>
  <c r="CD122" i="33"/>
  <c r="CC122" i="33"/>
  <c r="CB122" i="33"/>
  <c r="CA122" i="33"/>
  <c r="BZ122" i="33"/>
  <c r="BY122" i="33"/>
  <c r="BX122" i="33"/>
  <c r="BW122" i="33"/>
  <c r="BV122" i="33"/>
  <c r="BU122" i="33"/>
  <c r="BT122" i="33"/>
  <c r="BS122" i="33"/>
  <c r="BR122" i="33"/>
  <c r="BQ122" i="33"/>
  <c r="BP122" i="33"/>
  <c r="BO122" i="33"/>
  <c r="BN122" i="33"/>
  <c r="BI122" i="33"/>
  <c r="BH122" i="33"/>
  <c r="BG122" i="33"/>
  <c r="BF122" i="33"/>
  <c r="BE122" i="33"/>
  <c r="BD122" i="33"/>
  <c r="BC122" i="33"/>
  <c r="BB122" i="33"/>
  <c r="BA122" i="33"/>
  <c r="AZ122" i="33"/>
  <c r="AY122" i="33"/>
  <c r="AX122" i="33"/>
  <c r="AW122" i="33"/>
  <c r="AU122" i="33"/>
  <c r="AT122" i="33"/>
  <c r="AS122" i="33"/>
  <c r="AR122" i="33"/>
  <c r="AQ122" i="33"/>
  <c r="AP122" i="33"/>
  <c r="AO122" i="33"/>
  <c r="AN122" i="33"/>
  <c r="AM122" i="33"/>
  <c r="AL122" i="33"/>
  <c r="AK122" i="33"/>
  <c r="AJ122" i="33"/>
  <c r="AI122" i="33"/>
  <c r="AH122" i="33"/>
  <c r="AG122" i="33"/>
  <c r="AF122" i="33"/>
  <c r="AE122" i="33"/>
  <c r="AC122" i="33"/>
  <c r="DN121" i="33"/>
  <c r="DM121" i="33"/>
  <c r="DL121" i="33"/>
  <c r="DK121" i="33"/>
  <c r="DJ121" i="33"/>
  <c r="DI121" i="33"/>
  <c r="DH121" i="33"/>
  <c r="DG121" i="33"/>
  <c r="DF121" i="33"/>
  <c r="DE121" i="33"/>
  <c r="DD121" i="33"/>
  <c r="DC121" i="33"/>
  <c r="DB121" i="33"/>
  <c r="DA121" i="33"/>
  <c r="CZ121" i="33"/>
  <c r="CY121" i="33"/>
  <c r="CX121" i="33"/>
  <c r="CV121" i="33"/>
  <c r="CU121" i="33"/>
  <c r="CT121" i="33"/>
  <c r="CS121" i="33"/>
  <c r="CR121" i="33"/>
  <c r="CQ121" i="33"/>
  <c r="CP121" i="33"/>
  <c r="CO121" i="33"/>
  <c r="CN121" i="33"/>
  <c r="CM121" i="33"/>
  <c r="CL121" i="33"/>
  <c r="CK121" i="33"/>
  <c r="CJ121" i="33"/>
  <c r="CI121" i="33"/>
  <c r="CH121" i="33"/>
  <c r="CG121" i="33"/>
  <c r="CF121" i="33"/>
  <c r="CD121" i="33"/>
  <c r="CC121" i="33"/>
  <c r="CB121" i="33"/>
  <c r="CA121" i="33"/>
  <c r="BZ121" i="33"/>
  <c r="BY121" i="33"/>
  <c r="BX121" i="33"/>
  <c r="BW121" i="33"/>
  <c r="BV121" i="33"/>
  <c r="BU121" i="33"/>
  <c r="BT121" i="33"/>
  <c r="BS121" i="33"/>
  <c r="BR121" i="33"/>
  <c r="BQ121" i="33"/>
  <c r="BP121" i="33"/>
  <c r="BO121" i="33"/>
  <c r="BN121" i="33"/>
  <c r="BJ121" i="33"/>
  <c r="BK121" i="33" s="1"/>
  <c r="BI121" i="33"/>
  <c r="BH121" i="33"/>
  <c r="BG121" i="33"/>
  <c r="BF121" i="33"/>
  <c r="BE121" i="33"/>
  <c r="BD121" i="33"/>
  <c r="BC121" i="33"/>
  <c r="BB121" i="33"/>
  <c r="BA121" i="33"/>
  <c r="AZ121" i="33"/>
  <c r="AY121" i="33"/>
  <c r="AX121" i="33"/>
  <c r="AW121" i="33"/>
  <c r="AU121" i="33"/>
  <c r="AT121" i="33"/>
  <c r="AS121" i="33"/>
  <c r="AR121" i="33"/>
  <c r="AQ121" i="33"/>
  <c r="AP121" i="33"/>
  <c r="AO121" i="33"/>
  <c r="AN121" i="33"/>
  <c r="AM121" i="33"/>
  <c r="AL121" i="33"/>
  <c r="AK121" i="33"/>
  <c r="AJ121" i="33"/>
  <c r="AI121" i="33"/>
  <c r="AH121" i="33"/>
  <c r="AG121" i="33"/>
  <c r="AF121" i="33"/>
  <c r="AE121" i="33"/>
  <c r="AC121" i="33"/>
  <c r="DN120" i="33"/>
  <c r="DM120" i="33"/>
  <c r="DL120" i="33"/>
  <c r="DK120" i="33"/>
  <c r="DJ120" i="33"/>
  <c r="DI120" i="33"/>
  <c r="DH120" i="33"/>
  <c r="DG120" i="33"/>
  <c r="DF120" i="33"/>
  <c r="DE120" i="33"/>
  <c r="DD120" i="33"/>
  <c r="DC120" i="33"/>
  <c r="DB120" i="33"/>
  <c r="DA120" i="33"/>
  <c r="CZ120" i="33"/>
  <c r="CY120" i="33"/>
  <c r="CX120" i="33"/>
  <c r="CV120" i="33"/>
  <c r="CU120" i="33"/>
  <c r="CT120" i="33"/>
  <c r="CS120" i="33"/>
  <c r="CR120" i="33"/>
  <c r="CQ120" i="33"/>
  <c r="CP120" i="33"/>
  <c r="CO120" i="33"/>
  <c r="CN120" i="33"/>
  <c r="CM120" i="33"/>
  <c r="CL120" i="33"/>
  <c r="CK120" i="33"/>
  <c r="CJ120" i="33"/>
  <c r="CI120" i="33"/>
  <c r="CH120" i="33"/>
  <c r="CG120" i="33"/>
  <c r="CF120" i="33"/>
  <c r="CD120" i="33"/>
  <c r="CC120" i="33"/>
  <c r="CB120" i="33"/>
  <c r="CA120" i="33"/>
  <c r="BZ120" i="33"/>
  <c r="BY120" i="33"/>
  <c r="BX120" i="33"/>
  <c r="BW120" i="33"/>
  <c r="BV120" i="33"/>
  <c r="BU120" i="33"/>
  <c r="BT120" i="33"/>
  <c r="BS120" i="33"/>
  <c r="BR120" i="33"/>
  <c r="BQ120" i="33"/>
  <c r="BP120" i="33"/>
  <c r="BO120" i="33"/>
  <c r="BN120" i="33"/>
  <c r="BK120" i="33"/>
  <c r="BJ120" i="33"/>
  <c r="BI120" i="33"/>
  <c r="BH120" i="33"/>
  <c r="BG120" i="33"/>
  <c r="BF120" i="33"/>
  <c r="BE120" i="33"/>
  <c r="BD120" i="33"/>
  <c r="BC120" i="33"/>
  <c r="BB120" i="33"/>
  <c r="BA120" i="33"/>
  <c r="AZ120" i="33"/>
  <c r="AY120" i="33"/>
  <c r="AX120" i="33"/>
  <c r="AW120" i="33"/>
  <c r="AU120" i="33"/>
  <c r="AT120" i="33"/>
  <c r="AS120" i="33"/>
  <c r="AR120" i="33"/>
  <c r="AQ120" i="33"/>
  <c r="AP120" i="33"/>
  <c r="AO120" i="33"/>
  <c r="AN120" i="33"/>
  <c r="AM120" i="33"/>
  <c r="AL120" i="33"/>
  <c r="AK120" i="33"/>
  <c r="AJ120" i="33"/>
  <c r="AI120" i="33"/>
  <c r="AH120" i="33"/>
  <c r="AG120" i="33"/>
  <c r="AF120" i="33"/>
  <c r="AE120" i="33"/>
  <c r="AC120" i="33"/>
  <c r="DN119" i="33"/>
  <c r="DM119" i="33"/>
  <c r="DL119" i="33"/>
  <c r="DK119" i="33"/>
  <c r="DJ119" i="33"/>
  <c r="DI119" i="33"/>
  <c r="DH119" i="33"/>
  <c r="DG119" i="33"/>
  <c r="DF119" i="33"/>
  <c r="DE119" i="33"/>
  <c r="DD119" i="33"/>
  <c r="DC119" i="33"/>
  <c r="DB119" i="33"/>
  <c r="DA119" i="33"/>
  <c r="CZ119" i="33"/>
  <c r="CY119" i="33"/>
  <c r="CX119" i="33"/>
  <c r="CV119" i="33"/>
  <c r="CU119" i="33"/>
  <c r="CT119" i="33"/>
  <c r="CS119" i="33"/>
  <c r="CR119" i="33"/>
  <c r="CQ119" i="33"/>
  <c r="CP119" i="33"/>
  <c r="CO119" i="33"/>
  <c r="CN119" i="33"/>
  <c r="CM119" i="33"/>
  <c r="CL119" i="33"/>
  <c r="CK119" i="33"/>
  <c r="CJ119" i="33"/>
  <c r="CI119" i="33"/>
  <c r="CH119" i="33"/>
  <c r="CG119" i="33"/>
  <c r="CF119" i="33"/>
  <c r="CD119" i="33"/>
  <c r="CC119" i="33"/>
  <c r="CB119" i="33"/>
  <c r="CA119" i="33"/>
  <c r="BZ119" i="33"/>
  <c r="BY119" i="33"/>
  <c r="BX119" i="33"/>
  <c r="BW119" i="33"/>
  <c r="BV119" i="33"/>
  <c r="BU119" i="33"/>
  <c r="BT119" i="33"/>
  <c r="BS119" i="33"/>
  <c r="BR119" i="33"/>
  <c r="BQ119" i="33"/>
  <c r="BP119" i="33"/>
  <c r="BO119" i="33"/>
  <c r="BN119" i="33"/>
  <c r="BJ119" i="33"/>
  <c r="BK119" i="33" s="1"/>
  <c r="BI119" i="33"/>
  <c r="BH119" i="33"/>
  <c r="BG119" i="33"/>
  <c r="BF119" i="33"/>
  <c r="BE119" i="33"/>
  <c r="BD119" i="33"/>
  <c r="BC119" i="33"/>
  <c r="BB119" i="33"/>
  <c r="BA119" i="33"/>
  <c r="AZ119" i="33"/>
  <c r="AY119" i="33"/>
  <c r="AX119" i="33"/>
  <c r="AW119" i="33"/>
  <c r="AU119" i="33"/>
  <c r="AT119" i="33"/>
  <c r="AS119" i="33"/>
  <c r="AR119" i="33"/>
  <c r="AQ119" i="33"/>
  <c r="AP119" i="33"/>
  <c r="AO119" i="33"/>
  <c r="AN119" i="33"/>
  <c r="AM119" i="33"/>
  <c r="AL119" i="33"/>
  <c r="AK119" i="33"/>
  <c r="AJ119" i="33"/>
  <c r="AI119" i="33"/>
  <c r="AH119" i="33"/>
  <c r="AG119" i="33"/>
  <c r="AF119" i="33"/>
  <c r="AE119" i="33"/>
  <c r="AC119" i="33"/>
  <c r="DN118" i="33"/>
  <c r="DM118" i="33"/>
  <c r="DL118" i="33"/>
  <c r="DK118" i="33"/>
  <c r="DJ118" i="33"/>
  <c r="DI118" i="33"/>
  <c r="DH118" i="33"/>
  <c r="DG118" i="33"/>
  <c r="DF118" i="33"/>
  <c r="DE118" i="33"/>
  <c r="DD118" i="33"/>
  <c r="DC118" i="33"/>
  <c r="DB118" i="33"/>
  <c r="DA118" i="33"/>
  <c r="CZ118" i="33"/>
  <c r="CY118" i="33"/>
  <c r="CX118" i="33"/>
  <c r="CV118" i="33"/>
  <c r="CU118" i="33"/>
  <c r="CT118" i="33"/>
  <c r="CS118" i="33"/>
  <c r="CR118" i="33"/>
  <c r="CQ118" i="33"/>
  <c r="CP118" i="33"/>
  <c r="CO118" i="33"/>
  <c r="CN118" i="33"/>
  <c r="CM118" i="33"/>
  <c r="CL118" i="33"/>
  <c r="CK118" i="33"/>
  <c r="CJ118" i="33"/>
  <c r="CI118" i="33"/>
  <c r="CH118" i="33"/>
  <c r="CG118" i="33"/>
  <c r="CF118" i="33"/>
  <c r="CD118" i="33"/>
  <c r="CC118" i="33"/>
  <c r="CB118" i="33"/>
  <c r="CA118" i="33"/>
  <c r="BZ118" i="33"/>
  <c r="BY118" i="33"/>
  <c r="BX118" i="33"/>
  <c r="BW118" i="33"/>
  <c r="BV118" i="33"/>
  <c r="BU118" i="33"/>
  <c r="BT118" i="33"/>
  <c r="BS118" i="33"/>
  <c r="BR118" i="33"/>
  <c r="BQ118" i="33"/>
  <c r="BP118" i="33"/>
  <c r="BO118" i="33"/>
  <c r="BN118" i="33"/>
  <c r="BJ118" i="33"/>
  <c r="BK118" i="33" s="1"/>
  <c r="BI118" i="33"/>
  <c r="BH118" i="33"/>
  <c r="BG118" i="33"/>
  <c r="BF118" i="33"/>
  <c r="BE118" i="33"/>
  <c r="BD118" i="33"/>
  <c r="BC118" i="33"/>
  <c r="BB118" i="33"/>
  <c r="BA118" i="33"/>
  <c r="AZ118" i="33"/>
  <c r="AY118" i="33"/>
  <c r="AX118" i="33"/>
  <c r="AW118" i="33"/>
  <c r="AU118" i="33"/>
  <c r="AT118" i="33"/>
  <c r="AS118" i="33"/>
  <c r="AR118" i="33"/>
  <c r="AQ118" i="33"/>
  <c r="AP118" i="33"/>
  <c r="AO118" i="33"/>
  <c r="AN118" i="33"/>
  <c r="AM118" i="33"/>
  <c r="AL118" i="33"/>
  <c r="AK118" i="33"/>
  <c r="AJ118" i="33"/>
  <c r="AI118" i="33"/>
  <c r="AH118" i="33"/>
  <c r="AG118" i="33"/>
  <c r="AF118" i="33"/>
  <c r="AE118" i="33"/>
  <c r="AC118" i="33"/>
  <c r="DN117" i="33"/>
  <c r="DM117" i="33"/>
  <c r="DL117" i="33"/>
  <c r="DK117" i="33"/>
  <c r="DJ117" i="33"/>
  <c r="DI117" i="33"/>
  <c r="DH117" i="33"/>
  <c r="DG117" i="33"/>
  <c r="DF117" i="33"/>
  <c r="DE117" i="33"/>
  <c r="DD117" i="33"/>
  <c r="DC117" i="33"/>
  <c r="DB117" i="33"/>
  <c r="DA117" i="33"/>
  <c r="CZ117" i="33"/>
  <c r="CY117" i="33"/>
  <c r="CX117" i="33"/>
  <c r="CV117" i="33"/>
  <c r="CU117" i="33"/>
  <c r="CT117" i="33"/>
  <c r="CS117" i="33"/>
  <c r="CR117" i="33"/>
  <c r="CQ117" i="33"/>
  <c r="CP117" i="33"/>
  <c r="CO117" i="33"/>
  <c r="CN117" i="33"/>
  <c r="CM117" i="33"/>
  <c r="CL117" i="33"/>
  <c r="CK117" i="33"/>
  <c r="CJ117" i="33"/>
  <c r="CI117" i="33"/>
  <c r="CH117" i="33"/>
  <c r="CG117" i="33"/>
  <c r="CF117" i="33"/>
  <c r="CD117" i="33"/>
  <c r="CC117" i="33"/>
  <c r="CB117" i="33"/>
  <c r="CA117" i="33"/>
  <c r="BZ117" i="33"/>
  <c r="BY117" i="33"/>
  <c r="BX117" i="33"/>
  <c r="BW117" i="33"/>
  <c r="BV117" i="33"/>
  <c r="BU117" i="33"/>
  <c r="BT117" i="33"/>
  <c r="BS117" i="33"/>
  <c r="BR117" i="33"/>
  <c r="BQ117" i="33"/>
  <c r="BP117" i="33"/>
  <c r="BO117" i="33"/>
  <c r="BN117" i="33"/>
  <c r="BJ117" i="33"/>
  <c r="BK117" i="33" s="1"/>
  <c r="BI117" i="33"/>
  <c r="BH117" i="33"/>
  <c r="BG117" i="33"/>
  <c r="BF117" i="33"/>
  <c r="BE117" i="33"/>
  <c r="BD117" i="33"/>
  <c r="BC117" i="33"/>
  <c r="BB117" i="33"/>
  <c r="BA117" i="33"/>
  <c r="AZ117" i="33"/>
  <c r="AY117" i="33"/>
  <c r="AX117" i="33"/>
  <c r="AW117" i="33"/>
  <c r="AU117" i="33"/>
  <c r="AT117" i="33"/>
  <c r="AS117" i="33"/>
  <c r="AR117" i="33"/>
  <c r="AQ117" i="33"/>
  <c r="AP117" i="33"/>
  <c r="AO117" i="33"/>
  <c r="AN117" i="33"/>
  <c r="AM117" i="33"/>
  <c r="AL117" i="33"/>
  <c r="AK117" i="33"/>
  <c r="AJ117" i="33"/>
  <c r="AI117" i="33"/>
  <c r="AH117" i="33"/>
  <c r="AG117" i="33"/>
  <c r="AF117" i="33"/>
  <c r="AE117" i="33"/>
  <c r="AC117" i="33"/>
  <c r="DN116" i="33"/>
  <c r="DM116" i="33"/>
  <c r="DL116" i="33"/>
  <c r="DK116" i="33"/>
  <c r="DJ116" i="33"/>
  <c r="DI116" i="33"/>
  <c r="DH116" i="33"/>
  <c r="DG116" i="33"/>
  <c r="DF116" i="33"/>
  <c r="DE116" i="33"/>
  <c r="DD116" i="33"/>
  <c r="DC116" i="33"/>
  <c r="DB116" i="33"/>
  <c r="DA116" i="33"/>
  <c r="CZ116" i="33"/>
  <c r="CY116" i="33"/>
  <c r="CX116" i="33"/>
  <c r="CV116" i="33"/>
  <c r="CU116" i="33"/>
  <c r="CT116" i="33"/>
  <c r="CS116" i="33"/>
  <c r="CR116" i="33"/>
  <c r="CQ116" i="33"/>
  <c r="CP116" i="33"/>
  <c r="CO116" i="33"/>
  <c r="CN116" i="33"/>
  <c r="CM116" i="33"/>
  <c r="CL116" i="33"/>
  <c r="CK116" i="33"/>
  <c r="CJ116" i="33"/>
  <c r="CI116" i="33"/>
  <c r="CH116" i="33"/>
  <c r="CG116" i="33"/>
  <c r="CF116" i="33"/>
  <c r="CD116" i="33"/>
  <c r="CC116" i="33"/>
  <c r="CB116" i="33"/>
  <c r="CA116" i="33"/>
  <c r="BZ116" i="33"/>
  <c r="BY116" i="33"/>
  <c r="BX116" i="33"/>
  <c r="BW116" i="33"/>
  <c r="BV116" i="33"/>
  <c r="BU116" i="33"/>
  <c r="BT116" i="33"/>
  <c r="BS116" i="33"/>
  <c r="BR116" i="33"/>
  <c r="BQ116" i="33"/>
  <c r="BP116" i="33"/>
  <c r="BO116" i="33"/>
  <c r="BN116" i="33"/>
  <c r="BJ116" i="33"/>
  <c r="BK116" i="33" s="1"/>
  <c r="BI116" i="33"/>
  <c r="BH116" i="33"/>
  <c r="BG116" i="33"/>
  <c r="BF116" i="33"/>
  <c r="BE116" i="33"/>
  <c r="BD116" i="33"/>
  <c r="BC116" i="33"/>
  <c r="BB116" i="33"/>
  <c r="BA116" i="33"/>
  <c r="AZ116" i="33"/>
  <c r="AY116" i="33"/>
  <c r="AX116" i="33"/>
  <c r="AW116" i="33"/>
  <c r="AU116" i="33"/>
  <c r="AT116" i="33"/>
  <c r="AS116" i="33"/>
  <c r="AR116" i="33"/>
  <c r="AQ116" i="33"/>
  <c r="AP116" i="33"/>
  <c r="AO116" i="33"/>
  <c r="AN116" i="33"/>
  <c r="AM116" i="33"/>
  <c r="AL116" i="33"/>
  <c r="AK116" i="33"/>
  <c r="AJ116" i="33"/>
  <c r="AI116" i="33"/>
  <c r="AH116" i="33"/>
  <c r="AG116" i="33"/>
  <c r="AF116" i="33"/>
  <c r="AE116" i="33"/>
  <c r="AC116" i="33"/>
  <c r="DN115" i="33"/>
  <c r="DM115" i="33"/>
  <c r="DL115" i="33"/>
  <c r="DK115" i="33"/>
  <c r="DJ115" i="33"/>
  <c r="DI115" i="33"/>
  <c r="DH115" i="33"/>
  <c r="DG115" i="33"/>
  <c r="DF115" i="33"/>
  <c r="DE115" i="33"/>
  <c r="DD115" i="33"/>
  <c r="DC115" i="33"/>
  <c r="DB115" i="33"/>
  <c r="DA115" i="33"/>
  <c r="CZ115" i="33"/>
  <c r="CY115" i="33"/>
  <c r="CX115" i="33"/>
  <c r="CV115" i="33"/>
  <c r="CU115" i="33"/>
  <c r="CT115" i="33"/>
  <c r="CS115" i="33"/>
  <c r="CR115" i="33"/>
  <c r="CQ115" i="33"/>
  <c r="CP115" i="33"/>
  <c r="CO115" i="33"/>
  <c r="CN115" i="33"/>
  <c r="CM115" i="33"/>
  <c r="CL115" i="33"/>
  <c r="CK115" i="33"/>
  <c r="CJ115" i="33"/>
  <c r="CI115" i="33"/>
  <c r="CH115" i="33"/>
  <c r="CG115" i="33"/>
  <c r="CF115" i="33"/>
  <c r="CD115" i="33"/>
  <c r="CC115" i="33"/>
  <c r="CB115" i="33"/>
  <c r="CA115" i="33"/>
  <c r="BZ115" i="33"/>
  <c r="BY115" i="33"/>
  <c r="BX115" i="33"/>
  <c r="BW115" i="33"/>
  <c r="BV115" i="33"/>
  <c r="BU115" i="33"/>
  <c r="BT115" i="33"/>
  <c r="BS115" i="33"/>
  <c r="BR115" i="33"/>
  <c r="BQ115" i="33"/>
  <c r="BP115" i="33"/>
  <c r="BO115" i="33"/>
  <c r="BN115" i="33"/>
  <c r="BJ115" i="33"/>
  <c r="BK115" i="33" s="1"/>
  <c r="BI115" i="33"/>
  <c r="BH115" i="33"/>
  <c r="BG115" i="33"/>
  <c r="BF115" i="33"/>
  <c r="BE115" i="33"/>
  <c r="BD115" i="33"/>
  <c r="BC115" i="33"/>
  <c r="BB115" i="33"/>
  <c r="BA115" i="33"/>
  <c r="AZ115" i="33"/>
  <c r="AY115" i="33"/>
  <c r="AX115" i="33"/>
  <c r="AW115" i="33"/>
  <c r="AU115" i="33"/>
  <c r="AT115" i="33"/>
  <c r="AS115" i="33"/>
  <c r="AR115" i="33"/>
  <c r="AQ115" i="33"/>
  <c r="AP115" i="33"/>
  <c r="AO115" i="33"/>
  <c r="AN115" i="33"/>
  <c r="AM115" i="33"/>
  <c r="AL115" i="33"/>
  <c r="AK115" i="33"/>
  <c r="AJ115" i="33"/>
  <c r="AI115" i="33"/>
  <c r="AH115" i="33"/>
  <c r="AG115" i="33"/>
  <c r="AF115" i="33"/>
  <c r="AE115" i="33"/>
  <c r="AC115" i="33"/>
  <c r="DN114" i="33"/>
  <c r="DM114" i="33"/>
  <c r="DL114" i="33"/>
  <c r="DK114" i="33"/>
  <c r="DJ114" i="33"/>
  <c r="DI114" i="33"/>
  <c r="DH114" i="33"/>
  <c r="DG114" i="33"/>
  <c r="DF114" i="33"/>
  <c r="DE114" i="33"/>
  <c r="DD114" i="33"/>
  <c r="DC114" i="33"/>
  <c r="DB114" i="33"/>
  <c r="DA114" i="33"/>
  <c r="CZ114" i="33"/>
  <c r="CY114" i="33"/>
  <c r="CX114" i="33"/>
  <c r="CV114" i="33"/>
  <c r="CU114" i="33"/>
  <c r="CT114" i="33"/>
  <c r="CS114" i="33"/>
  <c r="CR114" i="33"/>
  <c r="CQ114" i="33"/>
  <c r="CP114" i="33"/>
  <c r="CO114" i="33"/>
  <c r="CN114" i="33"/>
  <c r="CM114" i="33"/>
  <c r="CL114" i="33"/>
  <c r="CK114" i="33"/>
  <c r="CJ114" i="33"/>
  <c r="CI114" i="33"/>
  <c r="CH114" i="33"/>
  <c r="CG114" i="33"/>
  <c r="CF114" i="33"/>
  <c r="CD114" i="33"/>
  <c r="CC114" i="33"/>
  <c r="CB114" i="33"/>
  <c r="CA114" i="33"/>
  <c r="BZ114" i="33"/>
  <c r="BY114" i="33"/>
  <c r="BX114" i="33"/>
  <c r="BW114" i="33"/>
  <c r="BV114" i="33"/>
  <c r="BU114" i="33"/>
  <c r="BT114" i="33"/>
  <c r="BS114" i="33"/>
  <c r="BR114" i="33"/>
  <c r="BQ114" i="33"/>
  <c r="BP114" i="33"/>
  <c r="BO114" i="33"/>
  <c r="BN114" i="33"/>
  <c r="BJ114" i="33"/>
  <c r="BK114" i="33" s="1"/>
  <c r="BI114" i="33"/>
  <c r="BH114" i="33"/>
  <c r="BG114" i="33"/>
  <c r="BF114" i="33"/>
  <c r="BE114" i="33"/>
  <c r="BD114" i="33"/>
  <c r="BC114" i="33"/>
  <c r="BB114" i="33"/>
  <c r="BA114" i="33"/>
  <c r="AZ114" i="33"/>
  <c r="AY114" i="33"/>
  <c r="AX114" i="33"/>
  <c r="AW114" i="33"/>
  <c r="AU114" i="33"/>
  <c r="AT114" i="33"/>
  <c r="AS114" i="33"/>
  <c r="AR114" i="33"/>
  <c r="AQ114" i="33"/>
  <c r="AP114" i="33"/>
  <c r="AO114" i="33"/>
  <c r="AN114" i="33"/>
  <c r="AM114" i="33"/>
  <c r="AL114" i="33"/>
  <c r="AK114" i="33"/>
  <c r="AJ114" i="33"/>
  <c r="AI114" i="33"/>
  <c r="AH114" i="33"/>
  <c r="AG114" i="33"/>
  <c r="AF114" i="33"/>
  <c r="AE114" i="33"/>
  <c r="AC114" i="33"/>
  <c r="DN113" i="33"/>
  <c r="DM113" i="33"/>
  <c r="DL113" i="33"/>
  <c r="DK113" i="33"/>
  <c r="DJ113" i="33"/>
  <c r="DI113" i="33"/>
  <c r="DH113" i="33"/>
  <c r="DG113" i="33"/>
  <c r="DF113" i="33"/>
  <c r="DE113" i="33"/>
  <c r="DD113" i="33"/>
  <c r="DC113" i="33"/>
  <c r="DB113" i="33"/>
  <c r="DA113" i="33"/>
  <c r="CZ113" i="33"/>
  <c r="CY113" i="33"/>
  <c r="CX113" i="33"/>
  <c r="CV113" i="33"/>
  <c r="CU113" i="33"/>
  <c r="CT113" i="33"/>
  <c r="CS113" i="33"/>
  <c r="CR113" i="33"/>
  <c r="CQ113" i="33"/>
  <c r="CP113" i="33"/>
  <c r="CO113" i="33"/>
  <c r="CN113" i="33"/>
  <c r="CM113" i="33"/>
  <c r="CL113" i="33"/>
  <c r="CK113" i="33"/>
  <c r="CJ113" i="33"/>
  <c r="CI113" i="33"/>
  <c r="CH113" i="33"/>
  <c r="CG113" i="33"/>
  <c r="CF113" i="33"/>
  <c r="CD113" i="33"/>
  <c r="CC113" i="33"/>
  <c r="CB113" i="33"/>
  <c r="CA113" i="33"/>
  <c r="BZ113" i="33"/>
  <c r="BY113" i="33"/>
  <c r="BX113" i="33"/>
  <c r="BW113" i="33"/>
  <c r="BV113" i="33"/>
  <c r="BU113" i="33"/>
  <c r="BT113" i="33"/>
  <c r="BS113" i="33"/>
  <c r="BR113" i="33"/>
  <c r="BQ113" i="33"/>
  <c r="BP113" i="33"/>
  <c r="BO113" i="33"/>
  <c r="BN113" i="33"/>
  <c r="BJ113" i="33"/>
  <c r="BK113" i="33" s="1"/>
  <c r="BI113" i="33"/>
  <c r="BH113" i="33"/>
  <c r="BG113" i="33"/>
  <c r="BF113" i="33"/>
  <c r="BE113" i="33"/>
  <c r="BD113" i="33"/>
  <c r="BC113" i="33"/>
  <c r="BB113" i="33"/>
  <c r="BA113" i="33"/>
  <c r="AZ113" i="33"/>
  <c r="AY113" i="33"/>
  <c r="AX113" i="33"/>
  <c r="AW113" i="33"/>
  <c r="AU113" i="33"/>
  <c r="AT113" i="33"/>
  <c r="AS113" i="33"/>
  <c r="AR113" i="33"/>
  <c r="AQ113" i="33"/>
  <c r="AP113" i="33"/>
  <c r="AO113" i="33"/>
  <c r="AN113" i="33"/>
  <c r="AM113" i="33"/>
  <c r="AL113" i="33"/>
  <c r="AK113" i="33"/>
  <c r="AJ113" i="33"/>
  <c r="AI113" i="33"/>
  <c r="AH113" i="33"/>
  <c r="AG113" i="33"/>
  <c r="AF113" i="33"/>
  <c r="AE113" i="33"/>
  <c r="AC113" i="33"/>
  <c r="DN112" i="33"/>
  <c r="DM112" i="33"/>
  <c r="DL112" i="33"/>
  <c r="DK112" i="33"/>
  <c r="DJ112" i="33"/>
  <c r="DI112" i="33"/>
  <c r="DH112" i="33"/>
  <c r="DG112" i="33"/>
  <c r="DF112" i="33"/>
  <c r="DE112" i="33"/>
  <c r="DD112" i="33"/>
  <c r="DC112" i="33"/>
  <c r="DB112" i="33"/>
  <c r="DA112" i="33"/>
  <c r="CZ112" i="33"/>
  <c r="CY112" i="33"/>
  <c r="CX112" i="33"/>
  <c r="CV112" i="33"/>
  <c r="CU112" i="33"/>
  <c r="CT112" i="33"/>
  <c r="CS112" i="33"/>
  <c r="CR112" i="33"/>
  <c r="CQ112" i="33"/>
  <c r="CP112" i="33"/>
  <c r="CO112" i="33"/>
  <c r="CN112" i="33"/>
  <c r="CM112" i="33"/>
  <c r="CL112" i="33"/>
  <c r="CK112" i="33"/>
  <c r="CJ112" i="33"/>
  <c r="CI112" i="33"/>
  <c r="CH112" i="33"/>
  <c r="CG112" i="33"/>
  <c r="CF112" i="33"/>
  <c r="CD112" i="33"/>
  <c r="CC112" i="33"/>
  <c r="CB112" i="33"/>
  <c r="CA112" i="33"/>
  <c r="BZ112" i="33"/>
  <c r="BY112" i="33"/>
  <c r="BX112" i="33"/>
  <c r="BW112" i="33"/>
  <c r="BV112" i="33"/>
  <c r="BU112" i="33"/>
  <c r="BT112" i="33"/>
  <c r="BS112" i="33"/>
  <c r="BR112" i="33"/>
  <c r="BQ112" i="33"/>
  <c r="BP112" i="33"/>
  <c r="BO112" i="33"/>
  <c r="BN112" i="33"/>
  <c r="BJ112" i="33"/>
  <c r="BK112" i="33" s="1"/>
  <c r="BI112" i="33"/>
  <c r="BH112" i="33"/>
  <c r="BG112" i="33"/>
  <c r="BF112" i="33"/>
  <c r="BE112" i="33"/>
  <c r="BD112" i="33"/>
  <c r="BC112" i="33"/>
  <c r="BB112" i="33"/>
  <c r="BA112" i="33"/>
  <c r="AZ112" i="33"/>
  <c r="AY112" i="33"/>
  <c r="AX112" i="33"/>
  <c r="AW112" i="33"/>
  <c r="AU112" i="33"/>
  <c r="AT112" i="33"/>
  <c r="AS112" i="33"/>
  <c r="AR112" i="33"/>
  <c r="AQ112" i="33"/>
  <c r="AP112" i="33"/>
  <c r="AO112" i="33"/>
  <c r="AN112" i="33"/>
  <c r="AM112" i="33"/>
  <c r="AL112" i="33"/>
  <c r="AK112" i="33"/>
  <c r="AJ112" i="33"/>
  <c r="AI112" i="33"/>
  <c r="AH112" i="33"/>
  <c r="AG112" i="33"/>
  <c r="AF112" i="33"/>
  <c r="AE112" i="33"/>
  <c r="AC112" i="33"/>
  <c r="DN111" i="33"/>
  <c r="DM111" i="33"/>
  <c r="DL111" i="33"/>
  <c r="DK111" i="33"/>
  <c r="DJ111" i="33"/>
  <c r="DI111" i="33"/>
  <c r="DH111" i="33"/>
  <c r="DG111" i="33"/>
  <c r="DF111" i="33"/>
  <c r="DE111" i="33"/>
  <c r="DD111" i="33"/>
  <c r="DC111" i="33"/>
  <c r="DB111" i="33"/>
  <c r="DA111" i="33"/>
  <c r="CZ111" i="33"/>
  <c r="CY111" i="33"/>
  <c r="CX111" i="33"/>
  <c r="CV111" i="33"/>
  <c r="CU111" i="33"/>
  <c r="CT111" i="33"/>
  <c r="CS111" i="33"/>
  <c r="CR111" i="33"/>
  <c r="CQ111" i="33"/>
  <c r="CP111" i="33"/>
  <c r="CO111" i="33"/>
  <c r="CN111" i="33"/>
  <c r="CM111" i="33"/>
  <c r="CL111" i="33"/>
  <c r="CK111" i="33"/>
  <c r="CJ111" i="33"/>
  <c r="CI111" i="33"/>
  <c r="CH111" i="33"/>
  <c r="CG111" i="33"/>
  <c r="CF111" i="33"/>
  <c r="CD111" i="33"/>
  <c r="CC111" i="33"/>
  <c r="CB111" i="33"/>
  <c r="CA111" i="33"/>
  <c r="BZ111" i="33"/>
  <c r="BY111" i="33"/>
  <c r="BX111" i="33"/>
  <c r="BW111" i="33"/>
  <c r="BV111" i="33"/>
  <c r="BU111" i="33"/>
  <c r="BT111" i="33"/>
  <c r="BS111" i="33"/>
  <c r="BR111" i="33"/>
  <c r="BQ111" i="33"/>
  <c r="BP111" i="33"/>
  <c r="BO111" i="33"/>
  <c r="BN111" i="33"/>
  <c r="BJ111" i="33"/>
  <c r="BK111" i="33" s="1"/>
  <c r="BI111" i="33"/>
  <c r="BH111" i="33"/>
  <c r="BG111" i="33"/>
  <c r="BF111" i="33"/>
  <c r="BE111" i="33"/>
  <c r="BD111" i="33"/>
  <c r="BC111" i="33"/>
  <c r="BB111" i="33"/>
  <c r="BA111" i="33"/>
  <c r="AZ111" i="33"/>
  <c r="AY111" i="33"/>
  <c r="AX111" i="33"/>
  <c r="AW111" i="33"/>
  <c r="AU111" i="33"/>
  <c r="AT111" i="33"/>
  <c r="AS111" i="33"/>
  <c r="AR111" i="33"/>
  <c r="AQ111" i="33"/>
  <c r="AP111" i="33"/>
  <c r="AO111" i="33"/>
  <c r="AN111" i="33"/>
  <c r="AM111" i="33"/>
  <c r="AL111" i="33"/>
  <c r="AK111" i="33"/>
  <c r="AJ111" i="33"/>
  <c r="AI111" i="33"/>
  <c r="AH111" i="33"/>
  <c r="AG111" i="33"/>
  <c r="AF111" i="33"/>
  <c r="AE111" i="33"/>
  <c r="AC111" i="33"/>
  <c r="DN110" i="33"/>
  <c r="DM110" i="33"/>
  <c r="DL110" i="33"/>
  <c r="DK110" i="33"/>
  <c r="DJ110" i="33"/>
  <c r="DI110" i="33"/>
  <c r="DH110" i="33"/>
  <c r="DG110" i="33"/>
  <c r="DF110" i="33"/>
  <c r="DE110" i="33"/>
  <c r="DD110" i="33"/>
  <c r="DC110" i="33"/>
  <c r="DB110" i="33"/>
  <c r="DA110" i="33"/>
  <c r="CZ110" i="33"/>
  <c r="CY110" i="33"/>
  <c r="CX110" i="33"/>
  <c r="CV110" i="33"/>
  <c r="CU110" i="33"/>
  <c r="CT110" i="33"/>
  <c r="CS110" i="33"/>
  <c r="CR110" i="33"/>
  <c r="CQ110" i="33"/>
  <c r="CP110" i="33"/>
  <c r="CO110" i="33"/>
  <c r="CN110" i="33"/>
  <c r="CM110" i="33"/>
  <c r="CL110" i="33"/>
  <c r="CK110" i="33"/>
  <c r="CJ110" i="33"/>
  <c r="CI110" i="33"/>
  <c r="CH110" i="33"/>
  <c r="CG110" i="33"/>
  <c r="CF110" i="33"/>
  <c r="CD110" i="33"/>
  <c r="CC110" i="33"/>
  <c r="CB110" i="33"/>
  <c r="CA110" i="33"/>
  <c r="BZ110" i="33"/>
  <c r="BY110" i="33"/>
  <c r="BX110" i="33"/>
  <c r="BW110" i="33"/>
  <c r="BV110" i="33"/>
  <c r="BU110" i="33"/>
  <c r="BT110" i="33"/>
  <c r="BS110" i="33"/>
  <c r="BR110" i="33"/>
  <c r="BQ110" i="33"/>
  <c r="BP110" i="33"/>
  <c r="BO110" i="33"/>
  <c r="BN110" i="33"/>
  <c r="BI110" i="33"/>
  <c r="BH110" i="33"/>
  <c r="BG110" i="33"/>
  <c r="BF110" i="33"/>
  <c r="BE110" i="33"/>
  <c r="BD110" i="33"/>
  <c r="BC110" i="33"/>
  <c r="BB110" i="33"/>
  <c r="BA110" i="33"/>
  <c r="AZ110" i="33"/>
  <c r="AY110" i="33"/>
  <c r="AX110" i="33"/>
  <c r="AW110" i="33"/>
  <c r="AU110" i="33"/>
  <c r="AT110" i="33"/>
  <c r="AS110" i="33"/>
  <c r="AR110" i="33"/>
  <c r="AQ110" i="33"/>
  <c r="AP110" i="33"/>
  <c r="AO110" i="33"/>
  <c r="AN110" i="33"/>
  <c r="AM110" i="33"/>
  <c r="AL110" i="33"/>
  <c r="AK110" i="33"/>
  <c r="AJ110" i="33"/>
  <c r="AI110" i="33"/>
  <c r="AH110" i="33"/>
  <c r="AG110" i="33"/>
  <c r="AF110" i="33"/>
  <c r="AE110" i="33"/>
  <c r="AC110" i="33"/>
  <c r="DN109" i="33"/>
  <c r="DM109" i="33"/>
  <c r="DL109" i="33"/>
  <c r="DK109" i="33"/>
  <c r="DJ109" i="33"/>
  <c r="DI109" i="33"/>
  <c r="DH109" i="33"/>
  <c r="DG109" i="33"/>
  <c r="DF109" i="33"/>
  <c r="DE109" i="33"/>
  <c r="DD109" i="33"/>
  <c r="DC109" i="33"/>
  <c r="DB109" i="33"/>
  <c r="DA109" i="33"/>
  <c r="CZ109" i="33"/>
  <c r="CY109" i="33"/>
  <c r="CX109" i="33"/>
  <c r="CV109" i="33"/>
  <c r="CU109" i="33"/>
  <c r="CT109" i="33"/>
  <c r="CS109" i="33"/>
  <c r="CR109" i="33"/>
  <c r="CQ109" i="33"/>
  <c r="CP109" i="33"/>
  <c r="CO109" i="33"/>
  <c r="CN109" i="33"/>
  <c r="CM109" i="33"/>
  <c r="CL109" i="33"/>
  <c r="CK109" i="33"/>
  <c r="CJ109" i="33"/>
  <c r="CI109" i="33"/>
  <c r="CH109" i="33"/>
  <c r="CG109" i="33"/>
  <c r="CF109" i="33"/>
  <c r="CD109" i="33"/>
  <c r="CC109" i="33"/>
  <c r="CB109" i="33"/>
  <c r="CA109" i="33"/>
  <c r="BZ109" i="33"/>
  <c r="BY109" i="33"/>
  <c r="BX109" i="33"/>
  <c r="BW109" i="33"/>
  <c r="BV109" i="33"/>
  <c r="BU109" i="33"/>
  <c r="BT109" i="33"/>
  <c r="BS109" i="33"/>
  <c r="BR109" i="33"/>
  <c r="BQ109" i="33"/>
  <c r="BP109" i="33"/>
  <c r="BO109" i="33"/>
  <c r="BN109" i="33"/>
  <c r="BK109" i="33"/>
  <c r="BJ109" i="33"/>
  <c r="BI109" i="33"/>
  <c r="BH109" i="33"/>
  <c r="BG109" i="33"/>
  <c r="BF109" i="33"/>
  <c r="BE109" i="33"/>
  <c r="BD109" i="33"/>
  <c r="BC109" i="33"/>
  <c r="BB109" i="33"/>
  <c r="BA109" i="33"/>
  <c r="AZ109" i="33"/>
  <c r="AY109" i="33"/>
  <c r="AX109" i="33"/>
  <c r="AW109" i="33"/>
  <c r="AU109" i="33"/>
  <c r="AT109" i="33"/>
  <c r="AS109" i="33"/>
  <c r="AR109" i="33"/>
  <c r="AQ109" i="33"/>
  <c r="AP109" i="33"/>
  <c r="AO109" i="33"/>
  <c r="AN109" i="33"/>
  <c r="AM109" i="33"/>
  <c r="AL109" i="33"/>
  <c r="AK109" i="33"/>
  <c r="AJ109" i="33"/>
  <c r="AI109" i="33"/>
  <c r="AH109" i="33"/>
  <c r="AG109" i="33"/>
  <c r="AF109" i="33"/>
  <c r="AE109" i="33"/>
  <c r="AC109" i="33"/>
  <c r="DN108" i="33"/>
  <c r="DM108" i="33"/>
  <c r="DL108" i="33"/>
  <c r="DK108" i="33"/>
  <c r="DJ108" i="33"/>
  <c r="DI108" i="33"/>
  <c r="DH108" i="33"/>
  <c r="DG108" i="33"/>
  <c r="DF108" i="33"/>
  <c r="DE108" i="33"/>
  <c r="DD108" i="33"/>
  <c r="DC108" i="33"/>
  <c r="DB108" i="33"/>
  <c r="DA108" i="33"/>
  <c r="CZ108" i="33"/>
  <c r="CY108" i="33"/>
  <c r="CX108" i="33"/>
  <c r="CV108" i="33"/>
  <c r="CU108" i="33"/>
  <c r="CT108" i="33"/>
  <c r="CS108" i="33"/>
  <c r="CR108" i="33"/>
  <c r="CQ108" i="33"/>
  <c r="CP108" i="33"/>
  <c r="CO108" i="33"/>
  <c r="CN108" i="33"/>
  <c r="CM108" i="33"/>
  <c r="CL108" i="33"/>
  <c r="CK108" i="33"/>
  <c r="CJ108" i="33"/>
  <c r="CI108" i="33"/>
  <c r="CH108" i="33"/>
  <c r="CG108" i="33"/>
  <c r="CF108" i="33"/>
  <c r="CD108" i="33"/>
  <c r="CC108" i="33"/>
  <c r="CB108" i="33"/>
  <c r="CA108" i="33"/>
  <c r="BZ108" i="33"/>
  <c r="BY108" i="33"/>
  <c r="BX108" i="33"/>
  <c r="BW108" i="33"/>
  <c r="BV108" i="33"/>
  <c r="BU108" i="33"/>
  <c r="BT108" i="33"/>
  <c r="BS108" i="33"/>
  <c r="BR108" i="33"/>
  <c r="BQ108" i="33"/>
  <c r="BP108" i="33"/>
  <c r="BO108" i="33"/>
  <c r="BN108" i="33"/>
  <c r="BJ108" i="33"/>
  <c r="BK108" i="33" s="1"/>
  <c r="BI108" i="33"/>
  <c r="BH108" i="33"/>
  <c r="BG108" i="33"/>
  <c r="BF108" i="33"/>
  <c r="BE108" i="33"/>
  <c r="BD108" i="33"/>
  <c r="BC108" i="33"/>
  <c r="BB108" i="33"/>
  <c r="BA108" i="33"/>
  <c r="AZ108" i="33"/>
  <c r="AY108" i="33"/>
  <c r="AX108" i="33"/>
  <c r="AW108" i="33"/>
  <c r="AU108" i="33"/>
  <c r="AT108" i="33"/>
  <c r="AS108" i="33"/>
  <c r="AR108" i="33"/>
  <c r="AQ108" i="33"/>
  <c r="AP108" i="33"/>
  <c r="AO108" i="33"/>
  <c r="AN108" i="33"/>
  <c r="AM108" i="33"/>
  <c r="AL108" i="33"/>
  <c r="AK108" i="33"/>
  <c r="AJ108" i="33"/>
  <c r="AI108" i="33"/>
  <c r="AH108" i="33"/>
  <c r="AG108" i="33"/>
  <c r="AF108" i="33"/>
  <c r="AE108" i="33"/>
  <c r="AC108" i="33"/>
  <c r="DN107" i="33"/>
  <c r="DM107" i="33"/>
  <c r="DL107" i="33"/>
  <c r="DK107" i="33"/>
  <c r="DJ107" i="33"/>
  <c r="DI107" i="33"/>
  <c r="DH107" i="33"/>
  <c r="DG107" i="33"/>
  <c r="DF107" i="33"/>
  <c r="DE107" i="33"/>
  <c r="DD107" i="33"/>
  <c r="DC107" i="33"/>
  <c r="DB107" i="33"/>
  <c r="DA107" i="33"/>
  <c r="CZ107" i="33"/>
  <c r="CY107" i="33"/>
  <c r="CX107" i="33"/>
  <c r="CV107" i="33"/>
  <c r="CU107" i="33"/>
  <c r="CT107" i="33"/>
  <c r="CS107" i="33"/>
  <c r="CR107" i="33"/>
  <c r="CQ107" i="33"/>
  <c r="CP107" i="33"/>
  <c r="CO107" i="33"/>
  <c r="CN107" i="33"/>
  <c r="CM107" i="33"/>
  <c r="CL107" i="33"/>
  <c r="CK107" i="33"/>
  <c r="CJ107" i="33"/>
  <c r="CI107" i="33"/>
  <c r="CH107" i="33"/>
  <c r="CG107" i="33"/>
  <c r="CF107" i="33"/>
  <c r="CD107" i="33"/>
  <c r="CC107" i="33"/>
  <c r="CB107" i="33"/>
  <c r="CA107" i="33"/>
  <c r="BZ107" i="33"/>
  <c r="BY107" i="33"/>
  <c r="BX107" i="33"/>
  <c r="BW107" i="33"/>
  <c r="BV107" i="33"/>
  <c r="BU107" i="33"/>
  <c r="BT107" i="33"/>
  <c r="BS107" i="33"/>
  <c r="BR107" i="33"/>
  <c r="BQ107" i="33"/>
  <c r="BP107" i="33"/>
  <c r="BO107" i="33"/>
  <c r="BN107" i="33"/>
  <c r="BI107" i="33"/>
  <c r="BH107" i="33"/>
  <c r="BG107" i="33"/>
  <c r="BF107" i="33"/>
  <c r="BE107" i="33"/>
  <c r="BD107" i="33"/>
  <c r="BC107" i="33"/>
  <c r="BB107" i="33"/>
  <c r="BA107" i="33"/>
  <c r="AZ107" i="33"/>
  <c r="AY107" i="33"/>
  <c r="AX107" i="33"/>
  <c r="AW107" i="33"/>
  <c r="AU107" i="33"/>
  <c r="AT107" i="33"/>
  <c r="AS107" i="33"/>
  <c r="AR107" i="33"/>
  <c r="AQ107" i="33"/>
  <c r="AP107" i="33"/>
  <c r="AO107" i="33"/>
  <c r="AN107" i="33"/>
  <c r="AM107" i="33"/>
  <c r="AL107" i="33"/>
  <c r="AK107" i="33"/>
  <c r="AJ107" i="33"/>
  <c r="AI107" i="33"/>
  <c r="AH107" i="33"/>
  <c r="AG107" i="33"/>
  <c r="AF107" i="33"/>
  <c r="AE107" i="33"/>
  <c r="AC107" i="33"/>
  <c r="DN106" i="33"/>
  <c r="DM106" i="33"/>
  <c r="DL106" i="33"/>
  <c r="DK106" i="33"/>
  <c r="DJ106" i="33"/>
  <c r="DI106" i="33"/>
  <c r="DH106" i="33"/>
  <c r="DG106" i="33"/>
  <c r="DF106" i="33"/>
  <c r="DE106" i="33"/>
  <c r="DD106" i="33"/>
  <c r="DC106" i="33"/>
  <c r="DB106" i="33"/>
  <c r="DA106" i="33"/>
  <c r="CZ106" i="33"/>
  <c r="CY106" i="33"/>
  <c r="CX106" i="33"/>
  <c r="CV106" i="33"/>
  <c r="CU106" i="33"/>
  <c r="CT106" i="33"/>
  <c r="CS106" i="33"/>
  <c r="CR106" i="33"/>
  <c r="CQ106" i="33"/>
  <c r="CP106" i="33"/>
  <c r="CO106" i="33"/>
  <c r="CN106" i="33"/>
  <c r="CM106" i="33"/>
  <c r="CL106" i="33"/>
  <c r="CK106" i="33"/>
  <c r="CJ106" i="33"/>
  <c r="CI106" i="33"/>
  <c r="CH106" i="33"/>
  <c r="CG106" i="33"/>
  <c r="CF106" i="33"/>
  <c r="CD106" i="33"/>
  <c r="CC106" i="33"/>
  <c r="CB106" i="33"/>
  <c r="CA106" i="33"/>
  <c r="BZ106" i="33"/>
  <c r="BY106" i="33"/>
  <c r="BX106" i="33"/>
  <c r="BW106" i="33"/>
  <c r="BV106" i="33"/>
  <c r="BU106" i="33"/>
  <c r="BT106" i="33"/>
  <c r="BS106" i="33"/>
  <c r="BR106" i="33"/>
  <c r="BQ106" i="33"/>
  <c r="BP106" i="33"/>
  <c r="BO106" i="33"/>
  <c r="BN106" i="33"/>
  <c r="BI106" i="33"/>
  <c r="BH106" i="33"/>
  <c r="BG106" i="33"/>
  <c r="BF106" i="33"/>
  <c r="BE106" i="33"/>
  <c r="BD106" i="33"/>
  <c r="BC106" i="33"/>
  <c r="BB106" i="33"/>
  <c r="BA106" i="33"/>
  <c r="AZ106" i="33"/>
  <c r="AY106" i="33"/>
  <c r="AX106" i="33"/>
  <c r="AW106" i="33"/>
  <c r="AU106" i="33"/>
  <c r="AT106" i="33"/>
  <c r="AS106" i="33"/>
  <c r="AR106" i="33"/>
  <c r="AQ106" i="33"/>
  <c r="AP106" i="33"/>
  <c r="AO106" i="33"/>
  <c r="AN106" i="33"/>
  <c r="AM106" i="33"/>
  <c r="AL106" i="33"/>
  <c r="AK106" i="33"/>
  <c r="AJ106" i="33"/>
  <c r="AI106" i="33"/>
  <c r="AH106" i="33"/>
  <c r="AG106" i="33"/>
  <c r="AF106" i="33"/>
  <c r="AE106" i="33"/>
  <c r="AC106" i="33"/>
  <c r="DN105" i="33"/>
  <c r="DM105" i="33"/>
  <c r="DL105" i="33"/>
  <c r="DK105" i="33"/>
  <c r="DJ105" i="33"/>
  <c r="DI105" i="33"/>
  <c r="DH105" i="33"/>
  <c r="DG105" i="33"/>
  <c r="DF105" i="33"/>
  <c r="DE105" i="33"/>
  <c r="DD105" i="33"/>
  <c r="DC105" i="33"/>
  <c r="DB105" i="33"/>
  <c r="DA105" i="33"/>
  <c r="CZ105" i="33"/>
  <c r="CY105" i="33"/>
  <c r="CX105" i="33"/>
  <c r="CV105" i="33"/>
  <c r="CU105" i="33"/>
  <c r="CT105" i="33"/>
  <c r="CS105" i="33"/>
  <c r="CR105" i="33"/>
  <c r="CQ105" i="33"/>
  <c r="CP105" i="33"/>
  <c r="CO105" i="33"/>
  <c r="CN105" i="33"/>
  <c r="CM105" i="33"/>
  <c r="CL105" i="33"/>
  <c r="CK105" i="33"/>
  <c r="CJ105" i="33"/>
  <c r="CI105" i="33"/>
  <c r="CH105" i="33"/>
  <c r="CG105" i="33"/>
  <c r="CF105" i="33"/>
  <c r="CD105" i="33"/>
  <c r="CC105" i="33"/>
  <c r="CB105" i="33"/>
  <c r="CA105" i="33"/>
  <c r="BZ105" i="33"/>
  <c r="BY105" i="33"/>
  <c r="BX105" i="33"/>
  <c r="BW105" i="33"/>
  <c r="BV105" i="33"/>
  <c r="BU105" i="33"/>
  <c r="BT105" i="33"/>
  <c r="BS105" i="33"/>
  <c r="BR105" i="33"/>
  <c r="BQ105" i="33"/>
  <c r="BP105" i="33"/>
  <c r="BO105" i="33"/>
  <c r="BN105" i="33"/>
  <c r="BI105" i="33"/>
  <c r="BH105" i="33"/>
  <c r="BG105" i="33"/>
  <c r="BF105" i="33"/>
  <c r="BE105" i="33"/>
  <c r="BD105" i="33"/>
  <c r="BC105" i="33"/>
  <c r="BB105" i="33"/>
  <c r="BA105" i="33"/>
  <c r="AZ105" i="33"/>
  <c r="AY105" i="33"/>
  <c r="AX105" i="33"/>
  <c r="AW105" i="33"/>
  <c r="AU105" i="33"/>
  <c r="AT105" i="33"/>
  <c r="AS105" i="33"/>
  <c r="AR105" i="33"/>
  <c r="AQ105" i="33"/>
  <c r="AP105" i="33"/>
  <c r="AO105" i="33"/>
  <c r="AN105" i="33"/>
  <c r="AM105" i="33"/>
  <c r="AL105" i="33"/>
  <c r="AK105" i="33"/>
  <c r="AJ105" i="33"/>
  <c r="AI105" i="33"/>
  <c r="AH105" i="33"/>
  <c r="AG105" i="33"/>
  <c r="AF105" i="33"/>
  <c r="AE105" i="33"/>
  <c r="AC105" i="33"/>
  <c r="DN104" i="33"/>
  <c r="DM104" i="33"/>
  <c r="DL104" i="33"/>
  <c r="DK104" i="33"/>
  <c r="DJ104" i="33"/>
  <c r="DI104" i="33"/>
  <c r="DH104" i="33"/>
  <c r="DG104" i="33"/>
  <c r="DF104" i="33"/>
  <c r="DE104" i="33"/>
  <c r="DD104" i="33"/>
  <c r="DC104" i="33"/>
  <c r="DB104" i="33"/>
  <c r="DA104" i="33"/>
  <c r="CZ104" i="33"/>
  <c r="CY104" i="33"/>
  <c r="CX104" i="33"/>
  <c r="CV104" i="33"/>
  <c r="CU104" i="33"/>
  <c r="CT104" i="33"/>
  <c r="CS104" i="33"/>
  <c r="CR104" i="33"/>
  <c r="CQ104" i="33"/>
  <c r="CP104" i="33"/>
  <c r="CO104" i="33"/>
  <c r="CN104" i="33"/>
  <c r="CM104" i="33"/>
  <c r="CL104" i="33"/>
  <c r="CK104" i="33"/>
  <c r="CJ104" i="33"/>
  <c r="CI104" i="33"/>
  <c r="CH104" i="33"/>
  <c r="CG104" i="33"/>
  <c r="CF104" i="33"/>
  <c r="CD104" i="33"/>
  <c r="CC104" i="33"/>
  <c r="CB104" i="33"/>
  <c r="CA104" i="33"/>
  <c r="BZ104" i="33"/>
  <c r="BY104" i="33"/>
  <c r="BX104" i="33"/>
  <c r="BW104" i="33"/>
  <c r="BV104" i="33"/>
  <c r="BU104" i="33"/>
  <c r="BT104" i="33"/>
  <c r="BS104" i="33"/>
  <c r="BR104" i="33"/>
  <c r="BQ104" i="33"/>
  <c r="BP104" i="33"/>
  <c r="BO104" i="33"/>
  <c r="BN104" i="33"/>
  <c r="BI104" i="33"/>
  <c r="BH104" i="33"/>
  <c r="BG104" i="33"/>
  <c r="BF104" i="33"/>
  <c r="BE104" i="33"/>
  <c r="BD104" i="33"/>
  <c r="BC104" i="33"/>
  <c r="BB104" i="33"/>
  <c r="BA104" i="33"/>
  <c r="AZ104" i="33"/>
  <c r="AY104" i="33"/>
  <c r="AX104" i="33"/>
  <c r="AW104" i="33"/>
  <c r="AU104" i="33"/>
  <c r="AT104" i="33"/>
  <c r="AS104" i="33"/>
  <c r="AR104" i="33"/>
  <c r="AQ104" i="33"/>
  <c r="AP104" i="33"/>
  <c r="AO104" i="33"/>
  <c r="AN104" i="33"/>
  <c r="AM104" i="33"/>
  <c r="AL104" i="33"/>
  <c r="AK104" i="33"/>
  <c r="AJ104" i="33"/>
  <c r="AI104" i="33"/>
  <c r="AH104" i="33"/>
  <c r="AG104" i="33"/>
  <c r="AF104" i="33"/>
  <c r="AE104" i="33"/>
  <c r="AC104" i="33"/>
  <c r="DN103" i="33"/>
  <c r="DM103" i="33"/>
  <c r="DL103" i="33"/>
  <c r="DK103" i="33"/>
  <c r="DJ103" i="33"/>
  <c r="DI103" i="33"/>
  <c r="DH103" i="33"/>
  <c r="DG103" i="33"/>
  <c r="DF103" i="33"/>
  <c r="DE103" i="33"/>
  <c r="DD103" i="33"/>
  <c r="DC103" i="33"/>
  <c r="DB103" i="33"/>
  <c r="DA103" i="33"/>
  <c r="CZ103" i="33"/>
  <c r="CY103" i="33"/>
  <c r="CX103" i="33"/>
  <c r="CV103" i="33"/>
  <c r="CU103" i="33"/>
  <c r="CT103" i="33"/>
  <c r="CS103" i="33"/>
  <c r="CR103" i="33"/>
  <c r="CQ103" i="33"/>
  <c r="CP103" i="33"/>
  <c r="CO103" i="33"/>
  <c r="CN103" i="33"/>
  <c r="CM103" i="33"/>
  <c r="CL103" i="33"/>
  <c r="CK103" i="33"/>
  <c r="CJ103" i="33"/>
  <c r="CI103" i="33"/>
  <c r="CH103" i="33"/>
  <c r="CG103" i="33"/>
  <c r="CF103" i="33"/>
  <c r="CD103" i="33"/>
  <c r="CC103" i="33"/>
  <c r="CB103" i="33"/>
  <c r="CA103" i="33"/>
  <c r="BZ103" i="33"/>
  <c r="BY103" i="33"/>
  <c r="BX103" i="33"/>
  <c r="BW103" i="33"/>
  <c r="BV103" i="33"/>
  <c r="BU103" i="33"/>
  <c r="BT103" i="33"/>
  <c r="BS103" i="33"/>
  <c r="BR103" i="33"/>
  <c r="BQ103" i="33"/>
  <c r="BP103" i="33"/>
  <c r="BO103" i="33"/>
  <c r="BN103" i="33"/>
  <c r="BI103" i="33"/>
  <c r="BH103" i="33"/>
  <c r="BG103" i="33"/>
  <c r="BF103" i="33"/>
  <c r="BE103" i="33"/>
  <c r="BD103" i="33"/>
  <c r="BC103" i="33"/>
  <c r="BB103" i="33"/>
  <c r="BA103" i="33"/>
  <c r="AZ103" i="33"/>
  <c r="AY103" i="33"/>
  <c r="AX103" i="33"/>
  <c r="AW103" i="33"/>
  <c r="AU103" i="33"/>
  <c r="AT103" i="33"/>
  <c r="AS103" i="33"/>
  <c r="AR103" i="33"/>
  <c r="AQ103" i="33"/>
  <c r="AP103" i="33"/>
  <c r="AO103" i="33"/>
  <c r="AN103" i="33"/>
  <c r="AM103" i="33"/>
  <c r="AL103" i="33"/>
  <c r="AK103" i="33"/>
  <c r="AJ103" i="33"/>
  <c r="AI103" i="33"/>
  <c r="AH103" i="33"/>
  <c r="AG103" i="33"/>
  <c r="AF103" i="33"/>
  <c r="AE103" i="33"/>
  <c r="AC103" i="33"/>
  <c r="DN102" i="33"/>
  <c r="DM102" i="33"/>
  <c r="DL102" i="33"/>
  <c r="DK102" i="33"/>
  <c r="DJ102" i="33"/>
  <c r="DI102" i="33"/>
  <c r="DH102" i="33"/>
  <c r="DG102" i="33"/>
  <c r="DF102" i="33"/>
  <c r="DE102" i="33"/>
  <c r="DD102" i="33"/>
  <c r="DC102" i="33"/>
  <c r="DB102" i="33"/>
  <c r="DA102" i="33"/>
  <c r="CZ102" i="33"/>
  <c r="CY102" i="33"/>
  <c r="CX102" i="33"/>
  <c r="CV102" i="33"/>
  <c r="CU102" i="33"/>
  <c r="CT102" i="33"/>
  <c r="CS102" i="33"/>
  <c r="CR102" i="33"/>
  <c r="CQ102" i="33"/>
  <c r="CP102" i="33"/>
  <c r="CO102" i="33"/>
  <c r="CN102" i="33"/>
  <c r="CM102" i="33"/>
  <c r="CL102" i="33"/>
  <c r="CK102" i="33"/>
  <c r="CJ102" i="33"/>
  <c r="CI102" i="33"/>
  <c r="CH102" i="33"/>
  <c r="CG102" i="33"/>
  <c r="CF102" i="33"/>
  <c r="CD102" i="33"/>
  <c r="CC102" i="33"/>
  <c r="CB102" i="33"/>
  <c r="CA102" i="33"/>
  <c r="BZ102" i="33"/>
  <c r="BY102" i="33"/>
  <c r="BX102" i="33"/>
  <c r="BW102" i="33"/>
  <c r="BV102" i="33"/>
  <c r="BU102" i="33"/>
  <c r="BT102" i="33"/>
  <c r="BS102" i="33"/>
  <c r="BR102" i="33"/>
  <c r="BQ102" i="33"/>
  <c r="BP102" i="33"/>
  <c r="BO102" i="33"/>
  <c r="BN102" i="33"/>
  <c r="BI102" i="33"/>
  <c r="BJ102" i="33" s="1"/>
  <c r="BK102" i="33" s="1"/>
  <c r="BH102" i="33"/>
  <c r="BG102" i="33"/>
  <c r="BF102" i="33"/>
  <c r="BE102" i="33"/>
  <c r="BC102" i="33"/>
  <c r="BB102" i="33"/>
  <c r="BA102" i="33"/>
  <c r="AZ102" i="33"/>
  <c r="AY102" i="33"/>
  <c r="AX102" i="33"/>
  <c r="AW102" i="33"/>
  <c r="AU102" i="33"/>
  <c r="AT102" i="33"/>
  <c r="AS102" i="33"/>
  <c r="AR102" i="33"/>
  <c r="AQ102" i="33"/>
  <c r="AP102" i="33"/>
  <c r="AO102" i="33"/>
  <c r="AN102" i="33"/>
  <c r="AM102" i="33"/>
  <c r="AL102" i="33"/>
  <c r="AK102" i="33"/>
  <c r="AJ102" i="33"/>
  <c r="AI102" i="33"/>
  <c r="AH102" i="33"/>
  <c r="AG102" i="33"/>
  <c r="AF102" i="33"/>
  <c r="AE102" i="33"/>
  <c r="AC102" i="33"/>
  <c r="DN101" i="33"/>
  <c r="DM101" i="33"/>
  <c r="DL101" i="33"/>
  <c r="DK101" i="33"/>
  <c r="DJ101" i="33"/>
  <c r="DI101" i="33"/>
  <c r="DH101" i="33"/>
  <c r="DG101" i="33"/>
  <c r="DF101" i="33"/>
  <c r="DE101" i="33"/>
  <c r="DD101" i="33"/>
  <c r="DC101" i="33"/>
  <c r="DB101" i="33"/>
  <c r="DA101" i="33"/>
  <c r="CZ101" i="33"/>
  <c r="CY101" i="33"/>
  <c r="CX101" i="33"/>
  <c r="CV101" i="33"/>
  <c r="CU101" i="33"/>
  <c r="CT101" i="33"/>
  <c r="CS101" i="33"/>
  <c r="CR101" i="33"/>
  <c r="CQ101" i="33"/>
  <c r="CP101" i="33"/>
  <c r="CO101" i="33"/>
  <c r="CN101" i="33"/>
  <c r="CM101" i="33"/>
  <c r="CL101" i="33"/>
  <c r="CK101" i="33"/>
  <c r="CJ101" i="33"/>
  <c r="CI101" i="33"/>
  <c r="CH101" i="33"/>
  <c r="CG101" i="33"/>
  <c r="CF101" i="33"/>
  <c r="CD101" i="33"/>
  <c r="CC101" i="33"/>
  <c r="CB101" i="33"/>
  <c r="CA101" i="33"/>
  <c r="BZ101" i="33"/>
  <c r="BY101" i="33"/>
  <c r="BX101" i="33"/>
  <c r="BW101" i="33"/>
  <c r="BV101" i="33"/>
  <c r="BU101" i="33"/>
  <c r="BT101" i="33"/>
  <c r="BS101" i="33"/>
  <c r="BR101" i="33"/>
  <c r="BQ101" i="33"/>
  <c r="BP101" i="33"/>
  <c r="BO101" i="33"/>
  <c r="BN101" i="33"/>
  <c r="BJ101" i="33"/>
  <c r="BK101" i="33" s="1"/>
  <c r="BI101" i="33"/>
  <c r="BH101" i="33"/>
  <c r="BG101" i="33"/>
  <c r="BF101" i="33"/>
  <c r="BE101" i="33"/>
  <c r="BD101" i="33"/>
  <c r="BC101" i="33"/>
  <c r="BB101" i="33"/>
  <c r="BA101" i="33"/>
  <c r="AZ101" i="33"/>
  <c r="AY101" i="33"/>
  <c r="AX101" i="33"/>
  <c r="AW101" i="33"/>
  <c r="AU101" i="33"/>
  <c r="AT101" i="33"/>
  <c r="AS101" i="33"/>
  <c r="AR101" i="33"/>
  <c r="AQ101" i="33"/>
  <c r="AP101" i="33"/>
  <c r="AO101" i="33"/>
  <c r="AN101" i="33"/>
  <c r="AM101" i="33"/>
  <c r="AL101" i="33"/>
  <c r="AK101" i="33"/>
  <c r="AJ101" i="33"/>
  <c r="AI101" i="33"/>
  <c r="AH101" i="33"/>
  <c r="AG101" i="33"/>
  <c r="AF101" i="33"/>
  <c r="AE101" i="33"/>
  <c r="AC101" i="33"/>
  <c r="DN100" i="33"/>
  <c r="DM100" i="33"/>
  <c r="DL100" i="33"/>
  <c r="DK100" i="33"/>
  <c r="DJ100" i="33"/>
  <c r="DI100" i="33"/>
  <c r="DH100" i="33"/>
  <c r="DG100" i="33"/>
  <c r="DF100" i="33"/>
  <c r="DE100" i="33"/>
  <c r="DD100" i="33"/>
  <c r="DC100" i="33"/>
  <c r="DB100" i="33"/>
  <c r="DA100" i="33"/>
  <c r="CZ100" i="33"/>
  <c r="CY100" i="33"/>
  <c r="CX100" i="33"/>
  <c r="CV100" i="33"/>
  <c r="CU100" i="33"/>
  <c r="CT100" i="33"/>
  <c r="CS100" i="33"/>
  <c r="CR100" i="33"/>
  <c r="CQ100" i="33"/>
  <c r="CP100" i="33"/>
  <c r="CO100" i="33"/>
  <c r="CN100" i="33"/>
  <c r="CM100" i="33"/>
  <c r="CL100" i="33"/>
  <c r="CK100" i="33"/>
  <c r="CJ100" i="33"/>
  <c r="CI100" i="33"/>
  <c r="CH100" i="33"/>
  <c r="CG100" i="33"/>
  <c r="CF100" i="33"/>
  <c r="CD100" i="33"/>
  <c r="CC100" i="33"/>
  <c r="CB100" i="33"/>
  <c r="CA100" i="33"/>
  <c r="BZ100" i="33"/>
  <c r="BY100" i="33"/>
  <c r="BX100" i="33"/>
  <c r="BW100" i="33"/>
  <c r="BV100" i="33"/>
  <c r="BU100" i="33"/>
  <c r="BT100" i="33"/>
  <c r="BS100" i="33"/>
  <c r="BR100" i="33"/>
  <c r="BQ100" i="33"/>
  <c r="BP100" i="33"/>
  <c r="BO100" i="33"/>
  <c r="BN100" i="33"/>
  <c r="BJ100" i="33"/>
  <c r="BK100" i="33" s="1"/>
  <c r="BI100" i="33"/>
  <c r="BH100" i="33"/>
  <c r="BG100" i="33"/>
  <c r="BF100" i="33"/>
  <c r="BE100" i="33"/>
  <c r="BD100" i="33"/>
  <c r="BC100" i="33"/>
  <c r="BB100" i="33"/>
  <c r="BA100" i="33"/>
  <c r="AZ100" i="33"/>
  <c r="AY100" i="33"/>
  <c r="AX100" i="33"/>
  <c r="AW100" i="33"/>
  <c r="AU100" i="33"/>
  <c r="AT100" i="33"/>
  <c r="AS100" i="33"/>
  <c r="AR100" i="33"/>
  <c r="AQ100" i="33"/>
  <c r="AP100" i="33"/>
  <c r="AO100" i="33"/>
  <c r="AN100" i="33"/>
  <c r="AM100" i="33"/>
  <c r="AL100" i="33"/>
  <c r="AK100" i="33"/>
  <c r="AJ100" i="33"/>
  <c r="AI100" i="33"/>
  <c r="AH100" i="33"/>
  <c r="AG100" i="33"/>
  <c r="AF100" i="33"/>
  <c r="AE100" i="33"/>
  <c r="AC100" i="33"/>
  <c r="DN99" i="33"/>
  <c r="DM99" i="33"/>
  <c r="DL99" i="33"/>
  <c r="DK99" i="33"/>
  <c r="DJ99" i="33"/>
  <c r="DI99" i="33"/>
  <c r="DH99" i="33"/>
  <c r="DG99" i="33"/>
  <c r="DF99" i="33"/>
  <c r="DE99" i="33"/>
  <c r="DD99" i="33"/>
  <c r="DC99" i="33"/>
  <c r="DB99" i="33"/>
  <c r="DA99" i="33"/>
  <c r="CZ99" i="33"/>
  <c r="CY99" i="33"/>
  <c r="CX99" i="33"/>
  <c r="CV99" i="33"/>
  <c r="CU99" i="33"/>
  <c r="CT99" i="33"/>
  <c r="CS99" i="33"/>
  <c r="CR99" i="33"/>
  <c r="CQ99" i="33"/>
  <c r="CP99" i="33"/>
  <c r="CO99" i="33"/>
  <c r="CN99" i="33"/>
  <c r="CM99" i="33"/>
  <c r="CL99" i="33"/>
  <c r="CK99" i="33"/>
  <c r="CJ99" i="33"/>
  <c r="CI99" i="33"/>
  <c r="CH99" i="33"/>
  <c r="CG99" i="33"/>
  <c r="CF99" i="33"/>
  <c r="CD99" i="33"/>
  <c r="CC99" i="33"/>
  <c r="CB99" i="33"/>
  <c r="CA99" i="33"/>
  <c r="BZ99" i="33"/>
  <c r="BY99" i="33"/>
  <c r="BX99" i="33"/>
  <c r="BW99" i="33"/>
  <c r="BV99" i="33"/>
  <c r="BU99" i="33"/>
  <c r="BT99" i="33"/>
  <c r="BS99" i="33"/>
  <c r="BR99" i="33"/>
  <c r="BQ99" i="33"/>
  <c r="BP99" i="33"/>
  <c r="BO99" i="33"/>
  <c r="BN99" i="33"/>
  <c r="BJ99" i="33"/>
  <c r="BI99" i="33"/>
  <c r="BH99" i="33"/>
  <c r="BG99" i="33"/>
  <c r="BF99" i="33"/>
  <c r="BE99" i="33"/>
  <c r="BD99" i="33"/>
  <c r="BC99" i="33"/>
  <c r="BB99" i="33"/>
  <c r="BA99" i="33"/>
  <c r="AZ99" i="33"/>
  <c r="AY99" i="33"/>
  <c r="AX99" i="33"/>
  <c r="AW99" i="33"/>
  <c r="AU99" i="33"/>
  <c r="AT99" i="33"/>
  <c r="AS99" i="33"/>
  <c r="AR99" i="33"/>
  <c r="AQ99" i="33"/>
  <c r="AP99" i="33"/>
  <c r="AO99" i="33"/>
  <c r="AN99" i="33"/>
  <c r="AM99" i="33"/>
  <c r="AL99" i="33"/>
  <c r="AK99" i="33"/>
  <c r="AJ99" i="33"/>
  <c r="AI99" i="33"/>
  <c r="AH99" i="33"/>
  <c r="AG99" i="33"/>
  <c r="AF99" i="33"/>
  <c r="AE99" i="33"/>
  <c r="AC99" i="33"/>
  <c r="DN98" i="33"/>
  <c r="DM98" i="33"/>
  <c r="DL98" i="33"/>
  <c r="DK98" i="33"/>
  <c r="DJ98" i="33"/>
  <c r="DI98" i="33"/>
  <c r="DH98" i="33"/>
  <c r="DG98" i="33"/>
  <c r="DF98" i="33"/>
  <c r="DE98" i="33"/>
  <c r="DD98" i="33"/>
  <c r="DC98" i="33"/>
  <c r="DB98" i="33"/>
  <c r="DA98" i="33"/>
  <c r="CZ98" i="33"/>
  <c r="CY98" i="33"/>
  <c r="CX98" i="33"/>
  <c r="CV98" i="33"/>
  <c r="CU98" i="33"/>
  <c r="CT98" i="33"/>
  <c r="CS98" i="33"/>
  <c r="CR98" i="33"/>
  <c r="CQ98" i="33"/>
  <c r="CP98" i="33"/>
  <c r="CO98" i="33"/>
  <c r="CN98" i="33"/>
  <c r="CM98" i="33"/>
  <c r="CL98" i="33"/>
  <c r="CK98" i="33"/>
  <c r="CJ98" i="33"/>
  <c r="CI98" i="33"/>
  <c r="CH98" i="33"/>
  <c r="CG98" i="33"/>
  <c r="CF98" i="33"/>
  <c r="CD98" i="33"/>
  <c r="CC98" i="33"/>
  <c r="CB98" i="33"/>
  <c r="CA98" i="33"/>
  <c r="BZ98" i="33"/>
  <c r="BY98" i="33"/>
  <c r="BX98" i="33"/>
  <c r="BW98" i="33"/>
  <c r="BV98" i="33"/>
  <c r="BU98" i="33"/>
  <c r="BT98" i="33"/>
  <c r="BS98" i="33"/>
  <c r="BR98" i="33"/>
  <c r="BQ98" i="33"/>
  <c r="BP98" i="33"/>
  <c r="BO98" i="33"/>
  <c r="BN98" i="33"/>
  <c r="BI98" i="33"/>
  <c r="BJ106" i="33" s="1"/>
  <c r="BH98" i="33"/>
  <c r="BG98" i="33"/>
  <c r="BF98" i="33"/>
  <c r="BE98" i="33"/>
  <c r="BC98" i="33"/>
  <c r="BB98" i="33"/>
  <c r="BA98" i="33"/>
  <c r="AZ98" i="33"/>
  <c r="AY98" i="33"/>
  <c r="AX98" i="33"/>
  <c r="AW98" i="33"/>
  <c r="AU98" i="33"/>
  <c r="AT98" i="33"/>
  <c r="AS98" i="33"/>
  <c r="AR98" i="33"/>
  <c r="AQ98" i="33"/>
  <c r="AP98" i="33"/>
  <c r="AO98" i="33"/>
  <c r="AN98" i="33"/>
  <c r="AM98" i="33"/>
  <c r="AL98" i="33"/>
  <c r="AK98" i="33"/>
  <c r="AJ98" i="33"/>
  <c r="AI98" i="33"/>
  <c r="AH98" i="33"/>
  <c r="AG98" i="33"/>
  <c r="AF98" i="33"/>
  <c r="AE98" i="33"/>
  <c r="DJ97" i="33"/>
  <c r="DI97" i="33"/>
  <c r="DH97" i="33"/>
  <c r="DG97" i="33"/>
  <c r="DF97" i="33"/>
  <c r="DE97" i="33"/>
  <c r="DD97" i="33"/>
  <c r="DC97" i="33"/>
  <c r="DB97" i="33"/>
  <c r="DA97" i="33"/>
  <c r="CZ97" i="33"/>
  <c r="CY97" i="33"/>
  <c r="CX97" i="33"/>
  <c r="CR97" i="33"/>
  <c r="CQ97" i="33"/>
  <c r="CP97" i="33"/>
  <c r="CO97" i="33"/>
  <c r="CN97" i="33"/>
  <c r="CM97" i="33"/>
  <c r="CL97" i="33"/>
  <c r="CK97" i="33"/>
  <c r="CJ97" i="33"/>
  <c r="CI97" i="33"/>
  <c r="CH97" i="33"/>
  <c r="CG97" i="33"/>
  <c r="CF97" i="33"/>
  <c r="BZ97" i="33"/>
  <c r="BY97" i="33"/>
  <c r="BX97" i="33"/>
  <c r="BW97" i="33"/>
  <c r="BV97" i="33"/>
  <c r="BU97" i="33"/>
  <c r="BT97" i="33"/>
  <c r="BS97" i="33"/>
  <c r="BR97" i="33"/>
  <c r="BQ97" i="33"/>
  <c r="BP97" i="33"/>
  <c r="BO97" i="33"/>
  <c r="BN97" i="33"/>
  <c r="BH97" i="33"/>
  <c r="BG97" i="33"/>
  <c r="BF97" i="33"/>
  <c r="BE97" i="33"/>
  <c r="BD97" i="33"/>
  <c r="BC97" i="33"/>
  <c r="BB97" i="33"/>
  <c r="BA97" i="33"/>
  <c r="AZ97" i="33"/>
  <c r="AY97" i="33"/>
  <c r="AX97" i="33"/>
  <c r="AW97" i="33"/>
  <c r="AQ97" i="33"/>
  <c r="AP97" i="33"/>
  <c r="AO97" i="33"/>
  <c r="AN97" i="33"/>
  <c r="AM97" i="33"/>
  <c r="AL97" i="33"/>
  <c r="AK97" i="33"/>
  <c r="AJ97" i="33"/>
  <c r="AI97" i="33"/>
  <c r="AH97" i="33"/>
  <c r="AG97" i="33"/>
  <c r="AF97" i="33"/>
  <c r="AE97" i="33"/>
  <c r="AC95" i="33"/>
  <c r="AC94" i="33"/>
  <c r="AC93" i="33"/>
  <c r="AC92" i="33"/>
  <c r="AC91" i="33"/>
  <c r="AC90" i="33"/>
  <c r="AC89" i="33"/>
  <c r="AC88" i="33"/>
  <c r="AC87" i="33"/>
  <c r="AC86" i="33"/>
  <c r="AC85" i="33"/>
  <c r="AC84" i="33"/>
  <c r="AC83" i="33"/>
  <c r="AC82" i="33"/>
  <c r="AC81" i="33"/>
  <c r="AC80" i="33"/>
  <c r="AC79" i="33"/>
  <c r="AC78" i="33"/>
  <c r="AC77" i="33"/>
  <c r="AC76" i="33"/>
  <c r="AC75" i="33"/>
  <c r="AC74" i="33"/>
  <c r="AC73" i="33"/>
  <c r="AC72" i="33"/>
  <c r="AC71" i="33"/>
  <c r="AC70" i="33"/>
  <c r="AC69" i="33"/>
  <c r="AC68" i="33"/>
  <c r="AC67" i="33"/>
  <c r="AC66" i="33"/>
  <c r="AC65" i="33"/>
  <c r="AC64" i="33"/>
  <c r="AC63" i="33"/>
  <c r="AC62" i="33"/>
  <c r="AC61" i="33"/>
  <c r="AC60" i="33"/>
  <c r="AC59" i="33"/>
  <c r="AC58" i="33"/>
  <c r="AC57" i="33"/>
  <c r="AC56" i="33"/>
  <c r="AC55" i="33"/>
  <c r="AC54" i="33"/>
  <c r="AC53" i="33"/>
  <c r="AC52" i="33"/>
  <c r="AC51" i="33"/>
  <c r="AC49" i="33"/>
  <c r="AC48" i="33"/>
  <c r="AC47" i="33"/>
  <c r="Y45" i="33"/>
  <c r="W45" i="33"/>
  <c r="U45" i="33"/>
  <c r="S45" i="33"/>
  <c r="Q45" i="33"/>
  <c r="O45" i="33"/>
  <c r="M45" i="33"/>
  <c r="K45" i="33"/>
  <c r="I45" i="33"/>
  <c r="G45" i="33"/>
  <c r="E45" i="33"/>
  <c r="N66" i="14"/>
  <c r="M66" i="14"/>
  <c r="L66" i="14"/>
  <c r="K66" i="14"/>
  <c r="J66" i="14"/>
  <c r="I66" i="14"/>
  <c r="H66" i="14"/>
  <c r="G66" i="14"/>
  <c r="F66" i="14"/>
  <c r="E66" i="14"/>
  <c r="D66" i="14"/>
  <c r="N65" i="14"/>
  <c r="M65" i="14"/>
  <c r="L65" i="14"/>
  <c r="K65" i="14"/>
  <c r="J65" i="14"/>
  <c r="I65" i="14"/>
  <c r="H65" i="14"/>
  <c r="G65" i="14"/>
  <c r="F65" i="14"/>
  <c r="E65" i="14"/>
  <c r="D65" i="14"/>
  <c r="N64" i="14"/>
  <c r="M64" i="14"/>
  <c r="L64" i="14"/>
  <c r="K64" i="14"/>
  <c r="J64" i="14"/>
  <c r="I64" i="14"/>
  <c r="H64" i="14"/>
  <c r="G64" i="14"/>
  <c r="F64" i="14"/>
  <c r="E64" i="14"/>
  <c r="D64" i="14"/>
  <c r="N63" i="14"/>
  <c r="M63" i="14"/>
  <c r="L63" i="14"/>
  <c r="K63" i="14"/>
  <c r="J63" i="14"/>
  <c r="I63" i="14"/>
  <c r="H63" i="14"/>
  <c r="G63" i="14"/>
  <c r="F63" i="14"/>
  <c r="E63" i="14"/>
  <c r="D63" i="14"/>
  <c r="N62" i="14"/>
  <c r="M62" i="14"/>
  <c r="L62" i="14"/>
  <c r="K62" i="14"/>
  <c r="J62" i="14"/>
  <c r="I62" i="14"/>
  <c r="H62" i="14"/>
  <c r="G62" i="14"/>
  <c r="F62" i="14"/>
  <c r="E62" i="14"/>
  <c r="D62" i="14"/>
  <c r="N61" i="14"/>
  <c r="M61" i="14"/>
  <c r="L61" i="14"/>
  <c r="K61" i="14"/>
  <c r="J61" i="14"/>
  <c r="I61" i="14"/>
  <c r="H61" i="14"/>
  <c r="G61" i="14"/>
  <c r="F61" i="14"/>
  <c r="E61" i="14"/>
  <c r="D61" i="14"/>
  <c r="N60" i="14"/>
  <c r="M60" i="14"/>
  <c r="L60" i="14"/>
  <c r="K60" i="14"/>
  <c r="J60" i="14"/>
  <c r="I60" i="14"/>
  <c r="H60" i="14"/>
  <c r="G60" i="14"/>
  <c r="F60" i="14"/>
  <c r="E60" i="14"/>
  <c r="D60" i="14"/>
  <c r="N59" i="14"/>
  <c r="M59" i="14"/>
  <c r="L59" i="14"/>
  <c r="K59" i="14"/>
  <c r="J59" i="14"/>
  <c r="I59" i="14"/>
  <c r="H59" i="14"/>
  <c r="G59" i="14"/>
  <c r="F59" i="14"/>
  <c r="E59" i="14"/>
  <c r="D59" i="14"/>
  <c r="N58" i="14"/>
  <c r="M58" i="14"/>
  <c r="L58" i="14"/>
  <c r="K58" i="14"/>
  <c r="J58" i="14"/>
  <c r="I58" i="14"/>
  <c r="H58" i="14"/>
  <c r="G58" i="14"/>
  <c r="F58" i="14"/>
  <c r="E58" i="14"/>
  <c r="D58" i="14"/>
  <c r="N57" i="14"/>
  <c r="M57" i="14"/>
  <c r="L57" i="14"/>
  <c r="K57" i="14"/>
  <c r="J57" i="14"/>
  <c r="I57" i="14"/>
  <c r="H57" i="14"/>
  <c r="G57" i="14"/>
  <c r="F57" i="14"/>
  <c r="E57" i="14"/>
  <c r="D57" i="14"/>
  <c r="N56" i="14"/>
  <c r="M56" i="14"/>
  <c r="L56" i="14"/>
  <c r="K56" i="14"/>
  <c r="J56" i="14"/>
  <c r="I56" i="14"/>
  <c r="H56" i="14"/>
  <c r="G56" i="14"/>
  <c r="F56" i="14"/>
  <c r="E56" i="14"/>
  <c r="D56" i="14"/>
  <c r="N55" i="14"/>
  <c r="M55" i="14"/>
  <c r="L55" i="14"/>
  <c r="K55" i="14"/>
  <c r="J55" i="14"/>
  <c r="I55" i="14"/>
  <c r="H55" i="14"/>
  <c r="G55" i="14"/>
  <c r="F55" i="14"/>
  <c r="E55" i="14"/>
  <c r="D55" i="14"/>
  <c r="N54" i="14"/>
  <c r="M54" i="14"/>
  <c r="L54" i="14"/>
  <c r="K54" i="14"/>
  <c r="J54" i="14"/>
  <c r="I54" i="14"/>
  <c r="H54" i="14"/>
  <c r="G54" i="14"/>
  <c r="F54" i="14"/>
  <c r="E54" i="14"/>
  <c r="D54" i="14"/>
  <c r="N53" i="14"/>
  <c r="M53" i="14"/>
  <c r="L53" i="14"/>
  <c r="K53" i="14"/>
  <c r="J53" i="14"/>
  <c r="I53" i="14"/>
  <c r="H53" i="14"/>
  <c r="G53" i="14"/>
  <c r="F53" i="14"/>
  <c r="E53" i="14"/>
  <c r="D53" i="14"/>
  <c r="CL52" i="14"/>
  <c r="CK52" i="14"/>
  <c r="CJ52" i="14"/>
  <c r="CI52" i="14"/>
  <c r="CH52" i="14"/>
  <c r="CG52" i="14"/>
  <c r="CF52" i="14"/>
  <c r="CE52" i="14"/>
  <c r="CD52" i="14"/>
  <c r="CC52" i="14"/>
  <c r="CB52" i="14"/>
  <c r="CA52" i="14"/>
  <c r="BZ52" i="14"/>
  <c r="BY52" i="14"/>
  <c r="BW52" i="14"/>
  <c r="BV52" i="14"/>
  <c r="BU52" i="14"/>
  <c r="BT52" i="14"/>
  <c r="BS52" i="14"/>
  <c r="BR52" i="14"/>
  <c r="BQ52" i="14"/>
  <c r="BP52" i="14"/>
  <c r="BO52" i="14"/>
  <c r="BN52" i="14"/>
  <c r="BM52" i="14"/>
  <c r="BL52" i="14"/>
  <c r="BK52" i="14"/>
  <c r="BJ52" i="14"/>
  <c r="BH52" i="14"/>
  <c r="BG52" i="14"/>
  <c r="BF52" i="14"/>
  <c r="BE52" i="14"/>
  <c r="BD52" i="14"/>
  <c r="BC52" i="14"/>
  <c r="BB52" i="14"/>
  <c r="BA52" i="14"/>
  <c r="AZ52" i="14"/>
  <c r="AY52" i="14"/>
  <c r="AX52" i="14"/>
  <c r="AW52" i="14"/>
  <c r="AV52" i="14"/>
  <c r="AU52" i="14"/>
  <c r="AS52" i="14"/>
  <c r="AR52" i="14"/>
  <c r="AQ52" i="14"/>
  <c r="AP52" i="14"/>
  <c r="AO52" i="14"/>
  <c r="AN52" i="14"/>
  <c r="AM52" i="14"/>
  <c r="AL52" i="14"/>
  <c r="AK52" i="14"/>
  <c r="AJ52" i="14"/>
  <c r="AI52" i="14"/>
  <c r="AH52" i="14"/>
  <c r="AG52" i="14"/>
  <c r="AE52" i="14"/>
  <c r="AD52" i="14"/>
  <c r="AC52" i="14"/>
  <c r="AB52" i="14"/>
  <c r="AA52" i="14"/>
  <c r="Z52" i="14"/>
  <c r="Y52" i="14"/>
  <c r="X52" i="14"/>
  <c r="W52" i="14"/>
  <c r="V52" i="14"/>
  <c r="U52" i="14"/>
  <c r="T52" i="14"/>
  <c r="S52" i="14"/>
  <c r="R52" i="14"/>
  <c r="N52" i="14"/>
  <c r="M52" i="14"/>
  <c r="L52" i="14"/>
  <c r="K52" i="14"/>
  <c r="J52" i="14"/>
  <c r="I52" i="14"/>
  <c r="H52" i="14"/>
  <c r="G52" i="14"/>
  <c r="F52" i="14"/>
  <c r="E52" i="14"/>
  <c r="D52" i="14"/>
  <c r="CL51" i="14"/>
  <c r="CK51" i="14"/>
  <c r="CJ51" i="14"/>
  <c r="CI51" i="14"/>
  <c r="CH51" i="14"/>
  <c r="CG51" i="14"/>
  <c r="CF51" i="14"/>
  <c r="CE51" i="14"/>
  <c r="CD51" i="14"/>
  <c r="CC51" i="14"/>
  <c r="CB51" i="14"/>
  <c r="CA51" i="14"/>
  <c r="BZ51" i="14"/>
  <c r="BY51" i="14"/>
  <c r="BW51" i="14"/>
  <c r="BV51" i="14"/>
  <c r="BU51" i="14"/>
  <c r="BT51" i="14"/>
  <c r="BS51" i="14"/>
  <c r="BR51" i="14"/>
  <c r="BQ51" i="14"/>
  <c r="BP51" i="14"/>
  <c r="BO51" i="14"/>
  <c r="BN51" i="14"/>
  <c r="BM51" i="14"/>
  <c r="BL51" i="14"/>
  <c r="BK51" i="14"/>
  <c r="BJ51" i="14"/>
  <c r="BH51" i="14"/>
  <c r="BG51" i="14"/>
  <c r="BF51" i="14"/>
  <c r="BE51" i="14"/>
  <c r="BD51" i="14"/>
  <c r="BC51" i="14"/>
  <c r="BB51" i="14"/>
  <c r="BA51" i="14"/>
  <c r="AZ51" i="14"/>
  <c r="AY51" i="14"/>
  <c r="AX51" i="14"/>
  <c r="AW51" i="14"/>
  <c r="AV51" i="14"/>
  <c r="AU51" i="14"/>
  <c r="AS51" i="14"/>
  <c r="AR51" i="14"/>
  <c r="AQ51" i="14"/>
  <c r="AP51" i="14"/>
  <c r="AO51" i="14"/>
  <c r="AN51" i="14"/>
  <c r="AM51" i="14"/>
  <c r="AL51" i="14"/>
  <c r="AK51" i="14"/>
  <c r="AJ51" i="14"/>
  <c r="AI51" i="14"/>
  <c r="AH51" i="14"/>
  <c r="AG51" i="14"/>
  <c r="AE51" i="14"/>
  <c r="AD51" i="14"/>
  <c r="AC51" i="14"/>
  <c r="AB51" i="14"/>
  <c r="AA51" i="14"/>
  <c r="Z51" i="14"/>
  <c r="Y51" i="14"/>
  <c r="X51" i="14"/>
  <c r="W51" i="14"/>
  <c r="V51" i="14"/>
  <c r="U51" i="14"/>
  <c r="T51" i="14"/>
  <c r="S51" i="14"/>
  <c r="R51" i="14"/>
  <c r="M51" i="14"/>
  <c r="L51" i="14"/>
  <c r="K51" i="14"/>
  <c r="J51" i="14"/>
  <c r="I51" i="14"/>
  <c r="H51" i="14"/>
  <c r="G51" i="14"/>
  <c r="F51" i="14"/>
  <c r="E51" i="14"/>
  <c r="D51" i="14"/>
  <c r="C51" i="14"/>
  <c r="CL50" i="14"/>
  <c r="CK50" i="14"/>
  <c r="CJ50" i="14"/>
  <c r="CI50" i="14"/>
  <c r="CH50" i="14"/>
  <c r="CG50" i="14"/>
  <c r="CF50" i="14"/>
  <c r="CE50" i="14"/>
  <c r="CD50" i="14"/>
  <c r="CC50" i="14"/>
  <c r="CB50" i="14"/>
  <c r="CA50" i="14"/>
  <c r="BZ50" i="14"/>
  <c r="BY50" i="14"/>
  <c r="BW50" i="14"/>
  <c r="BV50" i="14"/>
  <c r="BU50" i="14"/>
  <c r="BT50" i="14"/>
  <c r="BS50" i="14"/>
  <c r="BR50" i="14"/>
  <c r="BQ50" i="14"/>
  <c r="BP50" i="14"/>
  <c r="BO50" i="14"/>
  <c r="BN50" i="14"/>
  <c r="BM50" i="14"/>
  <c r="BL50" i="14"/>
  <c r="BK50" i="14"/>
  <c r="BJ50" i="14"/>
  <c r="BH50" i="14"/>
  <c r="BG50" i="14"/>
  <c r="BF50" i="14"/>
  <c r="BE50" i="14"/>
  <c r="BD50" i="14"/>
  <c r="BC50" i="14"/>
  <c r="BB50" i="14"/>
  <c r="BA50" i="14"/>
  <c r="AZ50" i="14"/>
  <c r="AY50" i="14"/>
  <c r="AX50" i="14"/>
  <c r="AW50" i="14"/>
  <c r="AV50" i="14"/>
  <c r="AU50" i="14"/>
  <c r="AS50" i="14"/>
  <c r="AR50" i="14"/>
  <c r="AQ50" i="14"/>
  <c r="AP50" i="14"/>
  <c r="AO50" i="14"/>
  <c r="AN50" i="14"/>
  <c r="AM50" i="14"/>
  <c r="AL50" i="14"/>
  <c r="AK50" i="14"/>
  <c r="AJ50" i="14"/>
  <c r="AI50" i="14"/>
  <c r="AH50" i="14"/>
  <c r="AG50" i="14"/>
  <c r="AE50" i="14"/>
  <c r="AD50" i="14"/>
  <c r="AC50" i="14"/>
  <c r="AB50" i="14"/>
  <c r="AA50" i="14"/>
  <c r="Z50" i="14"/>
  <c r="Y50" i="14"/>
  <c r="X50" i="14"/>
  <c r="W50" i="14"/>
  <c r="V50" i="14"/>
  <c r="U50" i="14"/>
  <c r="T50" i="14"/>
  <c r="S50" i="14"/>
  <c r="R50" i="14"/>
  <c r="M50" i="14"/>
  <c r="L50" i="14"/>
  <c r="K50" i="14"/>
  <c r="J50" i="14"/>
  <c r="I50" i="14"/>
  <c r="H50" i="14"/>
  <c r="G50" i="14"/>
  <c r="F50" i="14"/>
  <c r="E50" i="14"/>
  <c r="D50" i="14"/>
  <c r="C50" i="14"/>
  <c r="CL49" i="14"/>
  <c r="CK49" i="14"/>
  <c r="CJ49" i="14"/>
  <c r="CI49" i="14"/>
  <c r="CH49" i="14"/>
  <c r="CG49" i="14"/>
  <c r="CF49" i="14"/>
  <c r="CE49" i="14"/>
  <c r="CD49" i="14"/>
  <c r="CC49" i="14"/>
  <c r="CB49" i="14"/>
  <c r="CA49" i="14"/>
  <c r="BZ49" i="14"/>
  <c r="BY49" i="14"/>
  <c r="BW49" i="14"/>
  <c r="BV49" i="14"/>
  <c r="BU49" i="14"/>
  <c r="BT49" i="14"/>
  <c r="BS49" i="14"/>
  <c r="BR49" i="14"/>
  <c r="BQ49" i="14"/>
  <c r="BP49" i="14"/>
  <c r="BO49" i="14"/>
  <c r="BN49" i="14"/>
  <c r="BM49" i="14"/>
  <c r="BL49" i="14"/>
  <c r="BK49" i="14"/>
  <c r="BJ49" i="14"/>
  <c r="BH49" i="14"/>
  <c r="BG49" i="14"/>
  <c r="BF49" i="14"/>
  <c r="BE49" i="14"/>
  <c r="BD49" i="14"/>
  <c r="BC49" i="14"/>
  <c r="BB49" i="14"/>
  <c r="BA49" i="14"/>
  <c r="AZ49" i="14"/>
  <c r="AY49" i="14"/>
  <c r="AX49" i="14"/>
  <c r="AW49" i="14"/>
  <c r="AV49" i="14"/>
  <c r="AU49" i="14"/>
  <c r="AS49" i="14"/>
  <c r="AR49" i="14"/>
  <c r="AQ49" i="14"/>
  <c r="AP49" i="14"/>
  <c r="AO49" i="14"/>
  <c r="AN49" i="14"/>
  <c r="AM49" i="14"/>
  <c r="AL49" i="14"/>
  <c r="AK49" i="14"/>
  <c r="AJ49" i="14"/>
  <c r="AI49" i="14"/>
  <c r="AH49" i="14"/>
  <c r="AG49" i="14"/>
  <c r="AE49" i="14"/>
  <c r="AD49" i="14"/>
  <c r="AC49" i="14"/>
  <c r="AB49" i="14"/>
  <c r="AA49" i="14"/>
  <c r="Z49" i="14"/>
  <c r="Y49" i="14"/>
  <c r="X49" i="14"/>
  <c r="W49" i="14"/>
  <c r="V49" i="14"/>
  <c r="U49" i="14"/>
  <c r="T49" i="14"/>
  <c r="S49" i="14"/>
  <c r="R49" i="14"/>
  <c r="M49" i="14"/>
  <c r="L49" i="14"/>
  <c r="K49" i="14"/>
  <c r="J49" i="14"/>
  <c r="I49" i="14"/>
  <c r="H49" i="14"/>
  <c r="G49" i="14"/>
  <c r="F49" i="14"/>
  <c r="E49" i="14"/>
  <c r="D49" i="14"/>
  <c r="C49" i="14"/>
  <c r="CL48" i="14"/>
  <c r="CK48" i="14"/>
  <c r="CJ48" i="14"/>
  <c r="CI48" i="14"/>
  <c r="CH48" i="14"/>
  <c r="CG48" i="14"/>
  <c r="CF48" i="14"/>
  <c r="CE48" i="14"/>
  <c r="CD48" i="14"/>
  <c r="CC48" i="14"/>
  <c r="CB48" i="14"/>
  <c r="CA48" i="14"/>
  <c r="BZ48" i="14"/>
  <c r="BY48" i="14"/>
  <c r="BW48" i="14"/>
  <c r="BV48" i="14"/>
  <c r="BU48" i="14"/>
  <c r="BT48" i="14"/>
  <c r="BS48" i="14"/>
  <c r="BR48" i="14"/>
  <c r="BQ48" i="14"/>
  <c r="BP48" i="14"/>
  <c r="BO48" i="14"/>
  <c r="BN48" i="14"/>
  <c r="BM48" i="14"/>
  <c r="BL48" i="14"/>
  <c r="BK48" i="14"/>
  <c r="BJ48" i="14"/>
  <c r="BH48" i="14"/>
  <c r="BG48" i="14"/>
  <c r="BF48" i="14"/>
  <c r="BE48" i="14"/>
  <c r="BD48" i="14"/>
  <c r="BC48" i="14"/>
  <c r="BB48" i="14"/>
  <c r="BA48" i="14"/>
  <c r="AZ48" i="14"/>
  <c r="AY48" i="14"/>
  <c r="AX48" i="14"/>
  <c r="AW48" i="14"/>
  <c r="AV48" i="14"/>
  <c r="AU48" i="14"/>
  <c r="AS48" i="14"/>
  <c r="AR48" i="14"/>
  <c r="AQ48" i="14"/>
  <c r="AP48" i="14"/>
  <c r="AO48" i="14"/>
  <c r="AN48" i="14"/>
  <c r="AM48" i="14"/>
  <c r="AL48" i="14"/>
  <c r="AK48" i="14"/>
  <c r="AJ48" i="14"/>
  <c r="AI48" i="14"/>
  <c r="AH48" i="14"/>
  <c r="AG48" i="14"/>
  <c r="AE48" i="14"/>
  <c r="AD48" i="14"/>
  <c r="AC48" i="14"/>
  <c r="AB48" i="14"/>
  <c r="AA48" i="14"/>
  <c r="Z48" i="14"/>
  <c r="Y48" i="14"/>
  <c r="X48" i="14"/>
  <c r="W48" i="14"/>
  <c r="V48" i="14"/>
  <c r="U48" i="14"/>
  <c r="T48" i="14"/>
  <c r="S48" i="14"/>
  <c r="R48" i="14"/>
  <c r="M48" i="14"/>
  <c r="L48" i="14"/>
  <c r="K48" i="14"/>
  <c r="J48" i="14"/>
  <c r="I48" i="14"/>
  <c r="H48" i="14"/>
  <c r="G48" i="14"/>
  <c r="F48" i="14"/>
  <c r="E48" i="14"/>
  <c r="D48" i="14"/>
  <c r="C48" i="14"/>
  <c r="CL47" i="14"/>
  <c r="CK47" i="14"/>
  <c r="CJ47" i="14"/>
  <c r="CI47" i="14"/>
  <c r="CH47" i="14"/>
  <c r="CG47" i="14"/>
  <c r="CF47" i="14"/>
  <c r="CE47" i="14"/>
  <c r="CD47" i="14"/>
  <c r="CC47" i="14"/>
  <c r="CB47" i="14"/>
  <c r="CA47" i="14"/>
  <c r="BZ47" i="14"/>
  <c r="BY47" i="14"/>
  <c r="BT47" i="14"/>
  <c r="BS47" i="14"/>
  <c r="BR47" i="14"/>
  <c r="BQ47" i="14"/>
  <c r="BP47" i="14"/>
  <c r="BO47" i="14"/>
  <c r="BN47" i="14"/>
  <c r="BM47" i="14"/>
  <c r="BL47" i="14"/>
  <c r="BK47" i="14"/>
  <c r="BJ47" i="14"/>
  <c r="BG47" i="14"/>
  <c r="BF47" i="14"/>
  <c r="BE47" i="14"/>
  <c r="BD47" i="14"/>
  <c r="BC47" i="14"/>
  <c r="BB47" i="14"/>
  <c r="BA47" i="14"/>
  <c r="AZ47" i="14"/>
  <c r="AY47" i="14"/>
  <c r="AX47" i="14"/>
  <c r="AW47" i="14"/>
  <c r="AV47" i="14"/>
  <c r="AU47" i="14"/>
  <c r="AS47" i="14"/>
  <c r="AR47" i="14"/>
  <c r="AQ47" i="14"/>
  <c r="AP47" i="14"/>
  <c r="AO47" i="14"/>
  <c r="AN47" i="14"/>
  <c r="AM47" i="14"/>
  <c r="AL47" i="14"/>
  <c r="AK47" i="14"/>
  <c r="AJ47" i="14"/>
  <c r="AI47" i="14"/>
  <c r="AH47" i="14"/>
  <c r="AG47" i="14"/>
  <c r="AE47" i="14"/>
  <c r="AD47" i="14"/>
  <c r="AC47" i="14"/>
  <c r="AB47" i="14"/>
  <c r="AA47" i="14"/>
  <c r="Z47" i="14"/>
  <c r="Y47" i="14"/>
  <c r="X47" i="14"/>
  <c r="W47" i="14"/>
  <c r="V47" i="14"/>
  <c r="U47" i="14"/>
  <c r="T47" i="14"/>
  <c r="S47" i="14"/>
  <c r="R47" i="14"/>
  <c r="M47" i="14"/>
  <c r="L47" i="14"/>
  <c r="K47" i="14"/>
  <c r="J47" i="14"/>
  <c r="I47" i="14"/>
  <c r="H47" i="14"/>
  <c r="G47" i="14"/>
  <c r="F47" i="14"/>
  <c r="E47" i="14"/>
  <c r="D47" i="14"/>
  <c r="C47" i="14"/>
  <c r="N46" i="14"/>
  <c r="M46" i="14"/>
  <c r="L46" i="14"/>
  <c r="K46" i="14"/>
  <c r="J46" i="14"/>
  <c r="I46" i="14"/>
  <c r="H46" i="14"/>
  <c r="G46" i="14"/>
  <c r="F46" i="14"/>
  <c r="E46" i="14"/>
  <c r="D46" i="14"/>
  <c r="N45" i="14"/>
  <c r="M45" i="14"/>
  <c r="L45" i="14"/>
  <c r="K45" i="14"/>
  <c r="J45" i="14"/>
  <c r="I45" i="14"/>
  <c r="H45" i="14"/>
  <c r="G45" i="14"/>
  <c r="F45" i="14"/>
  <c r="E45" i="14"/>
  <c r="D45" i="14"/>
  <c r="N44" i="14"/>
  <c r="M44" i="14"/>
  <c r="L44" i="14"/>
  <c r="K44" i="14"/>
  <c r="J44" i="14"/>
  <c r="I44" i="14"/>
  <c r="H44" i="14"/>
  <c r="G44" i="14"/>
  <c r="F44" i="14"/>
  <c r="E44" i="14"/>
  <c r="D44" i="14"/>
  <c r="N43" i="14"/>
  <c r="M43" i="14"/>
  <c r="L43" i="14"/>
  <c r="K43" i="14"/>
  <c r="J43" i="14"/>
  <c r="I43" i="14"/>
  <c r="H43" i="14"/>
  <c r="G43" i="14"/>
  <c r="F43" i="14"/>
  <c r="E43" i="14"/>
  <c r="D43" i="14"/>
  <c r="N42" i="14"/>
  <c r="M42" i="14"/>
  <c r="L42" i="14"/>
  <c r="K42" i="14"/>
  <c r="J42" i="14"/>
  <c r="I42" i="14"/>
  <c r="H42" i="14"/>
  <c r="G42" i="14"/>
  <c r="F42" i="14"/>
  <c r="E42" i="14"/>
  <c r="D42" i="14"/>
  <c r="Q41" i="14"/>
  <c r="P41" i="14"/>
  <c r="N41" i="14"/>
  <c r="M41" i="14"/>
  <c r="L41" i="14"/>
  <c r="K41" i="14"/>
  <c r="J41" i="14"/>
  <c r="I41" i="14"/>
  <c r="H41" i="14"/>
  <c r="G41" i="14"/>
  <c r="F41" i="14"/>
  <c r="E41" i="14"/>
  <c r="D41" i="14"/>
  <c r="Q37" i="14"/>
  <c r="P37" i="14"/>
  <c r="O37" i="14"/>
  <c r="L37" i="14"/>
  <c r="K37" i="14"/>
  <c r="J37" i="14"/>
  <c r="I37" i="14"/>
  <c r="H37" i="14"/>
  <c r="G37" i="14"/>
  <c r="F37" i="14"/>
  <c r="E37" i="14"/>
  <c r="D37" i="14"/>
  <c r="C37" i="14"/>
  <c r="Q31" i="14"/>
  <c r="P31" i="14"/>
  <c r="O31" i="14"/>
  <c r="N31" i="14"/>
  <c r="L31" i="14"/>
  <c r="K31" i="14"/>
  <c r="J31" i="14"/>
  <c r="I31" i="14"/>
  <c r="H31" i="14"/>
  <c r="G31" i="14"/>
  <c r="F31" i="14"/>
  <c r="E31" i="14"/>
  <c r="D31" i="14"/>
  <c r="C31" i="14"/>
  <c r="Q25" i="14"/>
  <c r="P25" i="14"/>
  <c r="O25" i="14"/>
  <c r="N25" i="14"/>
  <c r="L25" i="14"/>
  <c r="K25" i="14"/>
  <c r="J25" i="14"/>
  <c r="I25" i="14"/>
  <c r="H25" i="14"/>
  <c r="G25" i="14"/>
  <c r="F25" i="14"/>
  <c r="E25" i="14"/>
  <c r="D25" i="14"/>
  <c r="C25" i="14"/>
  <c r="P19" i="14"/>
  <c r="O19" i="14"/>
  <c r="N19" i="14"/>
  <c r="L19" i="14"/>
  <c r="K19" i="14"/>
  <c r="J19" i="14"/>
  <c r="I19" i="14"/>
  <c r="H19" i="14"/>
  <c r="G19" i="14"/>
  <c r="F19" i="14"/>
  <c r="E19" i="14"/>
  <c r="D19" i="14"/>
  <c r="C19" i="14"/>
  <c r="Q13" i="14"/>
  <c r="P13" i="14"/>
  <c r="O13" i="14"/>
  <c r="L13" i="14"/>
  <c r="K13" i="14"/>
  <c r="J13" i="14"/>
  <c r="I13" i="14"/>
  <c r="H13" i="14"/>
  <c r="G13" i="14"/>
  <c r="F13" i="14"/>
  <c r="E13" i="14"/>
  <c r="D13" i="14"/>
  <c r="C13" i="14"/>
  <c r="Q7" i="14"/>
  <c r="P7" i="14"/>
  <c r="N7" i="14"/>
  <c r="M7" i="14"/>
  <c r="L7" i="14"/>
  <c r="K7" i="14"/>
  <c r="J7" i="14"/>
  <c r="I7" i="14"/>
  <c r="H7" i="14"/>
  <c r="G7" i="14"/>
  <c r="F7" i="14"/>
  <c r="E7" i="14"/>
  <c r="D7" i="14"/>
  <c r="DF115" i="13"/>
  <c r="DE115" i="13"/>
  <c r="DD115" i="13"/>
  <c r="DC115" i="13"/>
  <c r="DB115" i="13"/>
  <c r="DA115" i="13"/>
  <c r="CZ115" i="13"/>
  <c r="CY115" i="13"/>
  <c r="CX115" i="13"/>
  <c r="CW115" i="13"/>
  <c r="CV115" i="13"/>
  <c r="CU115" i="13"/>
  <c r="CT115" i="13"/>
  <c r="CS115" i="13"/>
  <c r="CR115" i="13"/>
  <c r="CP115" i="13"/>
  <c r="CO115" i="13"/>
  <c r="CN115" i="13"/>
  <c r="CM115" i="13"/>
  <c r="CL115" i="13"/>
  <c r="CK115" i="13"/>
  <c r="CJ115" i="13"/>
  <c r="CI115" i="13"/>
  <c r="CH115" i="13"/>
  <c r="CG115" i="13"/>
  <c r="CF115" i="13"/>
  <c r="CE115" i="13"/>
  <c r="CD115" i="13"/>
  <c r="CC115" i="13"/>
  <c r="CB115" i="13"/>
  <c r="BZ115" i="13"/>
  <c r="BY115" i="13"/>
  <c r="BX115" i="13"/>
  <c r="BW115" i="13"/>
  <c r="BV115" i="13"/>
  <c r="BU115" i="13"/>
  <c r="BT115" i="13"/>
  <c r="BS115" i="13"/>
  <c r="BR115" i="13"/>
  <c r="BQ115" i="13"/>
  <c r="BP115" i="13"/>
  <c r="BO115" i="13"/>
  <c r="BN115" i="13"/>
  <c r="BM115" i="13"/>
  <c r="BL115" i="13"/>
  <c r="BJ115" i="13"/>
  <c r="BI115" i="13"/>
  <c r="BH115" i="13"/>
  <c r="BG115" i="13"/>
  <c r="BF115" i="13"/>
  <c r="BE115" i="13"/>
  <c r="BD115" i="13"/>
  <c r="BC115" i="13"/>
  <c r="BB115" i="13"/>
  <c r="BA115" i="13"/>
  <c r="AZ115" i="13"/>
  <c r="AY115" i="13"/>
  <c r="AX115" i="13"/>
  <c r="AW115" i="13"/>
  <c r="AV115" i="13"/>
  <c r="AT115" i="13"/>
  <c r="AS115" i="13"/>
  <c r="AR115" i="13"/>
  <c r="AQ115" i="13"/>
  <c r="AP115" i="13"/>
  <c r="AO115" i="13"/>
  <c r="AN115" i="13"/>
  <c r="AM115" i="13"/>
  <c r="AL115" i="13"/>
  <c r="AK115" i="13"/>
  <c r="AJ115" i="13"/>
  <c r="AI115" i="13"/>
  <c r="AH115" i="13"/>
  <c r="AG115" i="13"/>
  <c r="AF115" i="13"/>
  <c r="DF114" i="13"/>
  <c r="DE114" i="13"/>
  <c r="DD114" i="13"/>
  <c r="DC114" i="13"/>
  <c r="DB114" i="13"/>
  <c r="DA114" i="13"/>
  <c r="CZ114" i="13"/>
  <c r="CY114" i="13"/>
  <c r="CX114" i="13"/>
  <c r="CW114" i="13"/>
  <c r="CV114" i="13"/>
  <c r="CU114" i="13"/>
  <c r="CT114" i="13"/>
  <c r="CS114" i="13"/>
  <c r="CR114" i="13"/>
  <c r="CP114" i="13"/>
  <c r="CO114" i="13"/>
  <c r="CN114" i="13"/>
  <c r="CM114" i="13"/>
  <c r="CL114" i="13"/>
  <c r="CK114" i="13"/>
  <c r="CJ114" i="13"/>
  <c r="CI114" i="13"/>
  <c r="CH114" i="13"/>
  <c r="CG114" i="13"/>
  <c r="CF114" i="13"/>
  <c r="CE114" i="13"/>
  <c r="CD114" i="13"/>
  <c r="CC114" i="13"/>
  <c r="CB114" i="13"/>
  <c r="BZ114" i="13"/>
  <c r="BY114" i="13"/>
  <c r="BX114" i="13"/>
  <c r="BW114" i="13"/>
  <c r="BV114" i="13"/>
  <c r="BU114" i="13"/>
  <c r="BT114" i="13"/>
  <c r="BS114" i="13"/>
  <c r="BR114" i="13"/>
  <c r="BQ114" i="13"/>
  <c r="BP114" i="13"/>
  <c r="BO114" i="13"/>
  <c r="BN114" i="13"/>
  <c r="BM114" i="13"/>
  <c r="BL114" i="13"/>
  <c r="BJ114" i="13"/>
  <c r="BI114" i="13"/>
  <c r="BH114" i="13"/>
  <c r="BG114" i="13"/>
  <c r="BF114" i="13"/>
  <c r="BE114" i="13"/>
  <c r="BD114" i="13"/>
  <c r="BC114" i="13"/>
  <c r="BB114" i="13"/>
  <c r="BA114" i="13"/>
  <c r="AZ114" i="13"/>
  <c r="AY114" i="13"/>
  <c r="AX114" i="13"/>
  <c r="AW114" i="13"/>
  <c r="AV114" i="13"/>
  <c r="AT114" i="13"/>
  <c r="AS114" i="13"/>
  <c r="AR114" i="13"/>
  <c r="AQ114" i="13"/>
  <c r="AP114" i="13"/>
  <c r="AO114" i="13"/>
  <c r="AN114" i="13"/>
  <c r="AM114" i="13"/>
  <c r="AL114" i="13"/>
  <c r="AK114" i="13"/>
  <c r="AJ114" i="13"/>
  <c r="AI114" i="13"/>
  <c r="AH114" i="13"/>
  <c r="AG114" i="13"/>
  <c r="AF114" i="13"/>
  <c r="DF113" i="13"/>
  <c r="DE113" i="13"/>
  <c r="DD113" i="13"/>
  <c r="DC113" i="13"/>
  <c r="DB113" i="13"/>
  <c r="DA113" i="13"/>
  <c r="CZ113" i="13"/>
  <c r="CY113" i="13"/>
  <c r="CX113" i="13"/>
  <c r="CW113" i="13"/>
  <c r="CV113" i="13"/>
  <c r="CU113" i="13"/>
  <c r="CT113" i="13"/>
  <c r="CS113" i="13"/>
  <c r="CR113" i="13"/>
  <c r="CP113" i="13"/>
  <c r="CO113" i="13"/>
  <c r="CN113" i="13"/>
  <c r="CM113" i="13"/>
  <c r="CL113" i="13"/>
  <c r="CK113" i="13"/>
  <c r="CJ113" i="13"/>
  <c r="CI113" i="13"/>
  <c r="CH113" i="13"/>
  <c r="CG113" i="13"/>
  <c r="CF113" i="13"/>
  <c r="CE113" i="13"/>
  <c r="CD113" i="13"/>
  <c r="CC113" i="13"/>
  <c r="CB113" i="13"/>
  <c r="BZ113" i="13"/>
  <c r="BY113" i="13"/>
  <c r="BX113" i="13"/>
  <c r="BW113" i="13"/>
  <c r="BV113" i="13"/>
  <c r="BU113" i="13"/>
  <c r="BT113" i="13"/>
  <c r="BS113" i="13"/>
  <c r="BR113" i="13"/>
  <c r="BQ113" i="13"/>
  <c r="BP113" i="13"/>
  <c r="BO113" i="13"/>
  <c r="BN113" i="13"/>
  <c r="BM113" i="13"/>
  <c r="BL113" i="13"/>
  <c r="BJ113" i="13"/>
  <c r="BI113" i="13"/>
  <c r="BH113" i="13"/>
  <c r="BG113" i="13"/>
  <c r="BF113" i="13"/>
  <c r="BE113" i="13"/>
  <c r="BD113" i="13"/>
  <c r="BC113" i="13"/>
  <c r="BB113" i="13"/>
  <c r="BA113" i="13"/>
  <c r="AZ113" i="13"/>
  <c r="AY113" i="13"/>
  <c r="AX113" i="13"/>
  <c r="AW113" i="13"/>
  <c r="AV113" i="13"/>
  <c r="AT113" i="13"/>
  <c r="AS113" i="13"/>
  <c r="AR113" i="13"/>
  <c r="AQ113" i="13"/>
  <c r="AP113" i="13"/>
  <c r="AO113" i="13"/>
  <c r="AN113" i="13"/>
  <c r="AM113" i="13"/>
  <c r="AL113" i="13"/>
  <c r="AK113" i="13"/>
  <c r="AJ113" i="13"/>
  <c r="AI113" i="13"/>
  <c r="AH113" i="13"/>
  <c r="AG113" i="13"/>
  <c r="AF113" i="13"/>
  <c r="DF112" i="13"/>
  <c r="DE112" i="13"/>
  <c r="DD112" i="13"/>
  <c r="DC112" i="13"/>
  <c r="DB112" i="13"/>
  <c r="DA112" i="13"/>
  <c r="CZ112" i="13"/>
  <c r="CY112" i="13"/>
  <c r="CX112" i="13"/>
  <c r="CW112" i="13"/>
  <c r="CV112" i="13"/>
  <c r="CU112" i="13"/>
  <c r="CT112" i="13"/>
  <c r="CS112" i="13"/>
  <c r="CR112" i="13"/>
  <c r="CP112" i="13"/>
  <c r="CO112" i="13"/>
  <c r="CN112" i="13"/>
  <c r="CM112" i="13"/>
  <c r="CL112" i="13"/>
  <c r="CK112" i="13"/>
  <c r="CJ112" i="13"/>
  <c r="CI112" i="13"/>
  <c r="CH112" i="13"/>
  <c r="CG112" i="13"/>
  <c r="CF112" i="13"/>
  <c r="CE112" i="13"/>
  <c r="CD112" i="13"/>
  <c r="CC112" i="13"/>
  <c r="CB112" i="13"/>
  <c r="BZ112" i="13"/>
  <c r="BY112" i="13"/>
  <c r="BX112" i="13"/>
  <c r="BW112" i="13"/>
  <c r="BV112" i="13"/>
  <c r="BU112" i="13"/>
  <c r="BT112" i="13"/>
  <c r="BS112" i="13"/>
  <c r="BR112" i="13"/>
  <c r="BQ112" i="13"/>
  <c r="BP112" i="13"/>
  <c r="BO112" i="13"/>
  <c r="BN112" i="13"/>
  <c r="BM112" i="13"/>
  <c r="BL112" i="13"/>
  <c r="BJ112" i="13"/>
  <c r="BI112" i="13"/>
  <c r="BH112" i="13"/>
  <c r="BG112" i="13"/>
  <c r="BF112" i="13"/>
  <c r="BE112" i="13"/>
  <c r="BD112" i="13"/>
  <c r="BC112" i="13"/>
  <c r="BB112" i="13"/>
  <c r="BA112" i="13"/>
  <c r="AZ112" i="13"/>
  <c r="AY112" i="13"/>
  <c r="AX112" i="13"/>
  <c r="AW112" i="13"/>
  <c r="AV112" i="13"/>
  <c r="AT112" i="13"/>
  <c r="AS112" i="13"/>
  <c r="AR112" i="13"/>
  <c r="AQ112" i="13"/>
  <c r="AP112" i="13"/>
  <c r="AO112" i="13"/>
  <c r="AN112" i="13"/>
  <c r="AM112" i="13"/>
  <c r="AL112" i="13"/>
  <c r="AK112" i="13"/>
  <c r="AJ112" i="13"/>
  <c r="AI112" i="13"/>
  <c r="AH112" i="13"/>
  <c r="AG112" i="13"/>
  <c r="AF112" i="13"/>
  <c r="DF111" i="13"/>
  <c r="DE111" i="13"/>
  <c r="DD111" i="13"/>
  <c r="DC111" i="13"/>
  <c r="DB111" i="13"/>
  <c r="DA111" i="13"/>
  <c r="CZ111" i="13"/>
  <c r="CY111" i="13"/>
  <c r="CX111" i="13"/>
  <c r="CW111" i="13"/>
  <c r="CV111" i="13"/>
  <c r="CU111" i="13"/>
  <c r="CT111" i="13"/>
  <c r="CS111" i="13"/>
  <c r="CR111" i="13"/>
  <c r="CP111" i="13"/>
  <c r="CO111" i="13"/>
  <c r="CN111" i="13"/>
  <c r="CM111" i="13"/>
  <c r="CL111" i="13"/>
  <c r="CK111" i="13"/>
  <c r="CJ111" i="13"/>
  <c r="CI111" i="13"/>
  <c r="CH111" i="13"/>
  <c r="CG111" i="13"/>
  <c r="CF111" i="13"/>
  <c r="CE111" i="13"/>
  <c r="CD111" i="13"/>
  <c r="CC111" i="13"/>
  <c r="CB111" i="13"/>
  <c r="BZ111" i="13"/>
  <c r="BY111" i="13"/>
  <c r="BX111" i="13"/>
  <c r="BW111" i="13"/>
  <c r="BV111" i="13"/>
  <c r="BU111" i="13"/>
  <c r="BT111" i="13"/>
  <c r="BS111" i="13"/>
  <c r="BR111" i="13"/>
  <c r="BQ111" i="13"/>
  <c r="BP111" i="13"/>
  <c r="BO111" i="13"/>
  <c r="BN111" i="13"/>
  <c r="BM111" i="13"/>
  <c r="BL111" i="13"/>
  <c r="BJ111" i="13"/>
  <c r="BI111" i="13"/>
  <c r="BH111" i="13"/>
  <c r="BG111" i="13"/>
  <c r="BF111" i="13"/>
  <c r="BE111" i="13"/>
  <c r="BD111" i="13"/>
  <c r="BC111" i="13"/>
  <c r="BB111" i="13"/>
  <c r="BA111" i="13"/>
  <c r="AZ111" i="13"/>
  <c r="AY111" i="13"/>
  <c r="AX111" i="13"/>
  <c r="AW111" i="13"/>
  <c r="AV111" i="13"/>
  <c r="AT111" i="13"/>
  <c r="AS111" i="13"/>
  <c r="AR111" i="13"/>
  <c r="AQ111" i="13"/>
  <c r="AP111" i="13"/>
  <c r="AO111" i="13"/>
  <c r="AN111" i="13"/>
  <c r="AM111" i="13"/>
  <c r="AL111" i="13"/>
  <c r="AK111" i="13"/>
  <c r="AJ111" i="13"/>
  <c r="AI111" i="13"/>
  <c r="AH111" i="13"/>
  <c r="AG111" i="13"/>
  <c r="AF111" i="13"/>
  <c r="DF110" i="13"/>
  <c r="DE110" i="13"/>
  <c r="DD110" i="13"/>
  <c r="DC110" i="13"/>
  <c r="DB110" i="13"/>
  <c r="DA110" i="13"/>
  <c r="CZ110" i="13"/>
  <c r="CY110" i="13"/>
  <c r="CX110" i="13"/>
  <c r="CW110" i="13"/>
  <c r="CV110" i="13"/>
  <c r="CU110" i="13"/>
  <c r="CT110" i="13"/>
  <c r="CS110" i="13"/>
  <c r="CR110" i="13"/>
  <c r="CP110" i="13"/>
  <c r="CO110" i="13"/>
  <c r="CN110" i="13"/>
  <c r="CM110" i="13"/>
  <c r="CL110" i="13"/>
  <c r="CK110" i="13"/>
  <c r="CJ110" i="13"/>
  <c r="CI110" i="13"/>
  <c r="CH110" i="13"/>
  <c r="CG110" i="13"/>
  <c r="CF110" i="13"/>
  <c r="CE110" i="13"/>
  <c r="CD110" i="13"/>
  <c r="CC110" i="13"/>
  <c r="CB110" i="13"/>
  <c r="BZ110" i="13"/>
  <c r="BY110" i="13"/>
  <c r="BX110" i="13"/>
  <c r="BW110" i="13"/>
  <c r="BV110" i="13"/>
  <c r="BU110" i="13"/>
  <c r="BT110" i="13"/>
  <c r="BS110" i="13"/>
  <c r="BR110" i="13"/>
  <c r="BQ110" i="13"/>
  <c r="BP110" i="13"/>
  <c r="BO110" i="13"/>
  <c r="BN110" i="13"/>
  <c r="BM110" i="13"/>
  <c r="BL110" i="13"/>
  <c r="BJ110" i="13"/>
  <c r="BI110" i="13"/>
  <c r="BH110" i="13"/>
  <c r="BG110" i="13"/>
  <c r="BF110" i="13"/>
  <c r="BE110" i="13"/>
  <c r="BD110" i="13"/>
  <c r="BC110" i="13"/>
  <c r="BB110" i="13"/>
  <c r="BA110" i="13"/>
  <c r="AZ110" i="13"/>
  <c r="AY110" i="13"/>
  <c r="AX110" i="13"/>
  <c r="AW110" i="13"/>
  <c r="AV110" i="13"/>
  <c r="AT110" i="13"/>
  <c r="AS110" i="13"/>
  <c r="AR110" i="13"/>
  <c r="AQ110" i="13"/>
  <c r="AP110" i="13"/>
  <c r="AO110" i="13"/>
  <c r="AN110" i="13"/>
  <c r="AM110" i="13"/>
  <c r="AL110" i="13"/>
  <c r="AK110" i="13"/>
  <c r="AJ110" i="13"/>
  <c r="AI110" i="13"/>
  <c r="AH110" i="13"/>
  <c r="AG110" i="13"/>
  <c r="AF110" i="13"/>
  <c r="DF109" i="13"/>
  <c r="DE109" i="13"/>
  <c r="DD109" i="13"/>
  <c r="DC109" i="13"/>
  <c r="DB109" i="13"/>
  <c r="DA109" i="13"/>
  <c r="CZ109" i="13"/>
  <c r="CY109" i="13"/>
  <c r="CX109" i="13"/>
  <c r="CW109" i="13"/>
  <c r="CV109" i="13"/>
  <c r="CU109" i="13"/>
  <c r="CT109" i="13"/>
  <c r="CS109" i="13"/>
  <c r="CR109" i="13"/>
  <c r="CP109" i="13"/>
  <c r="CO109" i="13"/>
  <c r="CN109" i="13"/>
  <c r="CM109" i="13"/>
  <c r="CL109" i="13"/>
  <c r="CK109" i="13"/>
  <c r="CJ109" i="13"/>
  <c r="CI109" i="13"/>
  <c r="CH109" i="13"/>
  <c r="CG109" i="13"/>
  <c r="CF109" i="13"/>
  <c r="CE109" i="13"/>
  <c r="CD109" i="13"/>
  <c r="CC109" i="13"/>
  <c r="CB109" i="13"/>
  <c r="BZ109" i="13"/>
  <c r="BY109" i="13"/>
  <c r="BX109" i="13"/>
  <c r="BW109" i="13"/>
  <c r="BV109" i="13"/>
  <c r="BU109" i="13"/>
  <c r="BT109" i="13"/>
  <c r="BS109" i="13"/>
  <c r="BR109" i="13"/>
  <c r="BQ109" i="13"/>
  <c r="BP109" i="13"/>
  <c r="BO109" i="13"/>
  <c r="BN109" i="13"/>
  <c r="BM109" i="13"/>
  <c r="BL109" i="13"/>
  <c r="BJ109" i="13"/>
  <c r="BI109" i="13"/>
  <c r="BH109" i="13"/>
  <c r="BG109" i="13"/>
  <c r="BF109" i="13"/>
  <c r="BE109" i="13"/>
  <c r="BD109" i="13"/>
  <c r="BC109" i="13"/>
  <c r="BB109" i="13"/>
  <c r="BA109" i="13"/>
  <c r="AZ109" i="13"/>
  <c r="AY109" i="13"/>
  <c r="AX109" i="13"/>
  <c r="AW109" i="13"/>
  <c r="AV109" i="13"/>
  <c r="AT109" i="13"/>
  <c r="AS109" i="13"/>
  <c r="AR109" i="13"/>
  <c r="AQ109" i="13"/>
  <c r="AP109" i="13"/>
  <c r="AO109" i="13"/>
  <c r="AN109" i="13"/>
  <c r="AM109" i="13"/>
  <c r="AL109" i="13"/>
  <c r="AK109" i="13"/>
  <c r="AJ109" i="13"/>
  <c r="AI109" i="13"/>
  <c r="AH109" i="13"/>
  <c r="AG109" i="13"/>
  <c r="AF109" i="13"/>
  <c r="DF106" i="13"/>
  <c r="DE106" i="13"/>
  <c r="DD106" i="13"/>
  <c r="DC106" i="13"/>
  <c r="DB106" i="13"/>
  <c r="DA106" i="13"/>
  <c r="CZ106" i="13"/>
  <c r="CY106" i="13"/>
  <c r="CX106" i="13"/>
  <c r="CW106" i="13"/>
  <c r="CV106" i="13"/>
  <c r="CU106" i="13"/>
  <c r="CT106" i="13"/>
  <c r="CS106" i="13"/>
  <c r="CR106" i="13"/>
  <c r="CP106" i="13"/>
  <c r="CO106" i="13"/>
  <c r="CN106" i="13"/>
  <c r="CM106" i="13"/>
  <c r="CL106" i="13"/>
  <c r="CK106" i="13"/>
  <c r="CJ106" i="13"/>
  <c r="CI106" i="13"/>
  <c r="CH106" i="13"/>
  <c r="CG106" i="13"/>
  <c r="CF106" i="13"/>
  <c r="CE106" i="13"/>
  <c r="CD106" i="13"/>
  <c r="CC106" i="13"/>
  <c r="CB106" i="13"/>
  <c r="BZ106" i="13"/>
  <c r="BY106" i="13"/>
  <c r="BX106" i="13"/>
  <c r="BW106" i="13"/>
  <c r="BV106" i="13"/>
  <c r="BU106" i="13"/>
  <c r="BT106" i="13"/>
  <c r="BS106" i="13"/>
  <c r="BR106" i="13"/>
  <c r="BQ106" i="13"/>
  <c r="BP106" i="13"/>
  <c r="BO106" i="13"/>
  <c r="BN106" i="13"/>
  <c r="BM106" i="13"/>
  <c r="BL106" i="13"/>
  <c r="BJ106" i="13"/>
  <c r="BI106" i="13"/>
  <c r="BH106" i="13"/>
  <c r="BG106" i="13"/>
  <c r="BF106" i="13"/>
  <c r="BE106" i="13"/>
  <c r="BD106" i="13"/>
  <c r="BC106" i="13"/>
  <c r="BB106" i="13"/>
  <c r="BA106" i="13"/>
  <c r="AZ106" i="13"/>
  <c r="AY106" i="13"/>
  <c r="AX106" i="13"/>
  <c r="AW106" i="13"/>
  <c r="AV106" i="13"/>
  <c r="AT106" i="13"/>
  <c r="AS106" i="13"/>
  <c r="AR106" i="13"/>
  <c r="AQ106" i="13"/>
  <c r="AP106" i="13"/>
  <c r="AO106" i="13"/>
  <c r="AN106" i="13"/>
  <c r="AM106" i="13"/>
  <c r="AL106" i="13"/>
  <c r="AK106" i="13"/>
  <c r="AJ106" i="13"/>
  <c r="AI106" i="13"/>
  <c r="AH106" i="13"/>
  <c r="AG106" i="13"/>
  <c r="AF106" i="13"/>
  <c r="DF105" i="13"/>
  <c r="DE105" i="13"/>
  <c r="DD105" i="13"/>
  <c r="DC105" i="13"/>
  <c r="DB105" i="13"/>
  <c r="DA105" i="13"/>
  <c r="CZ105" i="13"/>
  <c r="CY105" i="13"/>
  <c r="CX105" i="13"/>
  <c r="CW105" i="13"/>
  <c r="CV105" i="13"/>
  <c r="CU105" i="13"/>
  <c r="CT105" i="13"/>
  <c r="CS105" i="13"/>
  <c r="CR105" i="13"/>
  <c r="CP105" i="13"/>
  <c r="CO105" i="13"/>
  <c r="CN105" i="13"/>
  <c r="CM105" i="13"/>
  <c r="CL105" i="13"/>
  <c r="CK105" i="13"/>
  <c r="CJ105" i="13"/>
  <c r="CI105" i="13"/>
  <c r="CH105" i="13"/>
  <c r="CG105" i="13"/>
  <c r="CF105" i="13"/>
  <c r="CE105" i="13"/>
  <c r="CD105" i="13"/>
  <c r="CC105" i="13"/>
  <c r="CB105" i="13"/>
  <c r="BZ105" i="13"/>
  <c r="BY105" i="13"/>
  <c r="BX105" i="13"/>
  <c r="BW105" i="13"/>
  <c r="BV105" i="13"/>
  <c r="BU105" i="13"/>
  <c r="BT105" i="13"/>
  <c r="BS105" i="13"/>
  <c r="BR105" i="13"/>
  <c r="BQ105" i="13"/>
  <c r="BP105" i="13"/>
  <c r="BO105" i="13"/>
  <c r="BN105" i="13"/>
  <c r="BM105" i="13"/>
  <c r="BL105" i="13"/>
  <c r="BJ105" i="13"/>
  <c r="BI105" i="13"/>
  <c r="BH105" i="13"/>
  <c r="BG105" i="13"/>
  <c r="BF105" i="13"/>
  <c r="BE105" i="13"/>
  <c r="BD105" i="13"/>
  <c r="BC105" i="13"/>
  <c r="BB105" i="13"/>
  <c r="BA105" i="13"/>
  <c r="AZ105" i="13"/>
  <c r="AY105" i="13"/>
  <c r="AX105" i="13"/>
  <c r="AW105" i="13"/>
  <c r="AV105" i="13"/>
  <c r="AT105" i="13"/>
  <c r="AS105" i="13"/>
  <c r="AR105" i="13"/>
  <c r="AQ105" i="13"/>
  <c r="AP105" i="13"/>
  <c r="AO105" i="13"/>
  <c r="AN105" i="13"/>
  <c r="AM105" i="13"/>
  <c r="AL105" i="13"/>
  <c r="AK105" i="13"/>
  <c r="AJ105" i="13"/>
  <c r="AI105" i="13"/>
  <c r="AH105" i="13"/>
  <c r="AG105" i="13"/>
  <c r="AF105" i="13"/>
  <c r="DF104" i="13"/>
  <c r="DE104" i="13"/>
  <c r="DD104" i="13"/>
  <c r="DC104" i="13"/>
  <c r="DB104" i="13"/>
  <c r="DA104" i="13"/>
  <c r="CZ104" i="13"/>
  <c r="CY104" i="13"/>
  <c r="CX104" i="13"/>
  <c r="CW104" i="13"/>
  <c r="CV104" i="13"/>
  <c r="CU104" i="13"/>
  <c r="CT104" i="13"/>
  <c r="CS104" i="13"/>
  <c r="CR104" i="13"/>
  <c r="CP104" i="13"/>
  <c r="CO104" i="13"/>
  <c r="CN104" i="13"/>
  <c r="CM104" i="13"/>
  <c r="CL104" i="13"/>
  <c r="CK104" i="13"/>
  <c r="CJ104" i="13"/>
  <c r="CI104" i="13"/>
  <c r="CH104" i="13"/>
  <c r="CG104" i="13"/>
  <c r="CF104" i="13"/>
  <c r="CE104" i="13"/>
  <c r="CD104" i="13"/>
  <c r="CC104" i="13"/>
  <c r="CB104" i="13"/>
  <c r="BZ104" i="13"/>
  <c r="BY104" i="13"/>
  <c r="BX104" i="13"/>
  <c r="BW104" i="13"/>
  <c r="BV104" i="13"/>
  <c r="BU104" i="13"/>
  <c r="BT104" i="13"/>
  <c r="BS104" i="13"/>
  <c r="BR104" i="13"/>
  <c r="BQ104" i="13"/>
  <c r="BP104" i="13"/>
  <c r="BO104" i="13"/>
  <c r="BN104" i="13"/>
  <c r="BM104" i="13"/>
  <c r="BL104" i="13"/>
  <c r="BJ104" i="13"/>
  <c r="BI104" i="13"/>
  <c r="BH104" i="13"/>
  <c r="BG104" i="13"/>
  <c r="BF104" i="13"/>
  <c r="BE104" i="13"/>
  <c r="BD104" i="13"/>
  <c r="BC104" i="13"/>
  <c r="BB104" i="13"/>
  <c r="BA104" i="13"/>
  <c r="AZ104" i="13"/>
  <c r="AY104" i="13"/>
  <c r="AX104" i="13"/>
  <c r="AW104" i="13"/>
  <c r="AV104" i="13"/>
  <c r="AT104" i="13"/>
  <c r="AS104" i="13"/>
  <c r="AR104" i="13"/>
  <c r="AQ104" i="13"/>
  <c r="AP104" i="13"/>
  <c r="AO104" i="13"/>
  <c r="AN104" i="13"/>
  <c r="AM104" i="13"/>
  <c r="AL104" i="13"/>
  <c r="AK104" i="13"/>
  <c r="AJ104" i="13"/>
  <c r="AI104" i="13"/>
  <c r="AH104" i="13"/>
  <c r="AG104" i="13"/>
  <c r="AF104" i="13"/>
  <c r="DF103" i="13"/>
  <c r="DE103" i="13"/>
  <c r="DD103" i="13"/>
  <c r="DC103" i="13"/>
  <c r="DB103" i="13"/>
  <c r="DA103" i="13"/>
  <c r="CZ103" i="13"/>
  <c r="CY103" i="13"/>
  <c r="CX103" i="13"/>
  <c r="CW103" i="13"/>
  <c r="CV103" i="13"/>
  <c r="CU103" i="13"/>
  <c r="CT103" i="13"/>
  <c r="CS103" i="13"/>
  <c r="CR103" i="13"/>
  <c r="CP103" i="13"/>
  <c r="CO103" i="13"/>
  <c r="CN103" i="13"/>
  <c r="CM103" i="13"/>
  <c r="CL103" i="13"/>
  <c r="CK103" i="13"/>
  <c r="CJ103" i="13"/>
  <c r="CI103" i="13"/>
  <c r="CH103" i="13"/>
  <c r="CG103" i="13"/>
  <c r="CF103" i="13"/>
  <c r="CE103" i="13"/>
  <c r="CD103" i="13"/>
  <c r="CC103" i="13"/>
  <c r="CB103" i="13"/>
  <c r="BZ103" i="13"/>
  <c r="BY103" i="13"/>
  <c r="BX103" i="13"/>
  <c r="BW103" i="13"/>
  <c r="BV103" i="13"/>
  <c r="BU103" i="13"/>
  <c r="BT103" i="13"/>
  <c r="BS103" i="13"/>
  <c r="BR103" i="13"/>
  <c r="BQ103" i="13"/>
  <c r="BP103" i="13"/>
  <c r="BO103" i="13"/>
  <c r="BN103" i="13"/>
  <c r="BM103" i="13"/>
  <c r="BL103" i="13"/>
  <c r="BJ103" i="13"/>
  <c r="BI103" i="13"/>
  <c r="BH103" i="13"/>
  <c r="BG103" i="13"/>
  <c r="BF103" i="13"/>
  <c r="BE103" i="13"/>
  <c r="BD103" i="13"/>
  <c r="BC103" i="13"/>
  <c r="BB103" i="13"/>
  <c r="BA103" i="13"/>
  <c r="AZ103" i="13"/>
  <c r="AY103" i="13"/>
  <c r="AX103" i="13"/>
  <c r="AW103" i="13"/>
  <c r="AV103" i="13"/>
  <c r="AT103" i="13"/>
  <c r="AS103" i="13"/>
  <c r="AR103" i="13"/>
  <c r="AQ103" i="13"/>
  <c r="AP103" i="13"/>
  <c r="AO103" i="13"/>
  <c r="AN103" i="13"/>
  <c r="AM103" i="13"/>
  <c r="AL103" i="13"/>
  <c r="AK103" i="13"/>
  <c r="AJ103" i="13"/>
  <c r="AI103" i="13"/>
  <c r="AH103" i="13"/>
  <c r="AG103" i="13"/>
  <c r="AF103" i="13"/>
  <c r="AD62" i="13"/>
  <c r="AC62" i="13"/>
  <c r="AB62" i="13"/>
  <c r="AA62" i="13"/>
  <c r="Z62" i="13"/>
  <c r="Y62" i="13"/>
  <c r="X62" i="13"/>
  <c r="W62" i="13"/>
  <c r="V62" i="13"/>
  <c r="U62" i="13"/>
  <c r="T62" i="13"/>
  <c r="S62" i="13"/>
  <c r="R62" i="13"/>
  <c r="Q62" i="13"/>
  <c r="P62" i="13"/>
  <c r="O62" i="13"/>
  <c r="N62" i="13"/>
  <c r="M62" i="13"/>
  <c r="L62" i="13"/>
  <c r="K62" i="13"/>
  <c r="J62" i="13"/>
  <c r="I62" i="13"/>
  <c r="H62" i="13"/>
  <c r="AE59" i="13"/>
  <c r="AD59" i="13"/>
  <c r="AC59" i="13"/>
  <c r="AB59" i="13"/>
  <c r="AA59" i="13"/>
  <c r="Z59" i="13"/>
  <c r="Y59" i="13"/>
  <c r="X59" i="13"/>
  <c r="W59" i="13"/>
  <c r="V59" i="13"/>
  <c r="U59" i="13"/>
  <c r="T59" i="13"/>
  <c r="S59" i="13"/>
  <c r="R59" i="13"/>
  <c r="Q59" i="13"/>
  <c r="P59" i="13"/>
  <c r="O59" i="13"/>
  <c r="N59" i="13"/>
  <c r="M59" i="13"/>
  <c r="L59" i="13"/>
  <c r="K59" i="13"/>
  <c r="J59" i="13"/>
  <c r="I59" i="13"/>
  <c r="H59" i="13"/>
  <c r="G59" i="13"/>
  <c r="F59" i="13"/>
  <c r="E59" i="13"/>
  <c r="D59" i="13"/>
  <c r="C59" i="13"/>
  <c r="AB58" i="13"/>
  <c r="AA58" i="13"/>
  <c r="Z58" i="13"/>
  <c r="Y58" i="13"/>
  <c r="X58" i="13"/>
  <c r="W58" i="13"/>
  <c r="V58" i="13"/>
  <c r="U58" i="13"/>
  <c r="T58" i="13"/>
  <c r="S58" i="13"/>
  <c r="R58" i="13"/>
  <c r="Q58" i="13"/>
  <c r="P58" i="13"/>
  <c r="O58" i="13"/>
  <c r="N58" i="13"/>
  <c r="M58" i="13"/>
  <c r="L58" i="13"/>
  <c r="K58" i="13"/>
  <c r="H58" i="13"/>
  <c r="G58" i="13"/>
  <c r="F58" i="13"/>
  <c r="E58" i="13"/>
  <c r="D58" i="13"/>
  <c r="C58" i="13"/>
  <c r="AB57" i="13"/>
  <c r="AA57" i="13"/>
  <c r="Z57" i="13"/>
  <c r="Y57" i="13"/>
  <c r="X57" i="13"/>
  <c r="W57" i="13"/>
  <c r="V57" i="13"/>
  <c r="U57" i="13"/>
  <c r="T57" i="13"/>
  <c r="S57" i="13"/>
  <c r="R57" i="13"/>
  <c r="Q57" i="13"/>
  <c r="P57" i="13"/>
  <c r="O57" i="13"/>
  <c r="N57" i="13"/>
  <c r="M57" i="13"/>
  <c r="L57" i="13"/>
  <c r="K57" i="13"/>
  <c r="H57" i="13"/>
  <c r="G57" i="13"/>
  <c r="F57" i="13"/>
  <c r="E57" i="13"/>
  <c r="D57" i="13"/>
  <c r="C57" i="13"/>
  <c r="AE56" i="13"/>
  <c r="AD56" i="13"/>
  <c r="AC56" i="13"/>
  <c r="AB56" i="13"/>
  <c r="AA56" i="13"/>
  <c r="Z56" i="13"/>
  <c r="Y56" i="13"/>
  <c r="X56" i="13"/>
  <c r="W56" i="13"/>
  <c r="V56" i="13"/>
  <c r="U56" i="13"/>
  <c r="T56" i="13"/>
  <c r="S56" i="13"/>
  <c r="R56" i="13"/>
  <c r="Q56" i="13"/>
  <c r="P56" i="13"/>
  <c r="O56" i="13"/>
  <c r="N56" i="13"/>
  <c r="M56" i="13"/>
  <c r="L56" i="13"/>
  <c r="K56" i="13"/>
  <c r="J56" i="13"/>
  <c r="I56" i="13"/>
  <c r="H56" i="13"/>
  <c r="G56" i="13"/>
  <c r="F56" i="13"/>
  <c r="E56" i="13"/>
  <c r="D56" i="13"/>
  <c r="C56" i="13"/>
  <c r="AE53" i="13"/>
  <c r="AD53" i="13"/>
  <c r="AC53" i="13"/>
  <c r="AB53" i="13"/>
  <c r="AA53" i="13"/>
  <c r="Z53" i="13"/>
  <c r="Y53" i="13"/>
  <c r="X53" i="13"/>
  <c r="W53" i="13"/>
  <c r="V53" i="13"/>
  <c r="U53" i="13"/>
  <c r="T53" i="13"/>
  <c r="S53" i="13"/>
  <c r="R53" i="13"/>
  <c r="Q53" i="13"/>
  <c r="P53" i="13"/>
  <c r="O53" i="13"/>
  <c r="N53" i="13"/>
  <c r="M53" i="13"/>
  <c r="L53" i="13"/>
  <c r="K53" i="13"/>
  <c r="J53" i="13"/>
  <c r="I53" i="13"/>
  <c r="H53" i="13"/>
  <c r="G53" i="13"/>
  <c r="F53" i="13"/>
  <c r="E53" i="13"/>
  <c r="D53" i="13"/>
  <c r="C53" i="13"/>
  <c r="AE50" i="13"/>
  <c r="AD50" i="13"/>
  <c r="AC50" i="13"/>
  <c r="AB50" i="13"/>
  <c r="AA50" i="13"/>
  <c r="Z50" i="13"/>
  <c r="Y50" i="13"/>
  <c r="X50" i="13"/>
  <c r="W50" i="13"/>
  <c r="V50" i="13"/>
  <c r="U50" i="13"/>
  <c r="T50" i="13"/>
  <c r="S50" i="13"/>
  <c r="R50" i="13"/>
  <c r="Q50" i="13"/>
  <c r="P50" i="13"/>
  <c r="O50" i="13"/>
  <c r="N50" i="13"/>
  <c r="M50" i="13"/>
  <c r="L50" i="13"/>
  <c r="K50" i="13"/>
  <c r="J50" i="13"/>
  <c r="I50" i="13"/>
  <c r="H50" i="13"/>
  <c r="G50" i="13"/>
  <c r="F50" i="13"/>
  <c r="E50" i="13"/>
  <c r="D50" i="13"/>
  <c r="C50" i="13"/>
  <c r="AE47" i="13"/>
  <c r="AD47" i="13"/>
  <c r="AC47" i="13"/>
  <c r="AB47" i="13"/>
  <c r="AA47" i="13"/>
  <c r="Z47" i="13"/>
  <c r="Y47" i="13"/>
  <c r="X47" i="13"/>
  <c r="W47" i="13"/>
  <c r="V47" i="13"/>
  <c r="U47" i="13"/>
  <c r="T47" i="13"/>
  <c r="S47" i="13"/>
  <c r="R47" i="13"/>
  <c r="Q47" i="13"/>
  <c r="P47" i="13"/>
  <c r="O47" i="13"/>
  <c r="N47" i="13"/>
  <c r="M47" i="13"/>
  <c r="L47" i="13"/>
  <c r="K47" i="13"/>
  <c r="J47" i="13"/>
  <c r="I47" i="13"/>
  <c r="H47" i="13"/>
  <c r="G47" i="13"/>
  <c r="F47" i="13"/>
  <c r="E47" i="13"/>
  <c r="D47" i="13"/>
  <c r="C47" i="13"/>
  <c r="AD44" i="13"/>
  <c r="AC44" i="13"/>
  <c r="AB44" i="13"/>
  <c r="AA44" i="13"/>
  <c r="Z44" i="13"/>
  <c r="Y44" i="13"/>
  <c r="X44" i="13"/>
  <c r="W44" i="13"/>
  <c r="V44" i="13"/>
  <c r="U44" i="13"/>
  <c r="T44" i="13"/>
  <c r="S44" i="13"/>
  <c r="R44" i="13"/>
  <c r="Q44" i="13"/>
  <c r="P44" i="13"/>
  <c r="O44" i="13"/>
  <c r="N44" i="13"/>
  <c r="M44" i="13"/>
  <c r="L44" i="13"/>
  <c r="K44" i="13"/>
  <c r="J44" i="13"/>
  <c r="I44" i="13"/>
  <c r="H44" i="13"/>
  <c r="AE41" i="13"/>
  <c r="AD41" i="13"/>
  <c r="AC41" i="13"/>
  <c r="P41" i="13"/>
  <c r="O41" i="13"/>
  <c r="N41" i="13"/>
  <c r="M41" i="13"/>
  <c r="L41" i="13"/>
  <c r="K41" i="13"/>
  <c r="J41" i="13"/>
  <c r="I41" i="13"/>
  <c r="H41" i="13"/>
  <c r="G41" i="13"/>
  <c r="F41" i="13"/>
  <c r="E41" i="13"/>
  <c r="D41" i="13"/>
  <c r="C41" i="13"/>
  <c r="AE34" i="13"/>
  <c r="AD34" i="13"/>
  <c r="AC34" i="13"/>
  <c r="P34" i="13"/>
  <c r="O34" i="13"/>
  <c r="N34" i="13"/>
  <c r="M34" i="13"/>
  <c r="L34" i="13"/>
  <c r="K34" i="13"/>
  <c r="J34" i="13"/>
  <c r="I34" i="13"/>
  <c r="H34" i="13"/>
  <c r="G34" i="13"/>
  <c r="F34" i="13"/>
  <c r="E34" i="13"/>
  <c r="D34" i="13"/>
  <c r="C34" i="13"/>
  <c r="AD27" i="13"/>
  <c r="AC27" i="13"/>
  <c r="P27" i="13"/>
  <c r="O27" i="13"/>
  <c r="N27" i="13"/>
  <c r="M27" i="13"/>
  <c r="L27" i="13"/>
  <c r="K27" i="13"/>
  <c r="J27" i="13"/>
  <c r="I27" i="13"/>
  <c r="H27" i="13"/>
  <c r="G27" i="13"/>
  <c r="F27" i="13"/>
  <c r="E27" i="13"/>
  <c r="D27" i="13"/>
  <c r="C27" i="13"/>
  <c r="AD20" i="13"/>
  <c r="AC20" i="13"/>
  <c r="P20" i="13"/>
  <c r="O20" i="13"/>
  <c r="N20" i="13"/>
  <c r="M20" i="13"/>
  <c r="L20" i="13"/>
  <c r="K20" i="13"/>
  <c r="J20" i="13"/>
  <c r="I20" i="13"/>
  <c r="H20" i="13"/>
  <c r="G20" i="13"/>
  <c r="F20" i="13"/>
  <c r="E20" i="13"/>
  <c r="D20" i="13"/>
  <c r="C20" i="13"/>
  <c r="AD13" i="13"/>
  <c r="AC13" i="13"/>
  <c r="P13" i="13"/>
  <c r="O13" i="13"/>
  <c r="N13" i="13"/>
  <c r="M13" i="13"/>
  <c r="L13" i="13"/>
  <c r="K13" i="13"/>
  <c r="J13" i="13"/>
  <c r="I13" i="13"/>
  <c r="H13" i="13"/>
  <c r="G13" i="13"/>
  <c r="F13" i="13"/>
  <c r="E13" i="13"/>
  <c r="D13" i="13"/>
  <c r="C13" i="13"/>
  <c r="AD6" i="13"/>
  <c r="AC6" i="13"/>
  <c r="AB6" i="13"/>
  <c r="AA6" i="13"/>
  <c r="Z6" i="13"/>
  <c r="Y6" i="13"/>
  <c r="X6" i="13"/>
  <c r="W6" i="13"/>
  <c r="V6" i="13"/>
  <c r="U6" i="13"/>
  <c r="T6" i="13"/>
  <c r="S6" i="13"/>
  <c r="R6" i="13"/>
  <c r="Q6" i="13"/>
  <c r="P6" i="13"/>
  <c r="O6" i="13"/>
  <c r="N6" i="13"/>
  <c r="M6" i="13"/>
  <c r="L6" i="13"/>
  <c r="K6" i="13"/>
  <c r="J6" i="13"/>
  <c r="I6" i="13"/>
  <c r="H6" i="13"/>
  <c r="G6" i="13"/>
  <c r="F6" i="13"/>
  <c r="E6" i="13"/>
  <c r="D6" i="13"/>
  <c r="O13" i="12"/>
  <c r="N13" i="12"/>
  <c r="M13" i="12"/>
  <c r="L13" i="12"/>
  <c r="K13" i="12"/>
  <c r="J13" i="12"/>
  <c r="I13" i="12"/>
  <c r="H13" i="12"/>
  <c r="G13" i="12"/>
  <c r="F13" i="12"/>
  <c r="E13" i="12"/>
  <c r="D13" i="12"/>
  <c r="C13" i="12"/>
  <c r="B13" i="12"/>
  <c r="O6" i="12"/>
  <c r="N6" i="12"/>
  <c r="M6" i="12"/>
  <c r="L6" i="12"/>
  <c r="K6" i="12"/>
  <c r="J6" i="12"/>
  <c r="I6" i="12"/>
  <c r="H6" i="12"/>
  <c r="G6" i="12"/>
  <c r="F6" i="12"/>
  <c r="E6" i="12"/>
  <c r="D6" i="12"/>
  <c r="C6" i="12"/>
  <c r="M158" i="32"/>
  <c r="J158" i="32"/>
  <c r="I158" i="32"/>
  <c r="H158" i="32"/>
  <c r="G158" i="32"/>
  <c r="F158" i="32"/>
  <c r="E158" i="32"/>
  <c r="D158" i="32"/>
  <c r="C158" i="32"/>
  <c r="M157" i="32"/>
  <c r="J157" i="32"/>
  <c r="I157" i="32"/>
  <c r="H157" i="32"/>
  <c r="G157" i="32"/>
  <c r="F157" i="32"/>
  <c r="E157" i="32"/>
  <c r="D157" i="32"/>
  <c r="C157" i="32"/>
  <c r="B157" i="32"/>
  <c r="M154" i="32"/>
  <c r="J154" i="32"/>
  <c r="I154" i="32"/>
  <c r="H154" i="32"/>
  <c r="G154" i="32"/>
  <c r="F154" i="32"/>
  <c r="E154" i="32"/>
  <c r="D154" i="32"/>
  <c r="C154" i="32"/>
  <c r="M153" i="32"/>
  <c r="J153" i="32"/>
  <c r="I153" i="32"/>
  <c r="H153" i="32"/>
  <c r="G153" i="32"/>
  <c r="F153" i="32"/>
  <c r="E153" i="32"/>
  <c r="D153" i="32"/>
  <c r="C153" i="32"/>
  <c r="B153" i="32"/>
  <c r="M134" i="32"/>
  <c r="J134" i="32"/>
  <c r="I134" i="32"/>
  <c r="H134" i="32"/>
  <c r="G134" i="32"/>
  <c r="F134" i="32"/>
  <c r="E134" i="32"/>
  <c r="D134" i="32"/>
  <c r="C134" i="32"/>
  <c r="M133" i="32"/>
  <c r="J133" i="32"/>
  <c r="I133" i="32"/>
  <c r="H133" i="32"/>
  <c r="G133" i="32"/>
  <c r="F133" i="32"/>
  <c r="E133" i="32"/>
  <c r="D133" i="32"/>
  <c r="C133" i="32"/>
  <c r="B133" i="32"/>
  <c r="M129" i="32"/>
  <c r="J129" i="32"/>
  <c r="I129" i="32"/>
  <c r="H129" i="32"/>
  <c r="G129" i="32"/>
  <c r="F129" i="32"/>
  <c r="E129" i="32"/>
  <c r="D129" i="32"/>
  <c r="C129" i="32"/>
  <c r="B129" i="32"/>
  <c r="R113" i="32"/>
  <c r="M108" i="32"/>
  <c r="J108" i="32"/>
  <c r="I108" i="32"/>
  <c r="H108" i="32"/>
  <c r="G108" i="32"/>
  <c r="F108" i="32"/>
  <c r="E108" i="32"/>
  <c r="D108" i="32"/>
  <c r="C108" i="32"/>
  <c r="AB107" i="32"/>
  <c r="Y107" i="32"/>
  <c r="X107" i="32"/>
  <c r="W107" i="32"/>
  <c r="V107" i="32"/>
  <c r="U107" i="32"/>
  <c r="T107" i="32"/>
  <c r="S107" i="32"/>
  <c r="R107" i="32"/>
  <c r="Q107" i="32"/>
  <c r="M107" i="32"/>
  <c r="J107" i="32"/>
  <c r="I107" i="32"/>
  <c r="G107" i="32"/>
  <c r="F107" i="32"/>
  <c r="E107" i="32"/>
  <c r="D107" i="32"/>
  <c r="C107" i="32"/>
  <c r="B107" i="32"/>
  <c r="M106" i="32"/>
  <c r="J106" i="32"/>
  <c r="I106" i="32"/>
  <c r="H106" i="32"/>
  <c r="G106" i="32"/>
  <c r="F106" i="32"/>
  <c r="E106" i="32"/>
  <c r="D106" i="32"/>
  <c r="C106" i="32"/>
  <c r="Q105" i="32"/>
  <c r="M104" i="32"/>
  <c r="J104" i="32"/>
  <c r="I104" i="32"/>
  <c r="H104" i="32"/>
  <c r="G104" i="32"/>
  <c r="F104" i="32"/>
  <c r="E104" i="32"/>
  <c r="D104" i="32"/>
  <c r="C104" i="32"/>
  <c r="AB103" i="32"/>
  <c r="Y103" i="32"/>
  <c r="X103" i="32"/>
  <c r="W103" i="32"/>
  <c r="V103" i="32"/>
  <c r="U103" i="32"/>
  <c r="T103" i="32"/>
  <c r="S103" i="32"/>
  <c r="R103" i="32"/>
  <c r="Q103" i="32"/>
  <c r="M103" i="32"/>
  <c r="J103" i="32"/>
  <c r="I103" i="32"/>
  <c r="H103" i="32"/>
  <c r="G103" i="32"/>
  <c r="F103" i="32"/>
  <c r="E103" i="32"/>
  <c r="D103" i="32"/>
  <c r="C103" i="32"/>
  <c r="B103" i="32"/>
  <c r="M102" i="32"/>
  <c r="J102" i="32"/>
  <c r="I102" i="32"/>
  <c r="H102" i="32"/>
  <c r="G102" i="32"/>
  <c r="F102" i="32"/>
  <c r="E102" i="32"/>
  <c r="D102" i="32"/>
  <c r="C102" i="32"/>
  <c r="AN101" i="32"/>
  <c r="AM101" i="32"/>
  <c r="AK101" i="32"/>
  <c r="AJ101" i="32"/>
  <c r="AI101" i="32"/>
  <c r="AH101" i="32"/>
  <c r="AG101" i="32"/>
  <c r="AF101" i="32"/>
  <c r="Q101" i="32"/>
  <c r="M100" i="32"/>
  <c r="J100" i="32"/>
  <c r="I100" i="32"/>
  <c r="H100" i="32"/>
  <c r="G100" i="32"/>
  <c r="F100" i="32"/>
  <c r="E100" i="32"/>
  <c r="D100" i="32"/>
  <c r="C100" i="32"/>
  <c r="AN99" i="32"/>
  <c r="AM99" i="32"/>
  <c r="AL99" i="32"/>
  <c r="AJ99" i="32"/>
  <c r="AI99" i="32"/>
  <c r="AH99" i="32"/>
  <c r="AG99" i="32"/>
  <c r="AF99" i="32"/>
  <c r="Q99" i="32"/>
  <c r="M98" i="32"/>
  <c r="J98" i="32"/>
  <c r="I98" i="32"/>
  <c r="H98" i="32"/>
  <c r="G98" i="32"/>
  <c r="F98" i="32"/>
  <c r="E98" i="32"/>
  <c r="D98" i="32"/>
  <c r="C98" i="32"/>
  <c r="AN97" i="32"/>
  <c r="AM97" i="32"/>
  <c r="AL97" i="32"/>
  <c r="AK97" i="32"/>
  <c r="AI97" i="32"/>
  <c r="AH97" i="32"/>
  <c r="AG97" i="32"/>
  <c r="AF97" i="32"/>
  <c r="Q97" i="32"/>
  <c r="M96" i="32"/>
  <c r="J96" i="32"/>
  <c r="I96" i="32"/>
  <c r="H96" i="32"/>
  <c r="G96" i="32"/>
  <c r="F96" i="32"/>
  <c r="E96" i="32"/>
  <c r="D96" i="32"/>
  <c r="C96" i="32"/>
  <c r="AN95" i="32"/>
  <c r="AM95" i="32"/>
  <c r="AL95" i="32"/>
  <c r="AK95" i="32"/>
  <c r="AJ95" i="32"/>
  <c r="AH95" i="32"/>
  <c r="AG95" i="32"/>
  <c r="AF95" i="32"/>
  <c r="Q95" i="32"/>
  <c r="M94" i="32"/>
  <c r="J94" i="32"/>
  <c r="I94" i="32"/>
  <c r="H94" i="32"/>
  <c r="G94" i="32"/>
  <c r="F94" i="32"/>
  <c r="E94" i="32"/>
  <c r="D94" i="32"/>
  <c r="C94" i="32"/>
  <c r="AN93" i="32"/>
  <c r="AM93" i="32"/>
  <c r="AL93" i="32"/>
  <c r="AK93" i="32"/>
  <c r="AJ93" i="32"/>
  <c r="AI93" i="32"/>
  <c r="AG93" i="32"/>
  <c r="AF93" i="32"/>
  <c r="Q93" i="32"/>
  <c r="AF87" i="32"/>
  <c r="R87" i="32"/>
  <c r="M82" i="32"/>
  <c r="K82" i="32"/>
  <c r="J82" i="32"/>
  <c r="I82" i="32"/>
  <c r="H82" i="32"/>
  <c r="G82" i="32"/>
  <c r="F82" i="32"/>
  <c r="E82" i="32"/>
  <c r="D82" i="32"/>
  <c r="C82" i="32"/>
  <c r="Z81" i="32"/>
  <c r="X81" i="32"/>
  <c r="W81" i="32"/>
  <c r="V81" i="32"/>
  <c r="U81" i="32"/>
  <c r="T81" i="32"/>
  <c r="S81" i="32"/>
  <c r="R81" i="32"/>
  <c r="Q81" i="32"/>
  <c r="M81" i="32"/>
  <c r="K81" i="32"/>
  <c r="J81" i="32"/>
  <c r="I81" i="32"/>
  <c r="H81" i="32"/>
  <c r="G81" i="32"/>
  <c r="F81" i="32"/>
  <c r="E81" i="32"/>
  <c r="D81" i="32"/>
  <c r="C81" i="32"/>
  <c r="B81" i="32"/>
  <c r="M80" i="32"/>
  <c r="K80" i="32"/>
  <c r="J80" i="32"/>
  <c r="I80" i="32"/>
  <c r="H80" i="32"/>
  <c r="G80" i="32"/>
  <c r="F80" i="32"/>
  <c r="E80" i="32"/>
  <c r="D80" i="32"/>
  <c r="C80" i="32"/>
  <c r="M78" i="32"/>
  <c r="K78" i="32"/>
  <c r="J78" i="32"/>
  <c r="I78" i="32"/>
  <c r="H78" i="32"/>
  <c r="G78" i="32"/>
  <c r="F78" i="32"/>
  <c r="E78" i="32"/>
  <c r="D78" i="32"/>
  <c r="C78" i="32"/>
  <c r="Z77" i="32"/>
  <c r="X77" i="32"/>
  <c r="W77" i="32"/>
  <c r="V77" i="32"/>
  <c r="U77" i="32"/>
  <c r="T77" i="32"/>
  <c r="S77" i="32"/>
  <c r="R77" i="32"/>
  <c r="Q77" i="32"/>
  <c r="M77" i="32"/>
  <c r="K77" i="32"/>
  <c r="J77" i="32"/>
  <c r="I77" i="32"/>
  <c r="H77" i="32"/>
  <c r="G77" i="32"/>
  <c r="F77" i="32"/>
  <c r="E77" i="32"/>
  <c r="D77" i="32"/>
  <c r="C77" i="32"/>
  <c r="B77" i="32"/>
  <c r="M76" i="32"/>
  <c r="K76" i="32"/>
  <c r="J76" i="32"/>
  <c r="I76" i="32"/>
  <c r="H76" i="32"/>
  <c r="G76" i="32"/>
  <c r="F76" i="32"/>
  <c r="E76" i="32"/>
  <c r="D76" i="32"/>
  <c r="C76" i="32"/>
  <c r="AN75" i="32"/>
  <c r="AM75" i="32"/>
  <c r="AK75" i="32"/>
  <c r="AJ75" i="32"/>
  <c r="AI75" i="32"/>
  <c r="AH75" i="32"/>
  <c r="AG75" i="32"/>
  <c r="AF75" i="32"/>
  <c r="M74" i="32"/>
  <c r="K74" i="32"/>
  <c r="J74" i="32"/>
  <c r="I74" i="32"/>
  <c r="H74" i="32"/>
  <c r="G74" i="32"/>
  <c r="F74" i="32"/>
  <c r="E74" i="32"/>
  <c r="D74" i="32"/>
  <c r="C74" i="32"/>
  <c r="AN73" i="32"/>
  <c r="AM73" i="32"/>
  <c r="AL73" i="32"/>
  <c r="AJ73" i="32"/>
  <c r="AI73" i="32"/>
  <c r="AH73" i="32"/>
  <c r="AG73" i="32"/>
  <c r="AF73" i="32"/>
  <c r="M72" i="32"/>
  <c r="K72" i="32"/>
  <c r="J72" i="32"/>
  <c r="I72" i="32"/>
  <c r="H72" i="32"/>
  <c r="G72" i="32"/>
  <c r="F72" i="32"/>
  <c r="E72" i="32"/>
  <c r="D72" i="32"/>
  <c r="C72" i="32"/>
  <c r="AN71" i="32"/>
  <c r="AM71" i="32"/>
  <c r="AL71" i="32"/>
  <c r="AK71" i="32"/>
  <c r="AI71" i="32"/>
  <c r="AH71" i="32"/>
  <c r="AG71" i="32"/>
  <c r="AF71" i="32"/>
  <c r="M70" i="32"/>
  <c r="K70" i="32"/>
  <c r="J70" i="32"/>
  <c r="I70" i="32"/>
  <c r="H70" i="32"/>
  <c r="G70" i="32"/>
  <c r="F70" i="32"/>
  <c r="E70" i="32"/>
  <c r="D70" i="32"/>
  <c r="C70" i="32"/>
  <c r="AN69" i="32"/>
  <c r="AM69" i="32"/>
  <c r="AL69" i="32"/>
  <c r="AK69" i="32"/>
  <c r="AJ69" i="32"/>
  <c r="AH69" i="32"/>
  <c r="AG69" i="32"/>
  <c r="AF69" i="32"/>
  <c r="M68" i="32"/>
  <c r="K68" i="32"/>
  <c r="J68" i="32"/>
  <c r="I68" i="32"/>
  <c r="H68" i="32"/>
  <c r="G68" i="32"/>
  <c r="F68" i="32"/>
  <c r="E68" i="32"/>
  <c r="D68" i="32"/>
  <c r="C68" i="32"/>
  <c r="AN67" i="32"/>
  <c r="AM67" i="32"/>
  <c r="AL67" i="32"/>
  <c r="AK67" i="32"/>
  <c r="AJ67" i="32"/>
  <c r="AI67" i="32"/>
  <c r="AG67" i="32"/>
  <c r="AF67" i="32"/>
  <c r="AF61" i="32"/>
  <c r="R61" i="32"/>
  <c r="M56" i="32"/>
  <c r="K56" i="32"/>
  <c r="J56" i="32"/>
  <c r="I56" i="32"/>
  <c r="H56" i="32"/>
  <c r="G56" i="32"/>
  <c r="F56" i="32"/>
  <c r="E56" i="32"/>
  <c r="D56" i="32"/>
  <c r="C56" i="32"/>
  <c r="AB55" i="32"/>
  <c r="Z55" i="32"/>
  <c r="Y55" i="32"/>
  <c r="X55" i="32"/>
  <c r="W55" i="32"/>
  <c r="V55" i="32"/>
  <c r="U55" i="32"/>
  <c r="T55" i="32"/>
  <c r="S55" i="32"/>
  <c r="R55" i="32"/>
  <c r="Q55" i="32"/>
  <c r="M55" i="32"/>
  <c r="K55" i="32"/>
  <c r="J55" i="32"/>
  <c r="I55" i="32"/>
  <c r="H55" i="32"/>
  <c r="G55" i="32"/>
  <c r="F55" i="32"/>
  <c r="E55" i="32"/>
  <c r="D55" i="32"/>
  <c r="C55" i="32"/>
  <c r="B55" i="32"/>
  <c r="M54" i="32"/>
  <c r="K54" i="32"/>
  <c r="J54" i="32"/>
  <c r="I54" i="32"/>
  <c r="H54" i="32"/>
  <c r="G54" i="32"/>
  <c r="F54" i="32"/>
  <c r="E54" i="32"/>
  <c r="D54" i="32"/>
  <c r="C54" i="32"/>
  <c r="M52" i="32"/>
  <c r="K52" i="32"/>
  <c r="J52" i="32"/>
  <c r="I52" i="32"/>
  <c r="H52" i="32"/>
  <c r="G52" i="32"/>
  <c r="F52" i="32"/>
  <c r="E52" i="32"/>
  <c r="D52" i="32"/>
  <c r="C52" i="32"/>
  <c r="AB51" i="32"/>
  <c r="Z51" i="32"/>
  <c r="Y51" i="32"/>
  <c r="X51" i="32"/>
  <c r="W51" i="32"/>
  <c r="V51" i="32"/>
  <c r="U51" i="32"/>
  <c r="T51" i="32"/>
  <c r="S51" i="32"/>
  <c r="R51" i="32"/>
  <c r="Q51" i="32"/>
  <c r="M51" i="32"/>
  <c r="K51" i="32"/>
  <c r="J51" i="32"/>
  <c r="I51" i="32"/>
  <c r="H51" i="32"/>
  <c r="G51" i="32"/>
  <c r="F51" i="32"/>
  <c r="E51" i="32"/>
  <c r="D51" i="32"/>
  <c r="C51" i="32"/>
  <c r="B51" i="32"/>
  <c r="M50" i="32"/>
  <c r="K50" i="32"/>
  <c r="J50" i="32"/>
  <c r="I50" i="32"/>
  <c r="H50" i="32"/>
  <c r="G50" i="32"/>
  <c r="F50" i="32"/>
  <c r="E50" i="32"/>
  <c r="D50" i="32"/>
  <c r="C50" i="32"/>
  <c r="AN49" i="32"/>
  <c r="AM49" i="32"/>
  <c r="AK49" i="32"/>
  <c r="AJ49" i="32"/>
  <c r="AI49" i="32"/>
  <c r="AH49" i="32"/>
  <c r="AG49" i="32"/>
  <c r="AF49" i="32"/>
  <c r="M48" i="32"/>
  <c r="K48" i="32"/>
  <c r="J48" i="32"/>
  <c r="I48" i="32"/>
  <c r="H48" i="32"/>
  <c r="G48" i="32"/>
  <c r="F48" i="32"/>
  <c r="E48" i="32"/>
  <c r="D48" i="32"/>
  <c r="C48" i="32"/>
  <c r="AN47" i="32"/>
  <c r="AM47" i="32"/>
  <c r="AL47" i="32"/>
  <c r="AJ47" i="32"/>
  <c r="AI47" i="32"/>
  <c r="AH47" i="32"/>
  <c r="AG47" i="32"/>
  <c r="AF47" i="32"/>
  <c r="M46" i="32"/>
  <c r="K46" i="32"/>
  <c r="J46" i="32"/>
  <c r="I46" i="32"/>
  <c r="H46" i="32"/>
  <c r="G46" i="32"/>
  <c r="F46" i="32"/>
  <c r="E46" i="32"/>
  <c r="D46" i="32"/>
  <c r="C46" i="32"/>
  <c r="AN45" i="32"/>
  <c r="AM45" i="32"/>
  <c r="AL45" i="32"/>
  <c r="AK45" i="32"/>
  <c r="AI45" i="32"/>
  <c r="AH45" i="32"/>
  <c r="AG45" i="32"/>
  <c r="AF45" i="32"/>
  <c r="M44" i="32"/>
  <c r="K44" i="32"/>
  <c r="J44" i="32"/>
  <c r="I44" i="32"/>
  <c r="H44" i="32"/>
  <c r="G44" i="32"/>
  <c r="F44" i="32"/>
  <c r="E44" i="32"/>
  <c r="D44" i="32"/>
  <c r="C44" i="32"/>
  <c r="AN43" i="32"/>
  <c r="AM43" i="32"/>
  <c r="AL43" i="32"/>
  <c r="AK43" i="32"/>
  <c r="AJ43" i="32"/>
  <c r="AH43" i="32"/>
  <c r="AG43" i="32"/>
  <c r="AF43" i="32"/>
  <c r="M42" i="32"/>
  <c r="K42" i="32"/>
  <c r="J42" i="32"/>
  <c r="I42" i="32"/>
  <c r="H42" i="32"/>
  <c r="G42" i="32"/>
  <c r="F42" i="32"/>
  <c r="E42" i="32"/>
  <c r="D42" i="32"/>
  <c r="C42" i="32"/>
  <c r="AN41" i="32"/>
  <c r="AM41" i="32"/>
  <c r="AL41" i="32"/>
  <c r="AK41" i="32"/>
  <c r="AJ41" i="32"/>
  <c r="AI41" i="32"/>
  <c r="AG41" i="32"/>
  <c r="AF41" i="32"/>
  <c r="AF35" i="32"/>
  <c r="R35" i="32"/>
  <c r="M26" i="32"/>
  <c r="J26" i="32"/>
  <c r="I26" i="32"/>
  <c r="H26" i="32"/>
  <c r="G26" i="32"/>
  <c r="F26" i="32"/>
  <c r="E26" i="32"/>
  <c r="D26" i="32"/>
  <c r="C26" i="32"/>
  <c r="AB25" i="32"/>
  <c r="Y25" i="32"/>
  <c r="X25" i="32"/>
  <c r="W25" i="32"/>
  <c r="V25" i="32"/>
  <c r="U25" i="32"/>
  <c r="T25" i="32"/>
  <c r="S25" i="32"/>
  <c r="R25" i="32"/>
  <c r="Q25" i="32"/>
  <c r="M25" i="32"/>
  <c r="J25" i="32"/>
  <c r="I25" i="32"/>
  <c r="H25" i="32"/>
  <c r="G25" i="32"/>
  <c r="F25" i="32"/>
  <c r="E25" i="32"/>
  <c r="D25" i="32"/>
  <c r="C25" i="32"/>
  <c r="B25" i="32"/>
  <c r="M24" i="32"/>
  <c r="J24" i="32"/>
  <c r="I24" i="32"/>
  <c r="H24" i="32"/>
  <c r="G24" i="32"/>
  <c r="F24" i="32"/>
  <c r="E24" i="32"/>
  <c r="D24" i="32"/>
  <c r="C24" i="32"/>
  <c r="AN23" i="32"/>
  <c r="AM23" i="32"/>
  <c r="AK23" i="32"/>
  <c r="AJ23" i="32"/>
  <c r="AI23" i="32"/>
  <c r="AH23" i="32"/>
  <c r="AG23" i="32"/>
  <c r="AF23" i="32"/>
  <c r="AE23" i="32"/>
  <c r="M22" i="32"/>
  <c r="J22" i="32"/>
  <c r="I22" i="32"/>
  <c r="H22" i="32"/>
  <c r="G22" i="32"/>
  <c r="F22" i="32"/>
  <c r="E22" i="32"/>
  <c r="D22" i="32"/>
  <c r="C22" i="32"/>
  <c r="AN21" i="32"/>
  <c r="AM21" i="32"/>
  <c r="AL21" i="32"/>
  <c r="AJ21" i="32"/>
  <c r="AI21" i="32"/>
  <c r="AH21" i="32"/>
  <c r="AG21" i="32"/>
  <c r="AF21" i="32"/>
  <c r="AE21" i="32"/>
  <c r="M20" i="32"/>
  <c r="J20" i="32"/>
  <c r="I20" i="32"/>
  <c r="H20" i="32"/>
  <c r="G20" i="32"/>
  <c r="F20" i="32"/>
  <c r="E20" i="32"/>
  <c r="D20" i="32"/>
  <c r="C20" i="32"/>
  <c r="AN19" i="32"/>
  <c r="AM19" i="32"/>
  <c r="AL19" i="32"/>
  <c r="AK19" i="32"/>
  <c r="AI19" i="32"/>
  <c r="AH19" i="32"/>
  <c r="AG19" i="32"/>
  <c r="AF19" i="32"/>
  <c r="AE19" i="32"/>
  <c r="M18" i="32"/>
  <c r="J18" i="32"/>
  <c r="I18" i="32"/>
  <c r="H18" i="32"/>
  <c r="G18" i="32"/>
  <c r="F18" i="32"/>
  <c r="E18" i="32"/>
  <c r="D18" i="32"/>
  <c r="C18" i="32"/>
  <c r="AN17" i="32"/>
  <c r="AM17" i="32"/>
  <c r="AL17" i="32"/>
  <c r="AK17" i="32"/>
  <c r="AJ17" i="32"/>
  <c r="AH17" i="32"/>
  <c r="AG17" i="32"/>
  <c r="AF17" i="32"/>
  <c r="AE17" i="32"/>
  <c r="M16" i="32"/>
  <c r="J16" i="32"/>
  <c r="I16" i="32"/>
  <c r="H16" i="32"/>
  <c r="G16" i="32"/>
  <c r="F16" i="32"/>
  <c r="E16" i="32"/>
  <c r="D16" i="32"/>
  <c r="C16" i="32"/>
  <c r="AN15" i="32"/>
  <c r="AM15" i="32"/>
  <c r="AL15" i="32"/>
  <c r="AK15" i="32"/>
  <c r="AJ15" i="32"/>
  <c r="AI15" i="32"/>
  <c r="AG15" i="32"/>
  <c r="AF15" i="32"/>
  <c r="AE15" i="32"/>
  <c r="AF9" i="32"/>
  <c r="R9" i="32"/>
  <c r="AD89" i="10"/>
  <c r="AC89" i="10"/>
  <c r="AB89" i="10"/>
  <c r="AB82" i="10"/>
  <c r="AD76" i="10"/>
  <c r="AC76" i="10"/>
  <c r="AB76" i="10"/>
  <c r="AB69" i="10"/>
  <c r="AD66" i="10"/>
  <c r="AC66" i="10"/>
  <c r="AB66" i="10"/>
  <c r="AB59" i="10"/>
  <c r="AD56" i="10"/>
  <c r="AC56" i="10"/>
  <c r="AB56" i="10"/>
  <c r="AC55" i="10"/>
  <c r="AC54" i="10"/>
  <c r="AC53" i="10"/>
  <c r="AC52" i="10"/>
  <c r="AC51" i="10"/>
  <c r="AC50" i="10"/>
  <c r="AD49" i="10"/>
  <c r="AC49" i="10"/>
  <c r="AB49" i="10"/>
  <c r="AD42" i="10"/>
  <c r="AC42" i="10"/>
  <c r="AB42" i="10"/>
  <c r="AD35" i="10"/>
  <c r="AC35" i="10"/>
  <c r="AB35" i="10"/>
  <c r="AD28" i="10"/>
  <c r="AC28" i="10"/>
  <c r="AB28" i="10"/>
  <c r="AD21" i="10"/>
  <c r="AC21" i="10"/>
  <c r="AB21" i="10"/>
  <c r="AD14" i="10"/>
  <c r="AC14" i="10"/>
  <c r="AB14" i="10"/>
  <c r="AC7" i="10"/>
  <c r="AB7" i="10"/>
  <c r="AA7" i="10"/>
  <c r="Z7" i="10"/>
  <c r="Y7" i="10"/>
  <c r="X7" i="10"/>
  <c r="W7" i="10"/>
  <c r="V7" i="10"/>
  <c r="U7" i="10"/>
  <c r="T7" i="10"/>
  <c r="S7" i="10"/>
  <c r="R7" i="10"/>
  <c r="Q7" i="10"/>
  <c r="P7" i="10"/>
  <c r="O7" i="10"/>
  <c r="N7" i="10"/>
  <c r="M7" i="10"/>
  <c r="L7" i="10"/>
  <c r="K7" i="10"/>
  <c r="J7" i="10"/>
  <c r="I7" i="10"/>
  <c r="H7" i="10"/>
  <c r="G7" i="10"/>
  <c r="F7" i="10"/>
  <c r="E7" i="10"/>
  <c r="D7" i="10"/>
  <c r="W139" i="9"/>
  <c r="V139" i="9"/>
  <c r="U139" i="9"/>
  <c r="T139" i="9"/>
  <c r="S139" i="9"/>
  <c r="R139" i="9"/>
  <c r="Q139" i="9"/>
  <c r="P139" i="9"/>
  <c r="O139" i="9"/>
  <c r="N139" i="9"/>
  <c r="M139" i="9"/>
  <c r="L139" i="9"/>
  <c r="K139" i="9"/>
  <c r="J139" i="9"/>
  <c r="I139" i="9"/>
  <c r="H139" i="9"/>
  <c r="G139" i="9"/>
  <c r="F139" i="9"/>
  <c r="E139" i="9"/>
  <c r="D139" i="9"/>
  <c r="W130" i="9"/>
  <c r="V130" i="9"/>
  <c r="U130" i="9"/>
  <c r="T130" i="9"/>
  <c r="S130" i="9"/>
  <c r="R130" i="9"/>
  <c r="Q130" i="9"/>
  <c r="P130" i="9"/>
  <c r="O130" i="9"/>
  <c r="N130" i="9"/>
  <c r="M130" i="9"/>
  <c r="L130" i="9"/>
  <c r="K130" i="9"/>
  <c r="J130" i="9"/>
  <c r="I130" i="9"/>
  <c r="H130" i="9"/>
  <c r="G130" i="9"/>
  <c r="F130" i="9"/>
  <c r="E130" i="9"/>
  <c r="D130" i="9"/>
  <c r="W129" i="9"/>
  <c r="T129" i="9"/>
  <c r="S129" i="9"/>
  <c r="R129" i="9"/>
  <c r="Q129" i="9"/>
  <c r="P129" i="9"/>
  <c r="O129" i="9"/>
  <c r="N129" i="9"/>
  <c r="M129" i="9"/>
  <c r="L129" i="9"/>
  <c r="K129" i="9"/>
  <c r="J129" i="9"/>
  <c r="I129" i="9"/>
  <c r="H129" i="9"/>
  <c r="G129" i="9"/>
  <c r="F129" i="9"/>
  <c r="E129" i="9"/>
  <c r="D129" i="9"/>
  <c r="W128" i="9"/>
  <c r="T128" i="9"/>
  <c r="S128" i="9"/>
  <c r="R128" i="9"/>
  <c r="Q128" i="9"/>
  <c r="P128" i="9"/>
  <c r="O128" i="9"/>
  <c r="N128" i="9"/>
  <c r="M128" i="9"/>
  <c r="L128" i="9"/>
  <c r="K128" i="9"/>
  <c r="J128" i="9"/>
  <c r="I128" i="9"/>
  <c r="H128" i="9"/>
  <c r="G128" i="9"/>
  <c r="F128" i="9"/>
  <c r="E128" i="9"/>
  <c r="D128" i="9"/>
  <c r="W127" i="9"/>
  <c r="T127" i="9"/>
  <c r="S127" i="9"/>
  <c r="R127" i="9"/>
  <c r="Q127" i="9"/>
  <c r="P127" i="9"/>
  <c r="O127" i="9"/>
  <c r="N127" i="9"/>
  <c r="M127" i="9"/>
  <c r="L127" i="9"/>
  <c r="K127" i="9"/>
  <c r="J127" i="9"/>
  <c r="I127" i="9"/>
  <c r="H127" i="9"/>
  <c r="G127" i="9"/>
  <c r="F127" i="9"/>
  <c r="E127" i="9"/>
  <c r="D127" i="9"/>
  <c r="W126" i="9"/>
  <c r="T126" i="9"/>
  <c r="S126" i="9"/>
  <c r="R126" i="9"/>
  <c r="Q126" i="9"/>
  <c r="P126" i="9"/>
  <c r="O126" i="9"/>
  <c r="N126" i="9"/>
  <c r="M126" i="9"/>
  <c r="L126" i="9"/>
  <c r="K126" i="9"/>
  <c r="J126" i="9"/>
  <c r="I126" i="9"/>
  <c r="H126" i="9"/>
  <c r="G126" i="9"/>
  <c r="F126" i="9"/>
  <c r="E126" i="9"/>
  <c r="D126" i="9"/>
  <c r="W125" i="9"/>
  <c r="T125" i="9"/>
  <c r="S125" i="9"/>
  <c r="R125" i="9"/>
  <c r="Q125" i="9"/>
  <c r="P125" i="9"/>
  <c r="O125" i="9"/>
  <c r="N125" i="9"/>
  <c r="M125" i="9"/>
  <c r="L125" i="9"/>
  <c r="K125" i="9"/>
  <c r="J125" i="9"/>
  <c r="I125" i="9"/>
  <c r="H125" i="9"/>
  <c r="G125" i="9"/>
  <c r="F125" i="9"/>
  <c r="E125" i="9"/>
  <c r="D125" i="9"/>
  <c r="W124" i="9"/>
  <c r="T124" i="9"/>
  <c r="S124" i="9"/>
  <c r="R124" i="9"/>
  <c r="Q124" i="9"/>
  <c r="P124" i="9"/>
  <c r="O124" i="9"/>
  <c r="N124" i="9"/>
  <c r="M124" i="9"/>
  <c r="L124" i="9"/>
  <c r="K124" i="9"/>
  <c r="J124" i="9"/>
  <c r="I124" i="9"/>
  <c r="H124" i="9"/>
  <c r="G124" i="9"/>
  <c r="F124" i="9"/>
  <c r="E124" i="9"/>
  <c r="D124" i="9"/>
  <c r="W121" i="9"/>
  <c r="V121" i="9"/>
  <c r="U121" i="9"/>
  <c r="T121" i="9"/>
  <c r="S121" i="9"/>
  <c r="R121" i="9"/>
  <c r="Q121" i="9"/>
  <c r="P121" i="9"/>
  <c r="O121" i="9"/>
  <c r="N121" i="9"/>
  <c r="M121" i="9"/>
  <c r="L121" i="9"/>
  <c r="K121" i="9"/>
  <c r="J121" i="9"/>
  <c r="I121" i="9"/>
  <c r="H121" i="9"/>
  <c r="G121" i="9"/>
  <c r="F121" i="9"/>
  <c r="E121" i="9"/>
  <c r="D121" i="9"/>
  <c r="W120" i="9"/>
  <c r="T120" i="9"/>
  <c r="S120" i="9"/>
  <c r="R120" i="9"/>
  <c r="Q120" i="9"/>
  <c r="P120" i="9"/>
  <c r="O120" i="9"/>
  <c r="N120" i="9"/>
  <c r="M120" i="9"/>
  <c r="L120" i="9"/>
  <c r="K120" i="9"/>
  <c r="J120" i="9"/>
  <c r="I120" i="9"/>
  <c r="H120" i="9"/>
  <c r="G120" i="9"/>
  <c r="F120" i="9"/>
  <c r="E120" i="9"/>
  <c r="D120" i="9"/>
  <c r="W119" i="9"/>
  <c r="T119" i="9"/>
  <c r="S119" i="9"/>
  <c r="R119" i="9"/>
  <c r="Q119" i="9"/>
  <c r="P119" i="9"/>
  <c r="O119" i="9"/>
  <c r="N119" i="9"/>
  <c r="M119" i="9"/>
  <c r="L119" i="9"/>
  <c r="K119" i="9"/>
  <c r="J119" i="9"/>
  <c r="I119" i="9"/>
  <c r="H119" i="9"/>
  <c r="G119" i="9"/>
  <c r="F119" i="9"/>
  <c r="E119" i="9"/>
  <c r="D119" i="9"/>
  <c r="W118" i="9"/>
  <c r="T118" i="9"/>
  <c r="S118" i="9"/>
  <c r="R118" i="9"/>
  <c r="Q118" i="9"/>
  <c r="P118" i="9"/>
  <c r="O118" i="9"/>
  <c r="N118" i="9"/>
  <c r="M118" i="9"/>
  <c r="L118" i="9"/>
  <c r="K118" i="9"/>
  <c r="J118" i="9"/>
  <c r="I118" i="9"/>
  <c r="H118" i="9"/>
  <c r="G118" i="9"/>
  <c r="F118" i="9"/>
  <c r="E118" i="9"/>
  <c r="D118" i="9"/>
  <c r="W114" i="9"/>
  <c r="V114" i="9"/>
  <c r="U114" i="9"/>
  <c r="S114" i="9"/>
  <c r="R114" i="9"/>
  <c r="W113" i="9"/>
  <c r="V113" i="9"/>
  <c r="U113" i="9"/>
  <c r="S113" i="9"/>
  <c r="R113" i="9"/>
  <c r="Q113" i="9"/>
  <c r="W106" i="9"/>
  <c r="V106" i="9"/>
  <c r="U106" i="9"/>
  <c r="S106" i="9"/>
  <c r="R106" i="9"/>
  <c r="W103" i="9"/>
  <c r="V103" i="9"/>
  <c r="U103" i="9"/>
  <c r="S103" i="9"/>
  <c r="R103" i="9"/>
  <c r="Q103" i="9"/>
  <c r="W96" i="9"/>
  <c r="V96" i="9"/>
  <c r="U96" i="9"/>
  <c r="S96" i="9"/>
  <c r="R96" i="9"/>
  <c r="W95" i="9"/>
  <c r="V95" i="9"/>
  <c r="U95" i="9"/>
  <c r="S95" i="9"/>
  <c r="R95" i="9"/>
  <c r="Q95" i="9"/>
  <c r="W88" i="9"/>
  <c r="V88" i="9"/>
  <c r="U88" i="9"/>
  <c r="S88" i="9"/>
  <c r="R88" i="9"/>
  <c r="V85" i="9"/>
  <c r="U85" i="9"/>
  <c r="S85" i="9"/>
  <c r="R85" i="9"/>
  <c r="Q85" i="9"/>
  <c r="W78" i="9"/>
  <c r="V78" i="9"/>
  <c r="U78" i="9"/>
  <c r="S78" i="9"/>
  <c r="R78" i="9"/>
  <c r="W77" i="9"/>
  <c r="V77" i="9"/>
  <c r="U77" i="9"/>
  <c r="S77" i="9"/>
  <c r="R77" i="9"/>
  <c r="Q77" i="9"/>
  <c r="W70" i="9"/>
  <c r="V70" i="9"/>
  <c r="U70" i="9"/>
  <c r="S70" i="9"/>
  <c r="R70" i="9"/>
  <c r="W67" i="9"/>
  <c r="V67" i="9"/>
  <c r="U67" i="9"/>
  <c r="S67" i="9"/>
  <c r="R67" i="9"/>
  <c r="Q67" i="9"/>
  <c r="W60" i="9"/>
  <c r="V60" i="9"/>
  <c r="U60" i="9"/>
  <c r="S60" i="9"/>
  <c r="R60" i="9"/>
  <c r="W59" i="9"/>
  <c r="V59" i="9"/>
  <c r="U59" i="9"/>
  <c r="S59" i="9"/>
  <c r="R59" i="9"/>
  <c r="Q59" i="9"/>
  <c r="W52" i="9"/>
  <c r="V52" i="9"/>
  <c r="U52" i="9"/>
  <c r="S52" i="9"/>
  <c r="R52" i="9"/>
  <c r="W49" i="9"/>
  <c r="V49" i="9"/>
  <c r="U49" i="9"/>
  <c r="S49" i="9"/>
  <c r="R49" i="9"/>
  <c r="Q49" i="9"/>
  <c r="W42" i="9"/>
  <c r="V42" i="9"/>
  <c r="U42" i="9"/>
  <c r="S42" i="9"/>
  <c r="R42" i="9"/>
  <c r="W41" i="9"/>
  <c r="V41" i="9"/>
  <c r="U41" i="9"/>
  <c r="S41" i="9"/>
  <c r="R41" i="9"/>
  <c r="Q41" i="9"/>
  <c r="W34" i="9"/>
  <c r="V34" i="9"/>
  <c r="U34" i="9"/>
  <c r="S34" i="9"/>
  <c r="R34" i="9"/>
  <c r="W31" i="9"/>
  <c r="V31" i="9"/>
  <c r="U31" i="9"/>
  <c r="S31" i="9"/>
  <c r="R31" i="9"/>
  <c r="Q31" i="9"/>
  <c r="W24" i="9"/>
  <c r="V24" i="9"/>
  <c r="U24" i="9"/>
  <c r="S24" i="9"/>
  <c r="R24" i="9"/>
  <c r="W23" i="9"/>
  <c r="V23" i="9"/>
  <c r="U23" i="9"/>
  <c r="S23" i="9"/>
  <c r="R23" i="9"/>
  <c r="Q23" i="9"/>
  <c r="W16" i="9"/>
  <c r="V16" i="9"/>
  <c r="U16" i="9"/>
  <c r="S16" i="9"/>
  <c r="R16" i="9"/>
  <c r="W13" i="9"/>
  <c r="V13" i="9"/>
  <c r="U13" i="9"/>
  <c r="S13" i="9"/>
  <c r="R13" i="9"/>
  <c r="Q13" i="9"/>
  <c r="W139" i="8"/>
  <c r="V139" i="8"/>
  <c r="U139" i="8"/>
  <c r="T139" i="8"/>
  <c r="S139" i="8"/>
  <c r="R139" i="8"/>
  <c r="Q139" i="8"/>
  <c r="P139" i="8"/>
  <c r="O139" i="8"/>
  <c r="N139" i="8"/>
  <c r="M139" i="8"/>
  <c r="L139" i="8"/>
  <c r="K139" i="8"/>
  <c r="J139" i="8"/>
  <c r="I139" i="8"/>
  <c r="H139" i="8"/>
  <c r="G139" i="8"/>
  <c r="F139" i="8"/>
  <c r="E139" i="8"/>
  <c r="D139" i="8"/>
  <c r="W130" i="8"/>
  <c r="V130" i="8"/>
  <c r="U130" i="8"/>
  <c r="T130" i="8"/>
  <c r="S130" i="8"/>
  <c r="R130" i="8"/>
  <c r="Q130" i="8"/>
  <c r="P130" i="8"/>
  <c r="O130" i="8"/>
  <c r="N130" i="8"/>
  <c r="M130" i="8"/>
  <c r="L130" i="8"/>
  <c r="K130" i="8"/>
  <c r="J130" i="8"/>
  <c r="I130" i="8"/>
  <c r="H130" i="8"/>
  <c r="G130" i="8"/>
  <c r="F130" i="8"/>
  <c r="E130" i="8"/>
  <c r="D130" i="8"/>
  <c r="W129" i="8"/>
  <c r="U129" i="8"/>
  <c r="T129" i="8"/>
  <c r="S129" i="8"/>
  <c r="R129" i="8"/>
  <c r="Q129" i="8"/>
  <c r="P129" i="8"/>
  <c r="O129" i="8"/>
  <c r="N129" i="8"/>
  <c r="M129" i="8"/>
  <c r="L129" i="8"/>
  <c r="K129" i="8"/>
  <c r="J129" i="8"/>
  <c r="I129" i="8"/>
  <c r="H129" i="8"/>
  <c r="G129" i="8"/>
  <c r="F129" i="8"/>
  <c r="E129" i="8"/>
  <c r="D129" i="8"/>
  <c r="W128" i="8"/>
  <c r="U128" i="8"/>
  <c r="T128" i="8"/>
  <c r="S128" i="8"/>
  <c r="R128" i="8"/>
  <c r="Q128" i="8"/>
  <c r="P128" i="8"/>
  <c r="O128" i="8"/>
  <c r="N128" i="8"/>
  <c r="M128" i="8"/>
  <c r="L128" i="8"/>
  <c r="K128" i="8"/>
  <c r="J128" i="8"/>
  <c r="I128" i="8"/>
  <c r="H128" i="8"/>
  <c r="G128" i="8"/>
  <c r="F128" i="8"/>
  <c r="E128" i="8"/>
  <c r="D128" i="8"/>
  <c r="W127" i="8"/>
  <c r="U127" i="8"/>
  <c r="T127" i="8"/>
  <c r="S127" i="8"/>
  <c r="R127" i="8"/>
  <c r="Q127" i="8"/>
  <c r="P127" i="8"/>
  <c r="O127" i="8"/>
  <c r="N127" i="8"/>
  <c r="M127" i="8"/>
  <c r="L127" i="8"/>
  <c r="K127" i="8"/>
  <c r="J127" i="8"/>
  <c r="I127" i="8"/>
  <c r="H127" i="8"/>
  <c r="G127" i="8"/>
  <c r="F127" i="8"/>
  <c r="E127" i="8"/>
  <c r="D127" i="8"/>
  <c r="W126" i="8"/>
  <c r="U126" i="8"/>
  <c r="T126" i="8"/>
  <c r="S126" i="8"/>
  <c r="R126" i="8"/>
  <c r="Q126" i="8"/>
  <c r="P126" i="8"/>
  <c r="O126" i="8"/>
  <c r="N126" i="8"/>
  <c r="M126" i="8"/>
  <c r="L126" i="8"/>
  <c r="K126" i="8"/>
  <c r="J126" i="8"/>
  <c r="I126" i="8"/>
  <c r="H126" i="8"/>
  <c r="G126" i="8"/>
  <c r="F126" i="8"/>
  <c r="E126" i="8"/>
  <c r="D126" i="8"/>
  <c r="W125" i="8"/>
  <c r="U125" i="8"/>
  <c r="T125" i="8"/>
  <c r="S125" i="8"/>
  <c r="R125" i="8"/>
  <c r="Q125" i="8"/>
  <c r="P125" i="8"/>
  <c r="O125" i="8"/>
  <c r="N125" i="8"/>
  <c r="M125" i="8"/>
  <c r="L125" i="8"/>
  <c r="K125" i="8"/>
  <c r="J125" i="8"/>
  <c r="I125" i="8"/>
  <c r="H125" i="8"/>
  <c r="G125" i="8"/>
  <c r="F125" i="8"/>
  <c r="E125" i="8"/>
  <c r="D125" i="8"/>
  <c r="W124" i="8"/>
  <c r="U124" i="8"/>
  <c r="T124" i="8"/>
  <c r="S124" i="8"/>
  <c r="R124" i="8"/>
  <c r="Q124" i="8"/>
  <c r="P124" i="8"/>
  <c r="O124" i="8"/>
  <c r="N124" i="8"/>
  <c r="M124" i="8"/>
  <c r="L124" i="8"/>
  <c r="K124" i="8"/>
  <c r="J124" i="8"/>
  <c r="I124" i="8"/>
  <c r="H124" i="8"/>
  <c r="G124" i="8"/>
  <c r="F124" i="8"/>
  <c r="E124" i="8"/>
  <c r="D124" i="8"/>
  <c r="W121" i="8"/>
  <c r="V121" i="8"/>
  <c r="U121" i="8"/>
  <c r="T121" i="8"/>
  <c r="S121" i="8"/>
  <c r="R121" i="8"/>
  <c r="Q121" i="8"/>
  <c r="P121" i="8"/>
  <c r="O121" i="8"/>
  <c r="N121" i="8"/>
  <c r="M121" i="8"/>
  <c r="L121" i="8"/>
  <c r="K121" i="8"/>
  <c r="J121" i="8"/>
  <c r="I121" i="8"/>
  <c r="H121" i="8"/>
  <c r="G121" i="8"/>
  <c r="F121" i="8"/>
  <c r="E121" i="8"/>
  <c r="D121" i="8"/>
  <c r="W120" i="8"/>
  <c r="U120" i="8"/>
  <c r="T120" i="8"/>
  <c r="S120" i="8"/>
  <c r="R120" i="8"/>
  <c r="Q120" i="8"/>
  <c r="P120" i="8"/>
  <c r="O120" i="8"/>
  <c r="N120" i="8"/>
  <c r="M120" i="8"/>
  <c r="L120" i="8"/>
  <c r="K120" i="8"/>
  <c r="J120" i="8"/>
  <c r="I120" i="8"/>
  <c r="H120" i="8"/>
  <c r="G120" i="8"/>
  <c r="F120" i="8"/>
  <c r="E120" i="8"/>
  <c r="D120" i="8"/>
  <c r="W119" i="8"/>
  <c r="U119" i="8"/>
  <c r="T119" i="8"/>
  <c r="S119" i="8"/>
  <c r="R119" i="8"/>
  <c r="Q119" i="8"/>
  <c r="P119" i="8"/>
  <c r="O119" i="8"/>
  <c r="N119" i="8"/>
  <c r="M119" i="8"/>
  <c r="L119" i="8"/>
  <c r="K119" i="8"/>
  <c r="J119" i="8"/>
  <c r="I119" i="8"/>
  <c r="H119" i="8"/>
  <c r="G119" i="8"/>
  <c r="F119" i="8"/>
  <c r="E119" i="8"/>
  <c r="D119" i="8"/>
  <c r="W118" i="8"/>
  <c r="T118" i="8"/>
  <c r="S118" i="8"/>
  <c r="R118" i="8"/>
  <c r="Q118" i="8"/>
  <c r="P118" i="8"/>
  <c r="O118" i="8"/>
  <c r="N118" i="8"/>
  <c r="M118" i="8"/>
  <c r="L118" i="8"/>
  <c r="K118" i="8"/>
  <c r="J118" i="8"/>
  <c r="I118" i="8"/>
  <c r="H118" i="8"/>
  <c r="G118" i="8"/>
  <c r="F118" i="8"/>
  <c r="E118" i="8"/>
  <c r="D118" i="8"/>
  <c r="W114" i="8"/>
  <c r="V114" i="8"/>
  <c r="U114" i="8"/>
  <c r="W113" i="8"/>
  <c r="V113" i="8"/>
  <c r="W106" i="8"/>
  <c r="V106" i="8"/>
  <c r="W103" i="8"/>
  <c r="V103" i="8"/>
  <c r="U103" i="8"/>
  <c r="W96" i="8"/>
  <c r="V96" i="8"/>
  <c r="W95" i="8"/>
  <c r="V95" i="8"/>
  <c r="W88" i="8"/>
  <c r="V88" i="8"/>
  <c r="U88" i="8"/>
  <c r="W85" i="8"/>
  <c r="V85" i="8"/>
  <c r="U85" i="8"/>
  <c r="W78" i="8"/>
  <c r="V78" i="8"/>
  <c r="W77" i="8"/>
  <c r="V77" i="8"/>
  <c r="W70" i="8"/>
  <c r="V70" i="8"/>
  <c r="U70" i="8"/>
  <c r="W67" i="8"/>
  <c r="V67" i="8"/>
  <c r="W60" i="8"/>
  <c r="V60" i="8"/>
  <c r="W59" i="8"/>
  <c r="V59" i="8"/>
  <c r="W52" i="8"/>
  <c r="V52" i="8"/>
  <c r="U52" i="8"/>
  <c r="W49" i="8"/>
  <c r="V49" i="8"/>
  <c r="U49" i="8"/>
  <c r="W42" i="8"/>
  <c r="V42" i="8"/>
  <c r="W41" i="8"/>
  <c r="V41" i="8"/>
  <c r="W34" i="8"/>
  <c r="V34" i="8"/>
  <c r="U34" i="8"/>
  <c r="W31" i="8"/>
  <c r="V31" i="8"/>
  <c r="U31" i="8"/>
  <c r="W24" i="8"/>
  <c r="V24" i="8"/>
  <c r="W23" i="8"/>
  <c r="V23" i="8"/>
  <c r="W16" i="8"/>
  <c r="V16" i="8"/>
  <c r="U16" i="8"/>
  <c r="W13" i="8"/>
  <c r="V13" i="8"/>
  <c r="U13" i="8"/>
  <c r="U12" i="7"/>
  <c r="T12" i="7"/>
  <c r="S12" i="7"/>
  <c r="AB68" i="6"/>
  <c r="X68" i="6"/>
  <c r="W68" i="6"/>
  <c r="V68" i="6"/>
  <c r="U68" i="6"/>
  <c r="T68" i="6"/>
  <c r="S68" i="6"/>
  <c r="R68" i="6"/>
  <c r="Q68" i="6"/>
  <c r="P68" i="6"/>
  <c r="O68" i="6"/>
  <c r="N68" i="6"/>
  <c r="M68" i="6"/>
  <c r="AB67" i="6"/>
  <c r="X67" i="6"/>
  <c r="W67" i="6"/>
  <c r="V67" i="6"/>
  <c r="U67" i="6"/>
  <c r="T67" i="6"/>
  <c r="S67" i="6"/>
  <c r="R67" i="6"/>
  <c r="Q67" i="6"/>
  <c r="P67" i="6"/>
  <c r="O67" i="6"/>
  <c r="N67" i="6"/>
  <c r="M67" i="6"/>
  <c r="AB66" i="6"/>
  <c r="X66" i="6"/>
  <c r="W66" i="6"/>
  <c r="V66" i="6"/>
  <c r="U66" i="6"/>
  <c r="T66" i="6"/>
  <c r="S66" i="6"/>
  <c r="R66" i="6"/>
  <c r="Q66" i="6"/>
  <c r="P66" i="6"/>
  <c r="O66" i="6"/>
  <c r="N66" i="6"/>
  <c r="M66" i="6"/>
  <c r="AB65" i="6"/>
  <c r="X65" i="6"/>
  <c r="W65" i="6"/>
  <c r="V65" i="6"/>
  <c r="U65" i="6"/>
  <c r="T65" i="6"/>
  <c r="S65" i="6"/>
  <c r="R65" i="6"/>
  <c r="Q65" i="6"/>
  <c r="P65" i="6"/>
  <c r="O65" i="6"/>
  <c r="N65" i="6"/>
  <c r="M65" i="6"/>
  <c r="AB64" i="6"/>
  <c r="X64" i="6"/>
  <c r="W64" i="6"/>
  <c r="V64" i="6"/>
  <c r="U64" i="6"/>
  <c r="T64" i="6"/>
  <c r="S64" i="6"/>
  <c r="R64" i="6"/>
  <c r="Q64" i="6"/>
  <c r="P64" i="6"/>
  <c r="O64" i="6"/>
  <c r="N64" i="6"/>
  <c r="M64" i="6"/>
  <c r="AB63" i="6"/>
  <c r="X63" i="6"/>
  <c r="W63" i="6"/>
  <c r="V63" i="6"/>
  <c r="U63" i="6"/>
  <c r="T63" i="6"/>
  <c r="S63" i="6"/>
  <c r="R63" i="6"/>
  <c r="Q63" i="6"/>
  <c r="P63" i="6"/>
  <c r="O63" i="6"/>
  <c r="N63" i="6"/>
  <c r="M63" i="6"/>
  <c r="AB60" i="6"/>
  <c r="AA60" i="6"/>
  <c r="Z60" i="6"/>
  <c r="X60" i="6"/>
  <c r="W60" i="6"/>
  <c r="V60" i="6"/>
  <c r="U60" i="6"/>
  <c r="T60" i="6"/>
  <c r="S60" i="6"/>
  <c r="R60" i="6"/>
  <c r="Q60" i="6"/>
  <c r="P60" i="6"/>
  <c r="O60" i="6"/>
  <c r="N60" i="6"/>
  <c r="M60" i="6"/>
  <c r="AB49" i="6"/>
  <c r="AA49" i="6"/>
  <c r="Z49" i="6"/>
  <c r="X49" i="6"/>
  <c r="W49" i="6"/>
  <c r="V49" i="6"/>
  <c r="U49" i="6"/>
  <c r="T49" i="6"/>
  <c r="S49" i="6"/>
  <c r="R49" i="6"/>
  <c r="Q49" i="6"/>
  <c r="P49" i="6"/>
  <c r="O49" i="6"/>
  <c r="N49" i="6"/>
  <c r="M49" i="6"/>
  <c r="L49" i="6"/>
  <c r="K49" i="6"/>
  <c r="J49" i="6"/>
  <c r="I49" i="6"/>
  <c r="H49" i="6"/>
  <c r="G49" i="6"/>
  <c r="F49" i="6"/>
  <c r="E49" i="6"/>
  <c r="D49" i="6"/>
  <c r="C49" i="6"/>
  <c r="L48" i="6"/>
  <c r="K48" i="6"/>
  <c r="J48" i="6"/>
  <c r="I48" i="6"/>
  <c r="H48" i="6"/>
  <c r="G48" i="6"/>
  <c r="F48" i="6"/>
  <c r="E48" i="6"/>
  <c r="D48" i="6"/>
  <c r="C48" i="6"/>
  <c r="L47" i="6"/>
  <c r="K47" i="6"/>
  <c r="J47" i="6"/>
  <c r="I47" i="6"/>
  <c r="H47" i="6"/>
  <c r="G47" i="6"/>
  <c r="F47" i="6"/>
  <c r="E47" i="6"/>
  <c r="D47" i="6"/>
  <c r="C47" i="6"/>
  <c r="L45" i="6"/>
  <c r="K45" i="6"/>
  <c r="J45" i="6"/>
  <c r="L44" i="6"/>
  <c r="K44" i="6"/>
  <c r="J44" i="6"/>
  <c r="I44" i="6"/>
  <c r="H44" i="6"/>
  <c r="G44" i="6"/>
  <c r="F44" i="6"/>
  <c r="E44" i="6"/>
  <c r="D44" i="6"/>
  <c r="C44" i="6"/>
  <c r="L43" i="6"/>
  <c r="K43" i="6"/>
  <c r="J43" i="6"/>
  <c r="I43" i="6"/>
  <c r="H43" i="6"/>
  <c r="G43" i="6"/>
  <c r="F43" i="6"/>
  <c r="E43" i="6"/>
  <c r="D43" i="6"/>
  <c r="C43" i="6"/>
  <c r="AB39" i="6"/>
  <c r="X39" i="6"/>
  <c r="W39" i="6"/>
  <c r="V39" i="6"/>
  <c r="U39" i="6"/>
  <c r="T39" i="6"/>
  <c r="S39" i="6"/>
  <c r="R39" i="6"/>
  <c r="Q39" i="6"/>
  <c r="P39" i="6"/>
  <c r="O39" i="6"/>
  <c r="N39" i="6"/>
  <c r="M39" i="6"/>
  <c r="L39" i="6"/>
  <c r="K39" i="6"/>
  <c r="J39" i="6"/>
  <c r="I39" i="6"/>
  <c r="H39" i="6"/>
  <c r="G39" i="6"/>
  <c r="F39" i="6"/>
  <c r="E39" i="6"/>
  <c r="D39" i="6"/>
  <c r="C39" i="6"/>
  <c r="AB38" i="6"/>
  <c r="AA38" i="6"/>
  <c r="Z38" i="6"/>
  <c r="X38" i="6"/>
  <c r="W38" i="6"/>
  <c r="V38" i="6"/>
  <c r="U38" i="6"/>
  <c r="T38" i="6"/>
  <c r="S38" i="6"/>
  <c r="R38" i="6"/>
  <c r="Q38" i="6"/>
  <c r="P38" i="6"/>
  <c r="O38" i="6"/>
  <c r="N38" i="6"/>
  <c r="M38" i="6"/>
  <c r="L38" i="6"/>
  <c r="K38" i="6"/>
  <c r="J38" i="6"/>
  <c r="I38" i="6"/>
  <c r="H38" i="6"/>
  <c r="G38" i="6"/>
  <c r="F38" i="6"/>
  <c r="E38" i="6"/>
  <c r="D38" i="6"/>
  <c r="C38" i="6"/>
  <c r="AB37" i="6"/>
  <c r="X37" i="6"/>
  <c r="W37" i="6"/>
  <c r="V37" i="6"/>
  <c r="U37" i="6"/>
  <c r="T37" i="6"/>
  <c r="S37" i="6"/>
  <c r="R37" i="6"/>
  <c r="Q37" i="6"/>
  <c r="P37" i="6"/>
  <c r="O37" i="6"/>
  <c r="N37" i="6"/>
  <c r="M37" i="6"/>
  <c r="L37" i="6"/>
  <c r="K37" i="6"/>
  <c r="J37" i="6"/>
  <c r="I37" i="6"/>
  <c r="H37" i="6"/>
  <c r="G37" i="6"/>
  <c r="F37" i="6"/>
  <c r="E37" i="6"/>
  <c r="D37" i="6"/>
  <c r="C37" i="6"/>
  <c r="AB36" i="6"/>
  <c r="X36" i="6"/>
  <c r="W36" i="6"/>
  <c r="V36" i="6"/>
  <c r="U36" i="6"/>
  <c r="T36" i="6"/>
  <c r="S36" i="6"/>
  <c r="R36" i="6"/>
  <c r="Q36" i="6"/>
  <c r="P36" i="6"/>
  <c r="O36" i="6"/>
  <c r="N36" i="6"/>
  <c r="M36" i="6"/>
  <c r="L36" i="6"/>
  <c r="K36" i="6"/>
  <c r="J36" i="6"/>
  <c r="I36" i="6"/>
  <c r="H36" i="6"/>
  <c r="G36" i="6"/>
  <c r="F36" i="6"/>
  <c r="E36" i="6"/>
  <c r="D36" i="6"/>
  <c r="C36" i="6"/>
  <c r="AB35" i="6"/>
  <c r="X35" i="6"/>
  <c r="W35" i="6"/>
  <c r="V35" i="6"/>
  <c r="U35" i="6"/>
  <c r="T35" i="6"/>
  <c r="S35" i="6"/>
  <c r="R35" i="6"/>
  <c r="Q35" i="6"/>
  <c r="P35" i="6"/>
  <c r="O35" i="6"/>
  <c r="N35" i="6"/>
  <c r="M35" i="6"/>
  <c r="L35" i="6"/>
  <c r="K35" i="6"/>
  <c r="J35" i="6"/>
  <c r="I35" i="6"/>
  <c r="H35" i="6"/>
  <c r="G35" i="6"/>
  <c r="F35" i="6"/>
  <c r="E35" i="6"/>
  <c r="D35" i="6"/>
  <c r="C35" i="6"/>
  <c r="AB31" i="6"/>
  <c r="AA31" i="6"/>
  <c r="Z31" i="6"/>
  <c r="X31" i="6"/>
  <c r="W31" i="6"/>
  <c r="V31" i="6"/>
  <c r="U31" i="6"/>
  <c r="T31" i="6"/>
  <c r="S31" i="6"/>
  <c r="R31" i="6"/>
  <c r="Q31" i="6"/>
  <c r="P31" i="6"/>
  <c r="O31" i="6"/>
  <c r="N31" i="6"/>
  <c r="M31" i="6"/>
  <c r="L31" i="6"/>
  <c r="K31" i="6"/>
  <c r="J31" i="6"/>
  <c r="I31" i="6"/>
  <c r="H31" i="6"/>
  <c r="G31" i="6"/>
  <c r="F31" i="6"/>
  <c r="E31" i="6"/>
  <c r="D31" i="6"/>
  <c r="C31" i="6"/>
  <c r="AB27" i="6"/>
  <c r="AA27" i="6"/>
  <c r="Z27" i="6"/>
  <c r="X27" i="6"/>
  <c r="W27" i="6"/>
  <c r="V27" i="6"/>
  <c r="U27" i="6"/>
  <c r="T27" i="6"/>
  <c r="S27" i="6"/>
  <c r="R27" i="6"/>
  <c r="Q27" i="6"/>
  <c r="P27" i="6"/>
  <c r="O27" i="6"/>
  <c r="N27" i="6"/>
  <c r="M27" i="6"/>
  <c r="L27" i="6"/>
  <c r="K27" i="6"/>
  <c r="J27" i="6"/>
  <c r="I27" i="6"/>
  <c r="H27" i="6"/>
  <c r="G27" i="6"/>
  <c r="F27" i="6"/>
  <c r="E27" i="6"/>
  <c r="D27" i="6"/>
  <c r="C27" i="6"/>
  <c r="AB23" i="6"/>
  <c r="AA23" i="6"/>
  <c r="Z23" i="6"/>
  <c r="X23" i="6"/>
  <c r="W23" i="6"/>
  <c r="V23" i="6"/>
  <c r="U23" i="6"/>
  <c r="T23" i="6"/>
  <c r="S23" i="6"/>
  <c r="R23" i="6"/>
  <c r="Q23" i="6"/>
  <c r="P23" i="6"/>
  <c r="O23" i="6"/>
  <c r="N23" i="6"/>
  <c r="M23" i="6"/>
  <c r="AB19" i="6"/>
  <c r="AA19" i="6"/>
  <c r="Z19" i="6"/>
  <c r="X19" i="6"/>
  <c r="W19" i="6"/>
  <c r="V19" i="6"/>
  <c r="U19" i="6"/>
  <c r="T19" i="6"/>
  <c r="S19" i="6"/>
  <c r="R19" i="6"/>
  <c r="Q19" i="6"/>
  <c r="P19" i="6"/>
  <c r="O19" i="6"/>
  <c r="N19" i="6"/>
  <c r="M19" i="6"/>
  <c r="L19" i="6"/>
  <c r="K19" i="6"/>
  <c r="J19" i="6"/>
  <c r="AB15" i="6"/>
  <c r="AA15" i="6"/>
  <c r="Z15" i="6"/>
  <c r="X15" i="6"/>
  <c r="W15" i="6"/>
  <c r="V15" i="6"/>
  <c r="U15" i="6"/>
  <c r="T15" i="6"/>
  <c r="S15" i="6"/>
  <c r="R15" i="6"/>
  <c r="Q15" i="6"/>
  <c r="P15" i="6"/>
  <c r="O15" i="6"/>
  <c r="N15" i="6"/>
  <c r="M15" i="6"/>
  <c r="L15" i="6"/>
  <c r="K15" i="6"/>
  <c r="J15" i="6"/>
  <c r="I15" i="6"/>
  <c r="H15" i="6"/>
  <c r="G15" i="6"/>
  <c r="F15" i="6"/>
  <c r="E15" i="6"/>
  <c r="D15" i="6"/>
  <c r="C15" i="6"/>
  <c r="AB11" i="6"/>
  <c r="AA11" i="6"/>
  <c r="Z11" i="6"/>
  <c r="X11" i="6"/>
  <c r="W11" i="6"/>
  <c r="V11" i="6"/>
  <c r="U11" i="6"/>
  <c r="T11" i="6"/>
  <c r="S11" i="6"/>
  <c r="R11" i="6"/>
  <c r="Q11" i="6"/>
  <c r="P11" i="6"/>
  <c r="O11" i="6"/>
  <c r="N11" i="6"/>
  <c r="M11" i="6"/>
  <c r="L11" i="6"/>
  <c r="K11" i="6"/>
  <c r="J11" i="6"/>
  <c r="I11" i="6"/>
  <c r="H11" i="6"/>
  <c r="G11" i="6"/>
  <c r="F11" i="6"/>
  <c r="E11" i="6"/>
  <c r="D11" i="6"/>
  <c r="C11" i="6"/>
  <c r="AJ51" i="5"/>
  <c r="AJ46" i="5"/>
  <c r="AJ40" i="5"/>
  <c r="AJ34" i="5"/>
  <c r="AJ27" i="5"/>
  <c r="AJ21" i="5"/>
  <c r="AL36" i="4"/>
  <c r="AK36" i="4"/>
  <c r="AJ36" i="4"/>
  <c r="AK22" i="4"/>
  <c r="AJ22" i="4"/>
  <c r="AL16" i="4"/>
  <c r="AK16" i="4"/>
  <c r="AJ16" i="4"/>
  <c r="AL10" i="4"/>
  <c r="AK10" i="4"/>
  <c r="AJ10" i="4"/>
  <c r="AL8" i="4"/>
  <c r="AK8" i="4"/>
  <c r="AJ8" i="4"/>
  <c r="AP43" i="3"/>
  <c r="AO43" i="3"/>
  <c r="AR40" i="3"/>
  <c r="AR39" i="3"/>
  <c r="AR38" i="3"/>
  <c r="AR37" i="3"/>
  <c r="AR36" i="3"/>
  <c r="AR43" i="3" s="1"/>
  <c r="AP35" i="3"/>
  <c r="AO35" i="3"/>
  <c r="AR34" i="3"/>
  <c r="AR33" i="3"/>
  <c r="AR32" i="3"/>
  <c r="AR31" i="3"/>
  <c r="AR30" i="3"/>
  <c r="AP30" i="3"/>
  <c r="AO30" i="3"/>
  <c r="AP24" i="3"/>
  <c r="AO24" i="3"/>
  <c r="AR23" i="3"/>
  <c r="AR22" i="3"/>
  <c r="AR21" i="3"/>
  <c r="AR20" i="3"/>
  <c r="AR19" i="3"/>
  <c r="AR18" i="3"/>
  <c r="AR17" i="3"/>
  <c r="AR16" i="3"/>
  <c r="AP15" i="3"/>
  <c r="AO15" i="3"/>
  <c r="AM15" i="3"/>
  <c r="B100" i="27"/>
  <c r="B77" i="27"/>
  <c r="B58" i="27"/>
  <c r="M46" i="27"/>
  <c r="L46" i="27"/>
  <c r="K46" i="27"/>
  <c r="J46" i="27"/>
  <c r="I46" i="27"/>
  <c r="H46" i="27"/>
  <c r="G46" i="27"/>
  <c r="F46" i="27"/>
  <c r="E46" i="27"/>
  <c r="D46" i="27"/>
  <c r="C46" i="27"/>
  <c r="B46" i="27"/>
  <c r="M45" i="27"/>
  <c r="L45" i="27"/>
  <c r="K45" i="27"/>
  <c r="J45" i="27"/>
  <c r="I45" i="27"/>
  <c r="H45" i="27"/>
  <c r="G45" i="27"/>
  <c r="F45" i="27"/>
  <c r="E45" i="27"/>
  <c r="D45" i="27"/>
  <c r="C45" i="27"/>
  <c r="B45" i="27"/>
  <c r="M44" i="27"/>
  <c r="L44" i="27"/>
  <c r="K44" i="27"/>
  <c r="J44" i="27"/>
  <c r="I44" i="27"/>
  <c r="H44" i="27"/>
  <c r="G44" i="27"/>
  <c r="F44" i="27"/>
  <c r="E44" i="27"/>
  <c r="D44" i="27"/>
  <c r="C44" i="27"/>
  <c r="B44" i="27"/>
  <c r="M43" i="27"/>
  <c r="L43" i="27"/>
  <c r="K43" i="27"/>
  <c r="J43" i="27"/>
  <c r="I43" i="27"/>
  <c r="H43" i="27"/>
  <c r="G43" i="27"/>
  <c r="F43" i="27"/>
  <c r="E43" i="27"/>
  <c r="D43" i="27"/>
  <c r="C43" i="27"/>
  <c r="B43" i="27"/>
  <c r="M42" i="27"/>
  <c r="L42" i="27"/>
  <c r="K42" i="27"/>
  <c r="J42" i="27"/>
  <c r="I42" i="27"/>
  <c r="H42" i="27"/>
  <c r="G42" i="27"/>
  <c r="F42" i="27"/>
  <c r="E42" i="27"/>
  <c r="D42" i="27"/>
  <c r="C42" i="27"/>
  <c r="B42" i="27"/>
  <c r="M39" i="27"/>
  <c r="G39" i="27"/>
  <c r="F39" i="27"/>
  <c r="E39" i="27"/>
  <c r="D39" i="27"/>
  <c r="C39" i="27"/>
  <c r="B39" i="27"/>
  <c r="M34" i="27"/>
  <c r="L34" i="27"/>
  <c r="K34" i="27"/>
  <c r="J34" i="27"/>
  <c r="I34" i="27"/>
  <c r="H34" i="27"/>
  <c r="G34" i="27"/>
  <c r="F34" i="27"/>
  <c r="E34" i="27"/>
  <c r="D34" i="27"/>
  <c r="C34" i="27"/>
  <c r="B34" i="27"/>
  <c r="L23" i="27"/>
  <c r="K23" i="27"/>
  <c r="J23" i="27"/>
  <c r="I23" i="27"/>
  <c r="H23" i="27"/>
  <c r="G23" i="27"/>
  <c r="F23" i="27"/>
  <c r="E23" i="27"/>
  <c r="D23" i="27"/>
  <c r="C23" i="27"/>
  <c r="B23" i="27"/>
  <c r="L22" i="27"/>
  <c r="K22" i="27"/>
  <c r="J22" i="27"/>
  <c r="I22" i="27"/>
  <c r="H22" i="27"/>
  <c r="G22" i="27"/>
  <c r="F22" i="27"/>
  <c r="E22" i="27"/>
  <c r="D22" i="27"/>
  <c r="C22" i="27"/>
  <c r="B22" i="27"/>
  <c r="L21" i="27"/>
  <c r="K21" i="27"/>
  <c r="J21" i="27"/>
  <c r="I21" i="27"/>
  <c r="H21" i="27"/>
  <c r="G21" i="27"/>
  <c r="F21" i="27"/>
  <c r="E21" i="27"/>
  <c r="D21" i="27"/>
  <c r="C21" i="27"/>
  <c r="B21" i="27"/>
  <c r="L20" i="27"/>
  <c r="K20" i="27"/>
  <c r="J20" i="27"/>
  <c r="I20" i="27"/>
  <c r="H20" i="27"/>
  <c r="G20" i="27"/>
  <c r="F20" i="27"/>
  <c r="E20" i="27"/>
  <c r="D20" i="27"/>
  <c r="C20" i="27"/>
  <c r="B20" i="27"/>
  <c r="L19" i="27"/>
  <c r="K19" i="27"/>
  <c r="J19" i="27"/>
  <c r="I19" i="27"/>
  <c r="H19" i="27"/>
  <c r="G19" i="27"/>
  <c r="F19" i="27"/>
  <c r="E19" i="27"/>
  <c r="D19" i="27"/>
  <c r="C19" i="27"/>
  <c r="B19" i="27"/>
  <c r="L18" i="27"/>
  <c r="K18" i="27"/>
  <c r="J18" i="27"/>
  <c r="I18" i="27"/>
  <c r="H18" i="27"/>
  <c r="G18" i="27"/>
  <c r="F18" i="27"/>
  <c r="E18" i="27"/>
  <c r="D18" i="27"/>
  <c r="C18" i="27"/>
  <c r="B18" i="27"/>
  <c r="M17" i="27"/>
  <c r="L17" i="27"/>
  <c r="K17" i="27"/>
  <c r="J17" i="27"/>
  <c r="I17" i="27"/>
  <c r="H17" i="27"/>
  <c r="G17" i="27"/>
  <c r="F17" i="27"/>
  <c r="E17" i="27"/>
  <c r="D17" i="27"/>
  <c r="C17" i="27"/>
  <c r="M14" i="27"/>
  <c r="M22" i="27" s="1"/>
  <c r="G14" i="27"/>
  <c r="F14" i="27"/>
  <c r="E14" i="27"/>
  <c r="D14" i="27"/>
  <c r="C14" i="27"/>
  <c r="B14" i="27"/>
  <c r="L7" i="27"/>
  <c r="M7" i="27" s="1"/>
  <c r="K7" i="27"/>
  <c r="J7" i="27"/>
  <c r="I7" i="27"/>
  <c r="H7" i="27"/>
  <c r="G7" i="27"/>
  <c r="F7" i="27"/>
  <c r="E7" i="27"/>
  <c r="D7" i="27"/>
  <c r="C7" i="27"/>
  <c r="AR35" i="3" l="1"/>
  <c r="AR24" i="3"/>
  <c r="M18" i="27"/>
  <c r="M20" i="27"/>
  <c r="M23" i="27"/>
  <c r="M21" i="27"/>
  <c r="M19" i="27"/>
  <c r="BJ104" i="33"/>
  <c r="BJ107" i="33"/>
  <c r="BJ105" i="33"/>
  <c r="BJ110" i="33"/>
  <c r="BJ124" i="33"/>
  <c r="BJ98" i="33"/>
  <c r="BJ103" i="33"/>
  <c r="BJ122" i="33"/>
  <c r="BJ129" i="33"/>
  <c r="BK98" i="33"/>
  <c r="BJ133" i="33" l="1" a="1"/>
  <c r="BJ133" i="33" s="1"/>
  <c r="BK103" i="33"/>
  <c r="BK107" i="33"/>
  <c r="BK104" i="33"/>
  <c r="BL104" i="33" s="1"/>
  <c r="BK129" i="33"/>
  <c r="BK106" i="33"/>
  <c r="BK122" i="33"/>
  <c r="BK124" i="33"/>
  <c r="BK99" i="33"/>
  <c r="BK105" i="33"/>
  <c r="BK130" i="33"/>
  <c r="BL130" i="33" s="1"/>
  <c r="BK110" i="33"/>
  <c r="BL110" i="33" s="1"/>
  <c r="BL112" i="33" l="1"/>
  <c r="BL129" i="33"/>
  <c r="BL119" i="33"/>
  <c r="BL105" i="33"/>
  <c r="BL98" i="33"/>
  <c r="BL103" i="33"/>
  <c r="BL114" i="33"/>
  <c r="BL108" i="33"/>
  <c r="BL118" i="33"/>
  <c r="BL102" i="33"/>
  <c r="BL107" i="33"/>
  <c r="BL126" i="33"/>
  <c r="BL115" i="33"/>
  <c r="BL116" i="33"/>
  <c r="BL122" i="33"/>
  <c r="BL125" i="33"/>
  <c r="BL128" i="33"/>
  <c r="BL121" i="33"/>
  <c r="BL120" i="33"/>
  <c r="BL127" i="33"/>
  <c r="BL131" i="33"/>
  <c r="BL132" i="33"/>
  <c r="BL106" i="33"/>
  <c r="BL111" i="33"/>
  <c r="BL99" i="33"/>
  <c r="BL123" i="33"/>
  <c r="BL101" i="33"/>
  <c r="BL113" i="33"/>
  <c r="BL109" i="33"/>
  <c r="BL124" i="33"/>
  <c r="BL117" i="33"/>
  <c r="BL100" i="33"/>
  <c r="BL133" i="33" l="1" a="1"/>
  <c r="BL133" i="33" s="1"/>
  <c r="AV159" i="33" s="1"/>
  <c r="AV158" i="33" l="1"/>
  <c r="BB158" i="33" s="1"/>
  <c r="AV164" i="33"/>
  <c r="AV156" i="33"/>
  <c r="AV160" i="33"/>
  <c r="AV167" i="33"/>
  <c r="AV157" i="33"/>
  <c r="AV151" i="33"/>
  <c r="AV162" i="33"/>
  <c r="AV163" i="33"/>
  <c r="AV153" i="33"/>
  <c r="BF153" i="33" s="1"/>
  <c r="AV165" i="33"/>
  <c r="AV166" i="33"/>
  <c r="AV155" i="33"/>
  <c r="AV150" i="33"/>
  <c r="AV154" i="33"/>
  <c r="AV161" i="33"/>
  <c r="AV168" i="33"/>
  <c r="AV152" i="33"/>
  <c r="AZ158" i="33"/>
  <c r="BG158" i="33"/>
  <c r="BF158" i="33"/>
  <c r="AX158" i="33"/>
  <c r="BC158" i="33"/>
  <c r="BF160" i="33"/>
  <c r="AX160" i="33"/>
  <c r="BE160" i="33"/>
  <c r="AW160" i="33"/>
  <c r="BD160" i="33"/>
  <c r="BC160" i="33"/>
  <c r="BB160" i="33"/>
  <c r="BA160" i="33"/>
  <c r="BH160" i="33"/>
  <c r="AZ160" i="33"/>
  <c r="BG160" i="33"/>
  <c r="AY160" i="33"/>
  <c r="BE161" i="33"/>
  <c r="AW161" i="33"/>
  <c r="BD161" i="33"/>
  <c r="BC161" i="33"/>
  <c r="BB161" i="33"/>
  <c r="BA161" i="33"/>
  <c r="BH161" i="33"/>
  <c r="AZ161" i="33"/>
  <c r="BG161" i="33"/>
  <c r="AY161" i="33"/>
  <c r="BF161" i="33"/>
  <c r="AX161" i="33"/>
  <c r="BH153" i="33"/>
  <c r="BG153" i="33"/>
  <c r="AY153" i="33"/>
  <c r="AW153" i="33"/>
  <c r="BD153" i="33"/>
  <c r="BB153" i="33"/>
  <c r="BA153" i="33"/>
  <c r="BH157" i="33"/>
  <c r="AZ157" i="33"/>
  <c r="BG157" i="33"/>
  <c r="AY157" i="33"/>
  <c r="BF157" i="33"/>
  <c r="AX157" i="33"/>
  <c r="BE157" i="33"/>
  <c r="AW157" i="33"/>
  <c r="BD157" i="33"/>
  <c r="BC157" i="33"/>
  <c r="BB157" i="33"/>
  <c r="BA157" i="33"/>
  <c r="BD151" i="33"/>
  <c r="BC151" i="33"/>
  <c r="BB151" i="33"/>
  <c r="BA151" i="33"/>
  <c r="BH151" i="33"/>
  <c r="AZ151" i="33"/>
  <c r="BG151" i="33"/>
  <c r="AY151" i="33"/>
  <c r="BF151" i="33"/>
  <c r="AX151" i="33"/>
  <c r="BE151" i="33"/>
  <c r="AW151" i="33"/>
  <c r="BB154" i="33"/>
  <c r="BA154" i="33"/>
  <c r="BH154" i="33"/>
  <c r="AZ154" i="33"/>
  <c r="BG154" i="33"/>
  <c r="AY154" i="33"/>
  <c r="BF154" i="33"/>
  <c r="AX154" i="33"/>
  <c r="BE154" i="33"/>
  <c r="AW154" i="33"/>
  <c r="BD154" i="33"/>
  <c r="BC154" i="33"/>
  <c r="BD155" i="33"/>
  <c r="BC155" i="33"/>
  <c r="BB155" i="33"/>
  <c r="BA155" i="33"/>
  <c r="BH155" i="33"/>
  <c r="AZ155" i="33"/>
  <c r="BG155" i="33"/>
  <c r="AY155" i="33"/>
  <c r="BF155" i="33"/>
  <c r="AX155" i="33"/>
  <c r="BE155" i="33"/>
  <c r="AW155" i="33"/>
  <c r="BD159" i="33"/>
  <c r="BC159" i="33"/>
  <c r="BB159" i="33"/>
  <c r="BA159" i="33"/>
  <c r="BH159" i="33"/>
  <c r="AZ159" i="33"/>
  <c r="BG159" i="33"/>
  <c r="AY159" i="33"/>
  <c r="BF159" i="33"/>
  <c r="AX159" i="33"/>
  <c r="BE159" i="33"/>
  <c r="AW159" i="33"/>
  <c r="BF152" i="33"/>
  <c r="AX152" i="33"/>
  <c r="BE152" i="33"/>
  <c r="AW152" i="33"/>
  <c r="BD152" i="33"/>
  <c r="BC152" i="33"/>
  <c r="BB152" i="33"/>
  <c r="BA152" i="33"/>
  <c r="BH152" i="33"/>
  <c r="AZ152" i="33"/>
  <c r="BG152" i="33"/>
  <c r="AY152" i="33"/>
  <c r="BB150" i="33"/>
  <c r="BA150" i="33"/>
  <c r="AZ150" i="33"/>
  <c r="BG150" i="33"/>
  <c r="AY150" i="33"/>
  <c r="BF150" i="33"/>
  <c r="AX150" i="33"/>
  <c r="BE150" i="33"/>
  <c r="AW150" i="33"/>
  <c r="BD150" i="33"/>
  <c r="BC150" i="33"/>
  <c r="BF156" i="33"/>
  <c r="AX156" i="33"/>
  <c r="BE156" i="33"/>
  <c r="AW156" i="33"/>
  <c r="BD156" i="33"/>
  <c r="BC156" i="33"/>
  <c r="BB156" i="33"/>
  <c r="BA156" i="33"/>
  <c r="BH156" i="33"/>
  <c r="AZ156" i="33"/>
  <c r="BG156" i="33"/>
  <c r="AY156" i="33"/>
  <c r="BC153" i="33" l="1"/>
  <c r="AZ153" i="33"/>
  <c r="AY158" i="33"/>
  <c r="BE153" i="33"/>
  <c r="BD158" i="33"/>
  <c r="BH158" i="33"/>
  <c r="AX153" i="33"/>
  <c r="AW158" i="33"/>
  <c r="BA158" i="33"/>
  <c r="BE158"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author>
  </authors>
  <commentList>
    <comment ref="V50" authorId="0" shapeId="0" xr:uid="{00000000-0006-0000-0900-000001000000}">
      <text>
        <r>
          <rPr>
            <sz val="18"/>
            <rFont val="Arial"/>
            <family val="2"/>
          </rPr>
          <t>corrected</t>
        </r>
      </text>
    </comment>
    <comment ref="V51" authorId="0" shapeId="0" xr:uid="{00000000-0006-0000-0900-000002000000}">
      <text>
        <r>
          <rPr>
            <sz val="18"/>
            <rFont val="Arial"/>
            <family val="2"/>
          </rPr>
          <t>corrected</t>
        </r>
      </text>
    </comment>
    <comment ref="V53" authorId="0" shapeId="0" xr:uid="{00000000-0006-0000-0900-000003000000}">
      <text>
        <r>
          <rPr>
            <sz val="14"/>
            <rFont val="Arial"/>
            <family val="2"/>
          </rPr>
          <t>corrected</t>
        </r>
        <r>
          <rPr>
            <sz val="9"/>
            <rFont val="宋体"/>
            <family val="3"/>
            <charset val="134"/>
          </rPr>
          <t xml:space="preserve">
</t>
        </r>
      </text>
    </comment>
    <comment ref="V58" authorId="0" shapeId="0" xr:uid="{00000000-0006-0000-0900-000004000000}">
      <text>
        <r>
          <rPr>
            <sz val="16"/>
            <rFont val="Arial"/>
            <family val="2"/>
          </rPr>
          <t>corrected</t>
        </r>
      </text>
    </comment>
    <comment ref="V68" authorId="0" shapeId="0" xr:uid="{00000000-0006-0000-0900-000005000000}">
      <text>
        <r>
          <rPr>
            <sz val="16"/>
            <rFont val="Arial"/>
            <family val="2"/>
          </rPr>
          <t>corrected</t>
        </r>
      </text>
    </comment>
    <comment ref="V69" authorId="0" shapeId="0" xr:uid="{00000000-0006-0000-0900-000006000000}">
      <text>
        <r>
          <rPr>
            <sz val="14"/>
            <rFont val="Arial"/>
            <family val="2"/>
          </rPr>
          <t>corrected</t>
        </r>
        <r>
          <rPr>
            <sz val="9"/>
            <rFont val="宋体"/>
            <family val="3"/>
            <charset val="134"/>
          </rPr>
          <t xml:space="preserve">
</t>
        </r>
      </text>
    </comment>
    <comment ref="V71" authorId="0" shapeId="0" xr:uid="{00000000-0006-0000-0900-000007000000}">
      <text>
        <r>
          <rPr>
            <sz val="12"/>
            <rFont val="Arial"/>
            <family val="2"/>
          </rPr>
          <t>corrected</t>
        </r>
      </text>
    </comment>
    <comment ref="V76" authorId="0" shapeId="0" xr:uid="{00000000-0006-0000-0900-000008000000}">
      <text>
        <r>
          <rPr>
            <sz val="14"/>
            <rFont val="Arial"/>
            <family val="2"/>
          </rPr>
          <t>corrected</t>
        </r>
      </text>
    </comment>
    <comment ref="V126" authorId="0" shapeId="0" xr:uid="{00000000-0006-0000-0900-000009000000}">
      <text>
        <r>
          <rPr>
            <sz val="12"/>
            <rFont val="Arial"/>
            <family val="2"/>
          </rPr>
          <t>corrected</t>
        </r>
        <r>
          <rPr>
            <sz val="9"/>
            <rFont val="宋体"/>
            <family val="3"/>
            <charset val="134"/>
          </rPr>
          <t xml:space="preserve">
</t>
        </r>
      </text>
    </comment>
    <comment ref="V127" authorId="0" shapeId="0" xr:uid="{00000000-0006-0000-0900-00000A000000}">
      <text>
        <r>
          <rPr>
            <sz val="12"/>
            <rFont val="Arial"/>
            <family val="2"/>
          </rPr>
          <t>corrected</t>
        </r>
      </text>
    </comment>
  </commentList>
</comments>
</file>

<file path=xl/sharedStrings.xml><?xml version="1.0" encoding="utf-8"?>
<sst xmlns="http://schemas.openxmlformats.org/spreadsheetml/2006/main" count="6305" uniqueCount="534">
  <si>
    <t>2024 Statistical Tables - IP5 Offices</t>
  </si>
  <si>
    <t xml:space="preserve">Extended Data and Graphs </t>
  </si>
  <si>
    <t>Note</t>
  </si>
  <si>
    <t>For the most recent years minimal corrections may reflect the latest data.</t>
  </si>
  <si>
    <t xml:space="preserve">Fig. 2.1   Patents in Force </t>
  </si>
  <si>
    <t>Fig. 2.2   Patents in Force - Jurisdiction &amp; Origin</t>
  </si>
  <si>
    <r>
      <rPr>
        <u/>
        <sz val="11"/>
        <color theme="10"/>
        <rFont val="Calibri"/>
        <family val="3"/>
        <charset val="134"/>
        <scheme val="minor"/>
      </rPr>
      <t>Fig. 2.3: IP5 Cross filings - origin    (</t>
    </r>
    <r>
      <rPr>
        <b/>
        <i/>
        <u/>
        <sz val="11"/>
        <color theme="10"/>
        <rFont val="Calibri"/>
        <family val="2"/>
      </rPr>
      <t>new</t>
    </r>
    <r>
      <rPr>
        <u/>
        <sz val="11"/>
        <color theme="10"/>
        <rFont val="Calibri"/>
        <family val="3"/>
        <charset val="134"/>
        <scheme val="minor"/>
      </rPr>
      <t>)</t>
    </r>
  </si>
  <si>
    <t>Fig. 2.4: IP5 Cross filings - type of cross filings   (new)</t>
  </si>
  <si>
    <t xml:space="preserve">Fig. 3.1   Worldwide patent filings - filing procedures </t>
  </si>
  <si>
    <t>Fig. 3.2   Worldwide patent filings - origin</t>
  </si>
  <si>
    <t>Fig. 3.3   Worldwide patent filings - percentage filed at home</t>
  </si>
  <si>
    <t>Fig. 3.4   Worldwide patent first filings - origin</t>
  </si>
  <si>
    <t>Fig. 3.5   Worldwide patent applications - filing procedures</t>
  </si>
  <si>
    <t>Fig. 3.6   Worldwide patent applications - origin</t>
  </si>
  <si>
    <t>Fig. 3.7   Worldwide patent applications - filing bloc</t>
  </si>
  <si>
    <t>Fig. 3.8   Worldwide demand for patent rights - procedures</t>
  </si>
  <si>
    <t>Fig. 3.9   Worldwide demand for patent rights - origin</t>
  </si>
  <si>
    <t xml:space="preserve">Fig. 3.10 Worldwide demand for patent rights - filing bloc  </t>
  </si>
  <si>
    <t>Fig. 3.11 Worldwide patents granted - origin</t>
  </si>
  <si>
    <t>Fig. 3.12 Worldwide patents granted - filing bloc</t>
  </si>
  <si>
    <t>Fig. 3.13 National patent rights granted - filing bloc</t>
  </si>
  <si>
    <t>Additional data: Patent families tables</t>
  </si>
  <si>
    <t>Fig. 3.17 IP5 patent families - origin</t>
  </si>
  <si>
    <t>Fig. 4.1   Applications filed - domestics and foreign origin</t>
  </si>
  <si>
    <t>Fig. 4.2   Applications filed - origin distribution</t>
  </si>
  <si>
    <t>Fig. 4.3   Applications filed - sector of technology</t>
  </si>
  <si>
    <t>Fig. 4.4:   Applications filed - leading technologies   (new)</t>
  </si>
  <si>
    <t>Fig. 4.5   Patents granted - domestic and foreign origin</t>
  </si>
  <si>
    <t>Fig. 4.6   Patents granted - origin distribution</t>
  </si>
  <si>
    <r>
      <rPr>
        <u/>
        <sz val="11"/>
        <color theme="10"/>
        <rFont val="Calibri"/>
        <family val="3"/>
        <charset val="134"/>
        <scheme val="minor"/>
      </rPr>
      <t>Fig. 4.7 Granted patents  - sector of technology   (</t>
    </r>
    <r>
      <rPr>
        <b/>
        <i/>
        <u/>
        <sz val="11"/>
        <color theme="10"/>
        <rFont val="Calibri"/>
        <family val="2"/>
      </rPr>
      <t>new</t>
    </r>
    <r>
      <rPr>
        <u/>
        <sz val="11"/>
        <color theme="10"/>
        <rFont val="Calibri"/>
        <family val="3"/>
        <charset val="134"/>
        <scheme val="minor"/>
      </rPr>
      <t>)</t>
    </r>
  </si>
  <si>
    <r>
      <rPr>
        <u/>
        <sz val="11"/>
        <color theme="10"/>
        <rFont val="Calibri"/>
        <family val="3"/>
        <charset val="134"/>
        <scheme val="minor"/>
      </rPr>
      <t>Fig. 4.8:   Granted patents - leading technologies   (</t>
    </r>
    <r>
      <rPr>
        <b/>
        <i/>
        <u/>
        <sz val="11"/>
        <color theme="10"/>
        <rFont val="Calibri"/>
        <family val="2"/>
      </rPr>
      <t>new</t>
    </r>
    <r>
      <rPr>
        <u/>
        <sz val="11"/>
        <color theme="10"/>
        <rFont val="Calibri"/>
        <family val="3"/>
        <charset val="134"/>
        <scheme val="minor"/>
      </rPr>
      <t>)</t>
    </r>
  </si>
  <si>
    <t>Fig. 4.9   Patents granted - patentees distribution</t>
  </si>
  <si>
    <t>Fig. 4.10   Patents granted - maintenance from filing date</t>
  </si>
  <si>
    <t>Fig. 5.1   Proportions of applications filed via the PCT - origin</t>
  </si>
  <si>
    <t>Fig. 5.2   Proportions of PCT applications entering the national/regional phase</t>
  </si>
  <si>
    <t>Fig. 5.3   Proportions of PCT applications in the grant procedure</t>
  </si>
  <si>
    <t>Fig. 5.4   Proportions of PCT in the patents granted</t>
  </si>
  <si>
    <t>Fig. 5.6   Proportions of PCT - IP5 patent families per origin</t>
  </si>
  <si>
    <t>Fig. 5.7   PCT activity - receiving offices</t>
  </si>
  <si>
    <t>Fig. 5.8   PCT activity - international searching authorities</t>
  </si>
  <si>
    <t>Fig. 5.9   PCT activity - international preliminary examination authorities</t>
  </si>
  <si>
    <t xml:space="preserve">Extended Data </t>
  </si>
  <si>
    <t>Budget</t>
  </si>
  <si>
    <t>Staff</t>
  </si>
  <si>
    <t>Production figures</t>
  </si>
  <si>
    <t>Statistics on procedures</t>
  </si>
  <si>
    <t>Other work</t>
  </si>
  <si>
    <t>IP5 Statistics</t>
  </si>
  <si>
    <t>content</t>
  </si>
  <si>
    <t>The IP5 Offices</t>
  </si>
  <si>
    <t>Fig. 2.1, 2.2 Patents in Force</t>
  </si>
  <si>
    <t>Region</t>
  </si>
  <si>
    <t>Number</t>
  </si>
  <si>
    <t>Share</t>
  </si>
  <si>
    <t>EPC States</t>
  </si>
  <si>
    <t>Japan</t>
  </si>
  <si>
    <t>R. Korea</t>
  </si>
  <si>
    <t>P.R. China</t>
  </si>
  <si>
    <t>U.S.</t>
  </si>
  <si>
    <t>Others</t>
  </si>
  <si>
    <t>Jurisdiction</t>
  </si>
  <si>
    <t>Origin</t>
  </si>
  <si>
    <t>Total</t>
  </si>
  <si>
    <t>IP5 Cross filings</t>
  </si>
  <si>
    <t>Fig. 2.3, 2.4 &amp; 2.5</t>
  </si>
  <si>
    <t>Origin of IP5 Cross filings</t>
  </si>
  <si>
    <t>EPC states</t>
  </si>
  <si>
    <t>Type of cross filings - number of offices involved</t>
  </si>
  <si>
    <t>Type</t>
  </si>
  <si>
    <t>Bilateral</t>
  </si>
  <si>
    <t>Trilateral</t>
  </si>
  <si>
    <t>Quadrilateral</t>
  </si>
  <si>
    <t>IP5</t>
  </si>
  <si>
    <t>Most frequent combinations</t>
  </si>
  <si>
    <t>Rank</t>
  </si>
  <si>
    <t>CN-US</t>
  </si>
  <si>
    <t>JP-US</t>
  </si>
  <si>
    <t>EP-US</t>
  </si>
  <si>
    <t>CN-EP-US</t>
  </si>
  <si>
    <t>KR-US</t>
  </si>
  <si>
    <t>CN-EP-JP-US</t>
  </si>
  <si>
    <t>CN-JP-US</t>
  </si>
  <si>
    <t>CN-EP</t>
  </si>
  <si>
    <t>CN-JP</t>
  </si>
  <si>
    <t>EP-JP-US</t>
  </si>
  <si>
    <t>CN-KR-US</t>
  </si>
  <si>
    <t>others</t>
  </si>
  <si>
    <t>CN-EP-KR-US</t>
  </si>
  <si>
    <t>EP-CN-US</t>
  </si>
  <si>
    <t>EP-CN-JP-US</t>
  </si>
  <si>
    <t>OTHER</t>
  </si>
  <si>
    <t>EP-CN</t>
  </si>
  <si>
    <t>IP5 Offices General information</t>
  </si>
  <si>
    <t>Expenses/Expenditures</t>
  </si>
  <si>
    <t>Office</t>
  </si>
  <si>
    <t>Post</t>
  </si>
  <si>
    <t>Post**</t>
  </si>
  <si>
    <t>EPO *</t>
  </si>
  <si>
    <t>Personnel Expenses</t>
  </si>
  <si>
    <t>Salaries and allowances</t>
  </si>
  <si>
    <t>Filing</t>
  </si>
  <si>
    <t>(mil EURO)</t>
  </si>
  <si>
    <t>Building Expenses</t>
  </si>
  <si>
    <t>Property and Equipment Maintenance</t>
  </si>
  <si>
    <t>Social security benefits</t>
  </si>
  <si>
    <t>Search</t>
  </si>
  <si>
    <t>Data Processing</t>
  </si>
  <si>
    <t>EDP Equipment and Maintenance</t>
  </si>
  <si>
    <t>Training and other staff expenses</t>
  </si>
  <si>
    <t>Tax adjustment transfer</t>
  </si>
  <si>
    <t>Examination</t>
  </si>
  <si>
    <t>Patent Information</t>
  </si>
  <si>
    <t>Co-operation and Patent Information</t>
  </si>
  <si>
    <t>Depreciation</t>
  </si>
  <si>
    <t>Opposition</t>
  </si>
  <si>
    <t>Financial Expenses</t>
  </si>
  <si>
    <t>General Operating Expenses</t>
  </si>
  <si>
    <t>IT maintenance</t>
  </si>
  <si>
    <t>Appeal</t>
  </si>
  <si>
    <t>Building maintenance</t>
  </si>
  <si>
    <t>Patent information</t>
  </si>
  <si>
    <t>Patent information and cooperation</t>
  </si>
  <si>
    <t>Technical cooperation</t>
  </si>
  <si>
    <t>Miscellaneous</t>
  </si>
  <si>
    <t>Patent informaiton and cooperation</t>
  </si>
  <si>
    <t>European patent academy</t>
  </si>
  <si>
    <t>Other</t>
  </si>
  <si>
    <t>Tax adjustment transfer (one-time)</t>
  </si>
  <si>
    <t>TOTAL</t>
  </si>
  <si>
    <t>JPO</t>
  </si>
  <si>
    <t>General processing work</t>
  </si>
  <si>
    <t>(mil Yen)</t>
  </si>
  <si>
    <t>Computerization of Patent Processing</t>
  </si>
  <si>
    <t>Examinations and appeals/trials</t>
  </si>
  <si>
    <t>Examinations and  Appeals</t>
  </si>
  <si>
    <t>Information management</t>
  </si>
  <si>
    <t>Patent Protection</t>
  </si>
  <si>
    <t>Publication of patent gazette</t>
  </si>
  <si>
    <t>Developing the Patent Markets</t>
  </si>
  <si>
    <t>Computerisation of patent processing work</t>
  </si>
  <si>
    <t>Computerization of patent processing work</t>
  </si>
  <si>
    <t>International Protection of IPRs</t>
  </si>
  <si>
    <t>Facility improvement</t>
  </si>
  <si>
    <t>NCIPI in Operating Subsidies</t>
  </si>
  <si>
    <t>NCIPI operation</t>
  </si>
  <si>
    <t>Operating subsidies for INPIT</t>
  </si>
  <si>
    <t>MOIP</t>
  </si>
  <si>
    <t>Salaries and benefits</t>
  </si>
  <si>
    <t>Personnel resources</t>
  </si>
  <si>
    <t>(mil Won)</t>
  </si>
  <si>
    <t>General operating expenses</t>
  </si>
  <si>
    <t>Internal business</t>
  </si>
  <si>
    <t>External support</t>
  </si>
  <si>
    <t>Primary business expenses</t>
  </si>
  <si>
    <t>Equipment</t>
  </si>
  <si>
    <t>Other expenses</t>
  </si>
  <si>
    <t>CNIPA</t>
  </si>
  <si>
    <t>Patent Examination</t>
  </si>
  <si>
    <t>IP affairs</t>
  </si>
  <si>
    <t>Administrative Affairs</t>
  </si>
  <si>
    <t>Administrative Operation</t>
  </si>
  <si>
    <t>(mil Yuan)</t>
  </si>
  <si>
    <t>Social Security</t>
  </si>
  <si>
    <t>Social security</t>
  </si>
  <si>
    <t>Housing Security</t>
  </si>
  <si>
    <t>Housing security</t>
  </si>
  <si>
    <t>Social and Housing security, Pension</t>
  </si>
  <si>
    <t>Social and Housing Security, Pension</t>
  </si>
  <si>
    <t>International affairs</t>
  </si>
  <si>
    <t>International Affairs</t>
  </si>
  <si>
    <t>USPTO</t>
  </si>
  <si>
    <t>Salaries and Benefits</t>
  </si>
  <si>
    <t>Salaries and Benefits:</t>
  </si>
  <si>
    <t>(mil US$)</t>
  </si>
  <si>
    <t>Rent and Utilities</t>
  </si>
  <si>
    <t>Rent and Utilities:</t>
  </si>
  <si>
    <t>Equipments</t>
  </si>
  <si>
    <t>Rent and Untilities</t>
  </si>
  <si>
    <t>Contracts and Services</t>
  </si>
  <si>
    <t>Contracts and Services:</t>
  </si>
  <si>
    <t>Rents and Utilities</t>
  </si>
  <si>
    <t>Printing</t>
  </si>
  <si>
    <t>Other expenses:</t>
  </si>
  <si>
    <t>Supplies and Materials</t>
  </si>
  <si>
    <t>Contracts / Services</t>
  </si>
  <si>
    <t>Other Expenses</t>
  </si>
  <si>
    <t>EPO</t>
  </si>
  <si>
    <t>Examiners</t>
  </si>
  <si>
    <t>Appeal Boards</t>
  </si>
  <si>
    <t>Sub-total</t>
  </si>
  <si>
    <t>Patent/Utility model Examiners</t>
  </si>
  <si>
    <t>Design Examiners</t>
  </si>
  <si>
    <t>Trademark Examiners</t>
  </si>
  <si>
    <t>Appeal examiners</t>
  </si>
  <si>
    <t>General staff</t>
  </si>
  <si>
    <t>Patents Examiners</t>
  </si>
  <si>
    <t>Designs Examiners</t>
  </si>
  <si>
    <t>Designs and Trademark Examiners</t>
  </si>
  <si>
    <t>Design and Trademarks Examiners</t>
  </si>
  <si>
    <t>Trademarks Examiners</t>
  </si>
  <si>
    <t>Other staff</t>
  </si>
  <si>
    <t>Functional Department</t>
  </si>
  <si>
    <t>Examiners: Invention</t>
  </si>
  <si>
    <t>Examiners:Patent</t>
  </si>
  <si>
    <t>12,000</t>
  </si>
  <si>
    <t>13704</t>
  </si>
  <si>
    <t>Utility Model &amp; Design</t>
  </si>
  <si>
    <t>Examiners:Utility Model &amp; Design</t>
  </si>
  <si>
    <t>other patent office staff</t>
  </si>
  <si>
    <t>Examiners:Preliminary examiniation and flow management</t>
  </si>
  <si>
    <t>Patent Re-Examination Board</t>
  </si>
  <si>
    <t>Supporting department</t>
  </si>
  <si>
    <t>Other Subordinate Unites Under the Office</t>
  </si>
  <si>
    <t>General Administration</t>
  </si>
  <si>
    <t>Re-Examination Board</t>
  </si>
  <si>
    <t>Other Subordinate units Under the Office</t>
  </si>
  <si>
    <t>UPR Patent Examiners</t>
  </si>
  <si>
    <t>Design Patent Examiners</t>
  </si>
  <si>
    <t>Managerial, Administrative, Other Patent Staff</t>
  </si>
  <si>
    <t>Trademark examiners</t>
  </si>
  <si>
    <t>Other USPTO staff</t>
  </si>
  <si>
    <t>Managerial, Administrative and Support staff</t>
  </si>
  <si>
    <t>Tables 2.1, 2.2, 2.3, 2.4, 2.5</t>
  </si>
  <si>
    <t>Searches carried out</t>
  </si>
  <si>
    <t>European</t>
  </si>
  <si>
    <t>PCT</t>
  </si>
  <si>
    <t>Examinations (final actions)</t>
  </si>
  <si>
    <t>Appeals</t>
  </si>
  <si>
    <t>Technical</t>
  </si>
  <si>
    <t>Petitions for reviews and referrals</t>
  </si>
  <si>
    <t>Other appeals</t>
  </si>
  <si>
    <t>Applications filed</t>
  </si>
  <si>
    <t>Domestic</t>
  </si>
  <si>
    <t>Foreign</t>
  </si>
  <si>
    <t>Requests</t>
  </si>
  <si>
    <t>First Actions</t>
  </si>
  <si>
    <t>Final Actions</t>
  </si>
  <si>
    <t>Grants</t>
  </si>
  <si>
    <t>Appeals/Trials</t>
  </si>
  <si>
    <t>Appeal on refusals</t>
  </si>
  <si>
    <t>Trials on invalidation</t>
  </si>
  <si>
    <t>Applications in appeal</t>
  </si>
  <si>
    <t>PCT activities</t>
  </si>
  <si>
    <t>International searches</t>
  </si>
  <si>
    <t>Applications in opposition</t>
  </si>
  <si>
    <t>-</t>
  </si>
  <si>
    <t>Preliminary examinations</t>
  </si>
  <si>
    <t>First actions</t>
  </si>
  <si>
    <t>Final actions</t>
  </si>
  <si>
    <t>International preliminary examinations</t>
  </si>
  <si>
    <t>Re-Examination and Invalidation</t>
  </si>
  <si>
    <t>Requests for Re-Examination</t>
  </si>
  <si>
    <t>Requests Invalidation</t>
  </si>
  <si>
    <t>International search reports</t>
  </si>
  <si>
    <t>n.a.</t>
  </si>
  <si>
    <t>PCT Ch II</t>
  </si>
  <si>
    <t>PCT Chapter II Examination</t>
  </si>
  <si>
    <t>Contested</t>
  </si>
  <si>
    <t>Ex-parte Contested</t>
  </si>
  <si>
    <t>Disposed</t>
  </si>
  <si>
    <t>Ex-parte Disposed</t>
  </si>
  <si>
    <t>Not allowed</t>
  </si>
  <si>
    <t>Inter-partes contested</t>
  </si>
  <si>
    <t>Pending</t>
  </si>
  <si>
    <t>Inter-partes Disposed</t>
  </si>
  <si>
    <t>Interference</t>
  </si>
  <si>
    <t xml:space="preserve"> -</t>
  </si>
  <si>
    <t>Litigation</t>
  </si>
  <si>
    <t>Cases filed</t>
  </si>
  <si>
    <t>Cases disposed</t>
  </si>
  <si>
    <t>Cases pending</t>
  </si>
  <si>
    <t>Worldwide patenting activity</t>
  </si>
  <si>
    <t>Patent filings - Fig.3.1 - 3.2 - 3.3</t>
  </si>
  <si>
    <t>Patent applications filing by bloc of origin and type</t>
  </si>
  <si>
    <t>Procedure</t>
  </si>
  <si>
    <t>National</t>
  </si>
  <si>
    <t>Regional</t>
  </si>
  <si>
    <t>International (PCT)</t>
  </si>
  <si>
    <t>Fig. 3.1</t>
  </si>
  <si>
    <t>Direct national</t>
  </si>
  <si>
    <t>Direct regional</t>
  </si>
  <si>
    <t>PCT international</t>
  </si>
  <si>
    <t>Fig. 3.2</t>
  </si>
  <si>
    <t>Bloc of origin</t>
  </si>
  <si>
    <t>Fig. 3.3</t>
  </si>
  <si>
    <t xml:space="preserve">   Fig. 3.3.: WORLDWIDE PATENT FILINGS - PERCENTAGE FILED AT HONE</t>
  </si>
  <si>
    <t>First filings - Fig.3.4</t>
  </si>
  <si>
    <t>Patent applications filed with</t>
  </si>
  <si>
    <t>a patent offices - Fig.3.5, 3.6, 3.7</t>
  </si>
  <si>
    <t>Filing bloc</t>
  </si>
  <si>
    <t>R.Korea</t>
  </si>
  <si>
    <t>PCT national</t>
  </si>
  <si>
    <t>&amp; regional</t>
  </si>
  <si>
    <t>PCT national &amp; regional</t>
  </si>
  <si>
    <t>Demand for patent rights</t>
  </si>
  <si>
    <t>Fig.3.8, 3.9, 3.10</t>
  </si>
  <si>
    <t>Granted patent rights</t>
  </si>
  <si>
    <t>Fig.3.11, 3.12, 3.13</t>
  </si>
  <si>
    <t>Patent rights granted</t>
  </si>
  <si>
    <t>Filing office</t>
  </si>
  <si>
    <t>National rights granted</t>
  </si>
  <si>
    <t>Patent families - Table 3</t>
  </si>
  <si>
    <t xml:space="preserve">Source: </t>
  </si>
  <si>
    <t>EPO PATSTAT / DOCDB database</t>
  </si>
  <si>
    <t>NUMBERS OF PATENT FAMILIES</t>
  </si>
  <si>
    <t>PROPORTIONS OF PATENT FAMILIES USING PCT ROUTE</t>
  </si>
  <si>
    <t>Fig. 5.5</t>
  </si>
  <si>
    <t>Percentages are the counts expressed as proportions of the numbers of First Filings in the countries/blocs of origin. Families with only utility models are excluded</t>
  </si>
  <si>
    <t>Families involving a PCT member</t>
  </si>
  <si>
    <t>Year of priority filings</t>
  </si>
  <si>
    <t>Proportion PCT in flows</t>
  </si>
  <si>
    <r>
      <rPr>
        <b/>
        <sz val="11"/>
        <color theme="1"/>
        <rFont val="Calibri"/>
        <family val="2"/>
      </rPr>
      <t>Bloc of origin</t>
    </r>
    <r>
      <rPr>
        <sz val="11"/>
        <color theme="1"/>
        <rFont val="Calibri"/>
        <family val="3"/>
        <charset val="134"/>
        <scheme val="minor"/>
      </rPr>
      <t xml:space="preserve"> from which priority is claimed</t>
    </r>
  </si>
  <si>
    <r>
      <rPr>
        <b/>
        <sz val="11"/>
        <color theme="1"/>
        <rFont val="Calibri"/>
        <family val="2"/>
      </rPr>
      <t>First filings</t>
    </r>
    <r>
      <rPr>
        <sz val="11"/>
        <color theme="1"/>
        <rFont val="Calibri"/>
        <family val="3"/>
        <charset val="134"/>
        <scheme val="minor"/>
      </rPr>
      <t xml:space="preserve"> in bloc of origin</t>
    </r>
  </si>
  <si>
    <t>Flows to subsequent filings</t>
  </si>
  <si>
    <r>
      <rPr>
        <b/>
        <sz val="11"/>
        <color theme="1"/>
        <rFont val="Calibri"/>
        <family val="2"/>
      </rPr>
      <t>IP5 Patent Families</t>
    </r>
    <r>
      <rPr>
        <sz val="11"/>
        <color theme="1"/>
        <rFont val="Calibri"/>
        <family val="3"/>
        <charset val="134"/>
        <scheme val="minor"/>
      </rPr>
      <t xml:space="preserve"> from bloc of origin</t>
    </r>
  </si>
  <si>
    <t xml:space="preserve">Bloc of origin  </t>
  </si>
  <si>
    <t>First Filings</t>
  </si>
  <si>
    <t xml:space="preserve">                          Secondary Filings</t>
  </si>
  <si>
    <t>First filings in bloc of origin leading to priority claims in filings in:</t>
  </si>
  <si>
    <t>for which priority</t>
  </si>
  <si>
    <t>in Bloc of</t>
  </si>
  <si>
    <t xml:space="preserve">                            Numbers of Priorities claimed in Bloc of origin from:</t>
  </si>
  <si>
    <t>Any other bloc</t>
  </si>
  <si>
    <t>Any other IP5 bloc</t>
  </si>
  <si>
    <t>Other countries</t>
  </si>
  <si>
    <t>is claimed</t>
  </si>
  <si>
    <t>Any other</t>
  </si>
  <si>
    <t>Any Five</t>
  </si>
  <si>
    <t>Blocs</t>
  </si>
  <si>
    <t>Korea</t>
  </si>
  <si>
    <t>China</t>
  </si>
  <si>
    <t>IP5 blocs substotal</t>
  </si>
  <si>
    <t>Globla total</t>
  </si>
  <si>
    <t>Global total</t>
  </si>
  <si>
    <t>Source</t>
  </si>
  <si>
    <t>Patstat Database Spring 2025</t>
  </si>
  <si>
    <t>Patstat Database Spring 2024</t>
  </si>
  <si>
    <t>Patstat Database Spring 2023</t>
  </si>
  <si>
    <t>Year of priority filings:</t>
  </si>
  <si>
    <t xml:space="preserve">                                                Flows to Subsequent Filings</t>
  </si>
  <si>
    <t xml:space="preserve">Trilateral </t>
  </si>
  <si>
    <t>Four Blocs</t>
  </si>
  <si>
    <t>Five Blocs</t>
  </si>
  <si>
    <t xml:space="preserve">                                         Flows to Subsequent Filings</t>
  </si>
  <si>
    <t>from which priority</t>
  </si>
  <si>
    <t xml:space="preserve">                                                   First filings in Bloc of Origin leading to priority claims in filings in:</t>
  </si>
  <si>
    <t xml:space="preserve">Patent Families </t>
  </si>
  <si>
    <t xml:space="preserve">                                                        First filings in Bloc of Origin leading to priority claims in filings in:</t>
  </si>
  <si>
    <t>Any other Five</t>
  </si>
  <si>
    <t>from bloc of origin</t>
  </si>
  <si>
    <t xml:space="preserve">from bloc of origin </t>
  </si>
  <si>
    <t>Any Other</t>
  </si>
  <si>
    <t>Bloc</t>
  </si>
  <si>
    <t>U.S.A</t>
  </si>
  <si>
    <t>countries</t>
  </si>
  <si>
    <t>EPC, JP, US</t>
  </si>
  <si>
    <t>EPC, JP, KR, US</t>
  </si>
  <si>
    <t>EPC, CN, JP, KR, US</t>
  </si>
  <si>
    <t>Trilateral Bloc</t>
  </si>
  <si>
    <t>US</t>
  </si>
  <si>
    <t>U.S.A.</t>
  </si>
  <si>
    <t>Five blocs</t>
  </si>
  <si>
    <t>subtotal</t>
  </si>
  <si>
    <t>EPO DOCDB database</t>
  </si>
  <si>
    <t>Families with only utility models are excluded.</t>
  </si>
  <si>
    <t>IP5 Patent families - Fig.3.17</t>
  </si>
  <si>
    <t>IP5 patent statistics</t>
  </si>
  <si>
    <t>Fig. 4.1, 4.2</t>
  </si>
  <si>
    <t>Sectors of technology</t>
  </si>
  <si>
    <t>Fig. 4.3</t>
  </si>
  <si>
    <t>Sector</t>
  </si>
  <si>
    <t>Electrical engineering</t>
  </si>
  <si>
    <t>Instruments</t>
  </si>
  <si>
    <t>Chemistry</t>
  </si>
  <si>
    <t>Mechanical engineering</t>
  </si>
  <si>
    <t>other field</t>
  </si>
  <si>
    <t>Top 10 leading fields of technology* (ranking and % share of applications in the field)</t>
  </si>
  <si>
    <t>IT methods for management</t>
  </si>
  <si>
    <t>Medical technology</t>
  </si>
  <si>
    <t>Digital communication</t>
  </si>
  <si>
    <t>Computer technology</t>
  </si>
  <si>
    <t>Electrical machinery, apparatus, energy</t>
  </si>
  <si>
    <t>Transport</t>
  </si>
  <si>
    <t>Pharmaceuticals</t>
  </si>
  <si>
    <t>Measurement</t>
  </si>
  <si>
    <t>Organic fine chemistry</t>
  </si>
  <si>
    <t>Engines, pumps, turbines</t>
  </si>
  <si>
    <t>Biotechnology</t>
  </si>
  <si>
    <t>Other special machines</t>
  </si>
  <si>
    <t>Optics</t>
  </si>
  <si>
    <t>Furniture, games</t>
  </si>
  <si>
    <t xml:space="preserve">Furniture, games </t>
  </si>
  <si>
    <t>Semiconductors</t>
  </si>
  <si>
    <t>Audio-visual technology</t>
  </si>
  <si>
    <t xml:space="preserve">Medical technology                                               </t>
  </si>
  <si>
    <t>Handling</t>
  </si>
  <si>
    <t>Civil engineering</t>
  </si>
  <si>
    <t>Basic communication processes</t>
  </si>
  <si>
    <t>Food chemistry</t>
  </si>
  <si>
    <t>Machine tools</t>
  </si>
  <si>
    <t>Other consumer goods</t>
  </si>
  <si>
    <t xml:space="preserve">Basic materials chemistry </t>
  </si>
  <si>
    <t>Materials, metallurgy</t>
  </si>
  <si>
    <t>Chemical engineering</t>
  </si>
  <si>
    <t>Basic materials chemistry</t>
  </si>
  <si>
    <t>Telecommunications</t>
  </si>
  <si>
    <t>* WIPO fields of technology:</t>
  </si>
  <si>
    <t>https://www.wipo.int/ipstats/en/statistics/patents/xls/ipc_technology.xlsx</t>
  </si>
  <si>
    <t>Analysis of biological materials</t>
  </si>
  <si>
    <t>Control</t>
  </si>
  <si>
    <t>Macromolecular chemistry, polymers</t>
  </si>
  <si>
    <t>Surface technology, coating</t>
  </si>
  <si>
    <t>Micro-structural and nano-technology</t>
  </si>
  <si>
    <t>Environmental technology</t>
  </si>
  <si>
    <t>Textile and paper machines</t>
  </si>
  <si>
    <t>Thermal processes and apparatus</t>
  </si>
  <si>
    <t>Mechanical elements</t>
  </si>
  <si>
    <t>IP5 Patent Statistics</t>
  </si>
  <si>
    <t>Granted Patents by the IP5 Offices by Bloc of Origin</t>
  </si>
  <si>
    <t>Fig. 4.5</t>
  </si>
  <si>
    <t>Fig. 4.6</t>
  </si>
  <si>
    <t>Fig. 4.9</t>
  </si>
  <si>
    <t>Bloc of Origin</t>
  </si>
  <si>
    <t>Patentees distribution</t>
  </si>
  <si>
    <t>Category</t>
  </si>
  <si>
    <t>2 to 5</t>
  </si>
  <si>
    <t>6 to 10</t>
  </si>
  <si>
    <t>11 to 50</t>
  </si>
  <si>
    <t>51 and more</t>
  </si>
  <si>
    <t>Granted patents - sectors of technology</t>
  </si>
  <si>
    <t>Fig. 4.7</t>
  </si>
  <si>
    <t>Some differences with previous editions ay appear due to later revisions</t>
  </si>
  <si>
    <t>Top 10 leading fields of technology* (ranking and % share of granted patents in the field)</t>
  </si>
  <si>
    <t>Fig. 4.8</t>
  </si>
  <si>
    <t>Maintenance of Patents Granted by the IP5 Offices</t>
  </si>
  <si>
    <t>Fig. 4.10</t>
  </si>
  <si>
    <t>Figures indicate the proportion of patents maintained at the end of each patent year measured from the filing date</t>
  </si>
  <si>
    <r>
      <rPr>
        <b/>
        <sz val="14"/>
        <color theme="1"/>
        <rFont val="Arial"/>
        <family val="2"/>
      </rPr>
      <t>EPO</t>
    </r>
    <r>
      <rPr>
        <b/>
        <vertAlign val="superscript"/>
        <sz val="14"/>
        <rFont val="Arial"/>
        <family val="2"/>
      </rPr>
      <t>1</t>
    </r>
  </si>
  <si>
    <t>Patent Year</t>
  </si>
  <si>
    <t>Notes:</t>
  </si>
  <si>
    <t>1. For EPO the EPO a proportion represents a weighted average ratio of the maintenance of the validated European patents in the EPC states.</t>
  </si>
  <si>
    <t>Statistics on the Procedures</t>
  </si>
  <si>
    <t>Table 4.3</t>
  </si>
  <si>
    <t>Item</t>
  </si>
  <si>
    <r>
      <rPr>
        <sz val="10"/>
        <rFont val="Arial"/>
        <family val="2"/>
      </rPr>
      <t>examination rate</t>
    </r>
    <r>
      <rPr>
        <vertAlign val="superscript"/>
        <sz val="10"/>
        <rFont val="Arial"/>
        <family val="2"/>
      </rPr>
      <t>1</t>
    </r>
  </si>
  <si>
    <t>examination rate</t>
  </si>
  <si>
    <r>
      <rPr>
        <sz val="10"/>
        <rFont val="Arial"/>
        <family val="2"/>
      </rPr>
      <t>grant rate</t>
    </r>
    <r>
      <rPr>
        <vertAlign val="superscript"/>
        <sz val="10"/>
        <rFont val="Arial"/>
        <family val="2"/>
      </rPr>
      <t>2</t>
    </r>
  </si>
  <si>
    <t>grant rate</t>
  </si>
  <si>
    <t>opposition rate</t>
  </si>
  <si>
    <t xml:space="preserve"> -  </t>
  </si>
  <si>
    <t>appeal rate on</t>
  </si>
  <si>
    <t>examinations</t>
  </si>
  <si>
    <t>pending applications</t>
  </si>
  <si>
    <t>in search</t>
  </si>
  <si>
    <t>pendency search in</t>
  </si>
  <si>
    <t>months</t>
  </si>
  <si>
    <t>applications awaiting</t>
  </si>
  <si>
    <t>request for</t>
  </si>
  <si>
    <t>examination</t>
  </si>
  <si>
    <r>
      <rPr>
        <sz val="10"/>
        <rFont val="Arial"/>
        <family val="2"/>
      </rPr>
      <t>examination</t>
    </r>
    <r>
      <rPr>
        <vertAlign val="superscript"/>
        <sz val="10"/>
        <rFont val="Arial"/>
        <family val="2"/>
      </rPr>
      <t>3</t>
    </r>
  </si>
  <si>
    <r>
      <rPr>
        <sz val="10"/>
        <rFont val="Arial"/>
        <family val="2"/>
      </rPr>
      <t>in examination</t>
    </r>
    <r>
      <rPr>
        <vertAlign val="superscript"/>
        <sz val="10"/>
        <rFont val="Arial"/>
        <family val="2"/>
      </rPr>
      <t>3</t>
    </r>
  </si>
  <si>
    <t>in examination</t>
  </si>
  <si>
    <t>pendency first office</t>
  </si>
  <si>
    <r>
      <rPr>
        <sz val="10"/>
        <rFont val="Arial"/>
        <family val="2"/>
      </rPr>
      <t>action in months</t>
    </r>
    <r>
      <rPr>
        <vertAlign val="superscript"/>
        <sz val="10"/>
        <rFont val="Arial"/>
        <family val="2"/>
      </rPr>
      <t>4</t>
    </r>
  </si>
  <si>
    <r>
      <rPr>
        <sz val="10"/>
        <rFont val="Arial"/>
        <family val="2"/>
      </rPr>
      <t>action in months</t>
    </r>
    <r>
      <rPr>
        <vertAlign val="superscript"/>
        <sz val="10"/>
        <rFont val="Arial"/>
        <family val="2"/>
      </rPr>
      <t>3</t>
    </r>
  </si>
  <si>
    <t>n.a</t>
  </si>
  <si>
    <t>pendency</t>
  </si>
  <si>
    <t>final actions in</t>
  </si>
  <si>
    <r>
      <rPr>
        <sz val="10"/>
        <rFont val="Arial"/>
        <family val="2"/>
      </rPr>
      <t>months</t>
    </r>
    <r>
      <rPr>
        <vertAlign val="superscript"/>
        <sz val="10"/>
        <rFont val="Arial"/>
        <family val="2"/>
      </rPr>
      <t>5</t>
    </r>
  </si>
  <si>
    <t>in opposition</t>
  </si>
  <si>
    <t>pendency opposition</t>
  </si>
  <si>
    <t>20.4</t>
  </si>
  <si>
    <t>in months</t>
  </si>
  <si>
    <t>pendency time in</t>
  </si>
  <si>
    <t>invalidation in months</t>
  </si>
  <si>
    <r>
      <rPr>
        <i/>
        <vertAlign val="superscript"/>
        <sz val="10"/>
        <rFont val="Arial"/>
        <family val="2"/>
      </rPr>
      <t>1</t>
    </r>
    <r>
      <rPr>
        <i/>
        <sz val="10"/>
        <rFont val="Arial"/>
        <family val="2"/>
      </rPr>
      <t xml:space="preserve"> For the CNIPA, only the numbers are available of patent applications entering into the substantial examination phase in the respective year.</t>
    </r>
  </si>
  <si>
    <r>
      <rPr>
        <i/>
        <vertAlign val="superscript"/>
        <sz val="10"/>
        <rFont val="Arial"/>
        <family val="2"/>
      </rPr>
      <t>2</t>
    </r>
    <r>
      <rPr>
        <i/>
        <sz val="10"/>
        <rFont val="Arial"/>
        <family val="2"/>
      </rPr>
      <t xml:space="preserve"> For the CNIPA, only the numbers are available of grants in the respective year.</t>
    </r>
  </si>
  <si>
    <t xml:space="preserve">3 For the MOIP, only the unexamined patent applications with a request for examination filed have been counted. In the previous reports, the figure of this category included the entire unexamined patent applications. </t>
  </si>
  <si>
    <t xml:space="preserve">  For the EPO, the slight increase reflects prioritisation of search work and subsequent reduction in search backlog.</t>
  </si>
  <si>
    <r>
      <rPr>
        <i/>
        <vertAlign val="superscript"/>
        <sz val="10"/>
        <rFont val="Arial"/>
        <family val="2"/>
      </rPr>
      <t>4</t>
    </r>
    <r>
      <rPr>
        <i/>
        <sz val="10"/>
        <rFont val="Arial"/>
        <family val="2"/>
      </rPr>
      <t xml:space="preserve"> For the EPO, the first office action is the extended European search report that includes a written opinion on patentability, or in the case of a PCT without supplementary search, the international search report with a written opinion. This new approach was adopted in 2015.  Pendency is measured by the median delay. As from 2018, pendency is measured by the mean average delay. </t>
    </r>
  </si>
  <si>
    <r>
      <rPr>
        <i/>
        <vertAlign val="superscript"/>
        <sz val="10"/>
        <rFont val="Arial"/>
        <family val="2"/>
      </rPr>
      <t>5</t>
    </r>
    <r>
      <rPr>
        <i/>
        <sz val="10"/>
        <rFont val="Arial"/>
        <family val="2"/>
      </rPr>
      <t xml:space="preserve"> The pendency in examination is calculated from the date at which the file was allocated for examination.  Pendency is measured by the median delay. As from 2018, pendency is measured by the mean average delay. </t>
    </r>
  </si>
  <si>
    <t xml:space="preserve">  (EPO, usually 6 months after the first action), the date of the request for examination (JPO, MOIP), the date on which the application enters the substantive examination phase (SIPO), and the filing date (USPTO). See Annex 2. </t>
  </si>
  <si>
    <t xml:space="preserve">  For the JPO, the pendency time is the number of months in FY until 2017 and in CY from 2018; and excludes some cases where the JPO requests an applicant to respond to the second notification of reasons for refusal; </t>
  </si>
  <si>
    <t xml:space="preserve">  and where the applicant performs procedures they are allowed to use, such as requests for extension of the period of response and for an accelerated examination.</t>
  </si>
  <si>
    <t>Applications and grants filed via the PCT</t>
  </si>
  <si>
    <t xml:space="preserve">Fig. 5.1, 5.2, 5.3, 5.4, &amp; 5.6 </t>
  </si>
  <si>
    <t>Filings</t>
  </si>
  <si>
    <t>All</t>
  </si>
  <si>
    <t>Nat/Reg entry</t>
  </si>
  <si>
    <t>PCT in procedure</t>
  </si>
  <si>
    <t>Fig. 5.6</t>
  </si>
  <si>
    <t>As from the 2012 data, statistics are compiled on the EPO worldwide patent statistics database (PATSTAT)</t>
  </si>
  <si>
    <t>PCT Activities of the IP5 Offices</t>
  </si>
  <si>
    <t>Fig, 5.7, 5.8 &amp; 5.9</t>
  </si>
  <si>
    <t>Receiving Office</t>
  </si>
  <si>
    <t>Interational Searching Authority</t>
  </si>
  <si>
    <t>Interational Preliminary Examination Authority</t>
  </si>
  <si>
    <t>Fig. 5.9</t>
  </si>
  <si>
    <t>Five Offices</t>
  </si>
  <si>
    <t>Other Work of the IP5 Offices</t>
  </si>
  <si>
    <t>Table 6</t>
  </si>
  <si>
    <t>Activity</t>
  </si>
  <si>
    <t xml:space="preserve">Search for national offices </t>
  </si>
  <si>
    <t>Design patent</t>
  </si>
  <si>
    <t>Utility model patent</t>
  </si>
  <si>
    <t>Trademark</t>
  </si>
  <si>
    <t>Plant</t>
  </si>
  <si>
    <t>Re-issue</t>
  </si>
  <si>
    <t>Provisional applications</t>
  </si>
  <si>
    <t>Staff</t>
    <phoneticPr fontId="93" type="noConversion"/>
  </si>
  <si>
    <t>Property and equipment maintenance</t>
    <phoneticPr fontId="93" type="noConversion"/>
  </si>
  <si>
    <t>EDP equipment maintenance</t>
    <phoneticPr fontId="93" type="noConversion"/>
  </si>
  <si>
    <t>General operating expenditure</t>
    <phoneticPr fontId="93" type="noConversion"/>
  </si>
  <si>
    <t>Other expenses</t>
    <phoneticPr fontId="93" type="noConversion"/>
  </si>
  <si>
    <t>Information management</t>
    <phoneticPr fontId="93" type="noConversion"/>
  </si>
  <si>
    <t>Examinations and appeals/trials</t>
    <phoneticPr fontId="93" type="noConversion"/>
  </si>
  <si>
    <t>Publication of patent gazette</t>
    <phoneticPr fontId="93" type="noConversion"/>
  </si>
  <si>
    <t>Computerization of patent processing work</t>
    <phoneticPr fontId="93" type="noConversion"/>
  </si>
  <si>
    <t>Facility improvement</t>
    <phoneticPr fontId="93" type="noConversion"/>
  </si>
  <si>
    <t>Operating subsidies for INPIT</t>
    <phoneticPr fontId="93" type="noConversion"/>
  </si>
  <si>
    <t>Other</t>
    <phoneticPr fontId="93" type="noConversion"/>
  </si>
  <si>
    <t>General processing work</t>
    <phoneticPr fontId="93" type="noConversion"/>
  </si>
  <si>
    <t>Personnel resources</t>
    <phoneticPr fontId="93" type="noConversion"/>
  </si>
  <si>
    <t>Internal business</t>
    <phoneticPr fontId="93" type="noConversion"/>
  </si>
  <si>
    <t>Primary business expenses</t>
    <phoneticPr fontId="93" type="noConversion"/>
  </si>
  <si>
    <t>Salaries and Benefits:</t>
    <phoneticPr fontId="93" type="noConversion"/>
  </si>
  <si>
    <t>Equipments</t>
    <phoneticPr fontId="93" type="noConversion"/>
  </si>
  <si>
    <t>Rents and Utilities</t>
    <phoneticPr fontId="93" type="noConversion"/>
  </si>
  <si>
    <t>Printing</t>
    <phoneticPr fontId="93" type="noConversion"/>
  </si>
  <si>
    <t>Other expenses:</t>
    <phoneticPr fontId="93" type="noConversion"/>
  </si>
  <si>
    <t>Administrative Operation</t>
    <phoneticPr fontId="93" type="noConversion"/>
  </si>
  <si>
    <t>Examination</t>
    <phoneticPr fontId="93" type="noConversion"/>
  </si>
  <si>
    <t>Social and Housing Security, Pension</t>
    <phoneticPr fontId="93" type="noConversion"/>
  </si>
  <si>
    <t>Others</t>
    <phoneticPr fontId="9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</si>
</sst>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 * #,##0.00_ ;_ * \-#,##0.00_ ;_ * &quot;-&quot;??_ ;_ @_ "/>
    <numFmt numFmtId="165" formatCode="_(&quot;$&quot;* #,##0.00_);_(&quot;$&quot;* \(#,##0.00\);_(&quot;$&quot;* &quot;-&quot;??_);_(@_)"/>
    <numFmt numFmtId="166" formatCode="#,##0_);[Red]\(#,##0\)"/>
    <numFmt numFmtId="167" formatCode="0.0%"/>
    <numFmt numFmtId="168" formatCode="_ * #,##0_ ;_ * \-#,##0_ ;_ * &quot;-&quot;??_ ;_ @_ "/>
    <numFmt numFmtId="169" formatCode="#,##0_ "/>
    <numFmt numFmtId="170" formatCode="0_);[Red]\(0\)"/>
    <numFmt numFmtId="171" formatCode="#,##0.0;[Red]\-#,##0.0"/>
    <numFmt numFmtId="172" formatCode="0.0"/>
    <numFmt numFmtId="173" formatCode="#,##0.0"/>
    <numFmt numFmtId="174" formatCode="#,##0.0_ "/>
    <numFmt numFmtId="175" formatCode="0_ "/>
    <numFmt numFmtId="176" formatCode="&quot;(&quot;0.0%&quot;)&quot;"/>
    <numFmt numFmtId="177" formatCode="\(0.0%\)"/>
    <numFmt numFmtId="178" formatCode="#\ ##0"/>
  </numFmts>
  <fonts count="94">
    <font>
      <sz val="11"/>
      <color theme="1"/>
      <name val="Calibri"/>
      <charset val="134"/>
      <scheme val="minor"/>
    </font>
    <font>
      <sz val="11"/>
      <color indexed="10"/>
      <name val="Arial"/>
      <family val="2"/>
    </font>
    <font>
      <sz val="11"/>
      <name val="Arial"/>
      <family val="2"/>
    </font>
    <font>
      <b/>
      <sz val="12"/>
      <name val="Arial"/>
      <family val="2"/>
    </font>
    <font>
      <b/>
      <sz val="11"/>
      <name val="Arial"/>
      <family val="2"/>
    </font>
    <font>
      <b/>
      <sz val="10"/>
      <name val="Arial"/>
      <family val="2"/>
    </font>
    <font>
      <sz val="11"/>
      <name val="ＭＳ Ｐゴシック"/>
      <family val="2"/>
    </font>
    <font>
      <sz val="10"/>
      <name val="Arial"/>
      <family val="2"/>
    </font>
    <font>
      <b/>
      <u/>
      <sz val="14"/>
      <color theme="10"/>
      <name val="Calibri"/>
      <family val="3"/>
      <charset val="134"/>
      <scheme val="minor"/>
    </font>
    <font>
      <sz val="11"/>
      <color theme="1"/>
      <name val="Arial"/>
      <family val="2"/>
    </font>
    <font>
      <sz val="12"/>
      <color theme="1"/>
      <name val="Arial"/>
      <family val="2"/>
    </font>
    <font>
      <sz val="11"/>
      <color indexed="48"/>
      <name val="ＭＳ Ｐゴシック"/>
      <family val="2"/>
    </font>
    <font>
      <sz val="11"/>
      <color indexed="48"/>
      <name val="Arial"/>
      <family val="2"/>
    </font>
    <font>
      <sz val="11"/>
      <name val="Calibri"/>
      <family val="3"/>
      <charset val="134"/>
      <scheme val="minor"/>
    </font>
    <font>
      <sz val="10"/>
      <color theme="1"/>
      <name val="Arial"/>
      <family val="2"/>
    </font>
    <font>
      <sz val="11"/>
      <color theme="1"/>
      <name val="ＭＳ Ｐゴシック"/>
      <family val="2"/>
    </font>
    <font>
      <sz val="11"/>
      <color theme="1"/>
      <name val="Calibri"/>
      <family val="3"/>
      <charset val="134"/>
      <scheme val="minor"/>
    </font>
    <font>
      <b/>
      <u/>
      <sz val="14"/>
      <color theme="10"/>
      <name val="Calibri"/>
      <family val="3"/>
      <charset val="134"/>
      <scheme val="minor"/>
    </font>
    <font>
      <sz val="11"/>
      <name val="Calibri"/>
      <family val="3"/>
      <charset val="134"/>
      <scheme val="minor"/>
    </font>
    <font>
      <b/>
      <sz val="11"/>
      <color theme="1"/>
      <name val="Calibri"/>
      <family val="3"/>
      <charset val="134"/>
      <scheme val="minor"/>
    </font>
    <font>
      <i/>
      <sz val="11"/>
      <color theme="1"/>
      <name val="Calibri"/>
      <family val="3"/>
      <charset val="134"/>
      <scheme val="minor"/>
    </font>
    <font>
      <b/>
      <sz val="11"/>
      <color rgb="FF0000CC"/>
      <name val="Calibri"/>
      <family val="3"/>
      <charset val="134"/>
      <scheme val="minor"/>
    </font>
    <font>
      <sz val="10"/>
      <color indexed="10"/>
      <name val="Arial"/>
      <family val="2"/>
    </font>
    <font>
      <i/>
      <sz val="10"/>
      <name val="Arial"/>
      <family val="2"/>
    </font>
    <font>
      <i/>
      <vertAlign val="superscript"/>
      <sz val="10"/>
      <name val="Arial"/>
      <family val="2"/>
    </font>
    <font>
      <vertAlign val="superscript"/>
      <sz val="9"/>
      <name val="Arial"/>
      <family val="2"/>
    </font>
    <font>
      <i/>
      <sz val="10"/>
      <color indexed="10"/>
      <name val="Arial"/>
      <family val="2"/>
    </font>
    <font>
      <sz val="12"/>
      <name val="Arial"/>
      <family val="2"/>
    </font>
    <font>
      <sz val="11"/>
      <color indexed="10"/>
      <name val="Calibri"/>
      <family val="3"/>
      <charset val="134"/>
      <scheme val="minor"/>
    </font>
    <font>
      <sz val="12"/>
      <color indexed="10"/>
      <name val="Arial"/>
      <family val="2"/>
    </font>
    <font>
      <b/>
      <sz val="14"/>
      <color theme="1"/>
      <name val="Arial"/>
      <family val="2"/>
    </font>
    <font>
      <b/>
      <sz val="14"/>
      <name val="Arial"/>
      <family val="2"/>
    </font>
    <font>
      <b/>
      <sz val="11"/>
      <color indexed="10"/>
      <name val="Arial"/>
      <family val="2"/>
    </font>
    <font>
      <b/>
      <i/>
      <sz val="14"/>
      <name val="Calibri"/>
      <family val="3"/>
      <charset val="134"/>
      <scheme val="minor"/>
    </font>
    <font>
      <sz val="11"/>
      <name val="Calibri"/>
      <family val="3"/>
      <charset val="134"/>
      <scheme val="minor"/>
    </font>
    <font>
      <sz val="11"/>
      <color theme="0"/>
      <name val="Calibri"/>
      <family val="3"/>
      <charset val="134"/>
      <scheme val="minor"/>
    </font>
    <font>
      <sz val="11"/>
      <color theme="1"/>
      <name val="Calibri"/>
      <family val="3"/>
      <charset val="134"/>
      <scheme val="minor"/>
    </font>
    <font>
      <b/>
      <sz val="16"/>
      <color theme="1"/>
      <name val="Calibri"/>
      <family val="3"/>
      <charset val="134"/>
      <scheme val="minor"/>
    </font>
    <font>
      <b/>
      <sz val="14"/>
      <color theme="1"/>
      <name val="Calibri"/>
      <family val="3"/>
      <charset val="134"/>
      <scheme val="minor"/>
    </font>
    <font>
      <sz val="12"/>
      <color theme="1"/>
      <name val="Calibri"/>
      <family val="3"/>
      <charset val="134"/>
      <scheme val="minor"/>
    </font>
    <font>
      <sz val="10"/>
      <name val="Calibri"/>
      <family val="3"/>
      <charset val="134"/>
      <scheme val="minor"/>
    </font>
    <font>
      <sz val="10"/>
      <color theme="1"/>
      <name val="Calibri"/>
      <family val="3"/>
      <charset val="134"/>
      <scheme val="minor"/>
    </font>
    <font>
      <sz val="10"/>
      <color theme="0"/>
      <name val="Calibri"/>
      <family val="3"/>
      <charset val="134"/>
      <scheme val="minor"/>
    </font>
    <font>
      <sz val="10"/>
      <color theme="1"/>
      <name val="Calibri"/>
      <family val="3"/>
      <charset val="134"/>
      <scheme val="minor"/>
    </font>
    <font>
      <sz val="11"/>
      <color theme="0"/>
      <name val="Calibri"/>
      <family val="3"/>
      <charset val="134"/>
      <scheme val="minor"/>
    </font>
    <font>
      <sz val="11"/>
      <color theme="1"/>
      <name val="Calibri"/>
      <family val="3"/>
      <charset val="134"/>
      <scheme val="minor"/>
    </font>
    <font>
      <sz val="10"/>
      <color theme="0"/>
      <name val="Calibri"/>
      <family val="3"/>
      <charset val="134"/>
      <scheme val="minor"/>
    </font>
    <font>
      <b/>
      <sz val="16"/>
      <color theme="1"/>
      <name val="Calibri"/>
      <family val="3"/>
      <charset val="134"/>
      <scheme val="minor"/>
    </font>
    <font>
      <b/>
      <sz val="14"/>
      <color theme="1"/>
      <name val="Calibri"/>
      <family val="3"/>
      <charset val="134"/>
      <scheme val="minor"/>
    </font>
    <font>
      <sz val="11"/>
      <color theme="1"/>
      <name val="Calibri"/>
      <family val="3"/>
      <charset val="134"/>
      <scheme val="minor"/>
    </font>
    <font>
      <i/>
      <sz val="11"/>
      <color theme="1"/>
      <name val="Calibri"/>
      <family val="3"/>
      <charset val="134"/>
      <scheme val="minor"/>
    </font>
    <font>
      <sz val="11"/>
      <color rgb="FF0000CC"/>
      <name val="Calibri"/>
      <family val="3"/>
      <charset val="134"/>
      <scheme val="minor"/>
    </font>
    <font>
      <i/>
      <sz val="11"/>
      <name val="Arial"/>
      <family val="2"/>
    </font>
    <font>
      <b/>
      <u/>
      <sz val="14"/>
      <color theme="8" tint="-0.249977111117893"/>
      <name val="Calibri"/>
      <family val="3"/>
      <charset val="134"/>
      <scheme val="minor"/>
    </font>
    <font>
      <sz val="11"/>
      <color rgb="FF0000CC"/>
      <name val="Arial"/>
      <family val="2"/>
    </font>
    <font>
      <b/>
      <sz val="9"/>
      <name val="Arial"/>
      <family val="2"/>
    </font>
    <font>
      <sz val="11"/>
      <color theme="0"/>
      <name val="Arial"/>
      <family val="2"/>
    </font>
    <font>
      <sz val="9"/>
      <name val="Arial"/>
      <family val="2"/>
    </font>
    <font>
      <b/>
      <sz val="9"/>
      <color rgb="FF0000CC"/>
      <name val="Arial"/>
      <family val="2"/>
    </font>
    <font>
      <sz val="11"/>
      <color rgb="FFC00000"/>
      <name val="Calibri"/>
      <family val="3"/>
      <charset val="134"/>
      <scheme val="minor"/>
    </font>
    <font>
      <sz val="11"/>
      <color theme="2"/>
      <name val="Calibri"/>
      <family val="3"/>
      <charset val="134"/>
      <scheme val="minor"/>
    </font>
    <font>
      <sz val="10"/>
      <name val="Calibri"/>
      <family val="3"/>
      <charset val="134"/>
      <scheme val="minor"/>
    </font>
    <font>
      <sz val="10"/>
      <color theme="1"/>
      <name val="Calibri"/>
      <family val="3"/>
      <charset val="134"/>
      <scheme val="minor"/>
    </font>
    <font>
      <b/>
      <sz val="11"/>
      <color theme="1"/>
      <name val="Calibri"/>
      <family val="2"/>
    </font>
    <font>
      <sz val="12"/>
      <color theme="1"/>
      <name val="Calibri"/>
      <family val="3"/>
      <charset val="134"/>
      <scheme val="minor"/>
    </font>
    <font>
      <sz val="11"/>
      <name val="Calibri"/>
      <family val="2"/>
    </font>
    <font>
      <b/>
      <sz val="11"/>
      <name val="Calibri"/>
      <family val="3"/>
      <charset val="134"/>
      <scheme val="minor"/>
    </font>
    <font>
      <b/>
      <sz val="11"/>
      <color rgb="FFFF0000"/>
      <name val="Calibri"/>
      <family val="3"/>
      <charset val="134"/>
      <scheme val="minor"/>
    </font>
    <font>
      <sz val="11"/>
      <color indexed="18"/>
      <name val="Calibri"/>
      <family val="3"/>
      <charset val="134"/>
      <scheme val="minor"/>
    </font>
    <font>
      <sz val="11"/>
      <color rgb="FFFF0000"/>
      <name val="Calibri"/>
      <family val="3"/>
      <charset val="134"/>
      <scheme val="minor"/>
    </font>
    <font>
      <sz val="14"/>
      <color theme="1"/>
      <name val="Arial"/>
      <family val="2"/>
    </font>
    <font>
      <b/>
      <sz val="16"/>
      <color theme="1"/>
      <name val="Arial"/>
      <family val="2"/>
    </font>
    <font>
      <b/>
      <sz val="14"/>
      <color rgb="FF0000CC"/>
      <name val="Arial"/>
      <family val="2"/>
    </font>
    <font>
      <u/>
      <sz val="12"/>
      <color theme="1"/>
      <name val="Arial"/>
      <family val="2"/>
    </font>
    <font>
      <sz val="14"/>
      <name val="Arial"/>
      <family val="2"/>
    </font>
    <font>
      <i/>
      <sz val="11"/>
      <color theme="1"/>
      <name val="Arial"/>
      <family val="2"/>
    </font>
    <font>
      <u/>
      <sz val="11"/>
      <color theme="10"/>
      <name val="Calibri"/>
      <family val="3"/>
      <charset val="134"/>
      <scheme val="minor"/>
    </font>
    <font>
      <sz val="14"/>
      <color rgb="FF008000"/>
      <name val="Arial"/>
      <family val="2"/>
    </font>
    <font>
      <sz val="9"/>
      <name val="ＭＳ Ｐゴシック"/>
      <family val="2"/>
    </font>
    <font>
      <sz val="10"/>
      <name val="Helvetica"/>
      <family val="2"/>
    </font>
    <font>
      <b/>
      <sz val="18"/>
      <color theme="3"/>
      <name val="Calibri Light"/>
      <family val="3"/>
      <charset val="134"/>
      <scheme val="major"/>
    </font>
    <font>
      <b/>
      <sz val="11"/>
      <color theme="0"/>
      <name val="Calibri"/>
      <family val="3"/>
      <charset val="134"/>
      <scheme val="minor"/>
    </font>
    <font>
      <sz val="11"/>
      <color rgb="FF9C6500"/>
      <name val="Calibri"/>
      <family val="3"/>
      <charset val="134"/>
      <scheme val="minor"/>
    </font>
    <font>
      <sz val="11"/>
      <color rgb="FFFA7D00"/>
      <name val="Calibri"/>
      <family val="3"/>
      <charset val="134"/>
      <scheme val="minor"/>
    </font>
    <font>
      <u/>
      <sz val="11"/>
      <color theme="10"/>
      <name val="Calibri"/>
      <family val="3"/>
      <charset val="134"/>
      <scheme val="minor"/>
    </font>
    <font>
      <sz val="11"/>
      <color rgb="FF9C0006"/>
      <name val="맑은 고딕"/>
      <family val="2"/>
    </font>
    <font>
      <sz val="11"/>
      <color rgb="FF3F3F76"/>
      <name val="Calibri"/>
      <family val="3"/>
      <charset val="134"/>
      <scheme val="minor"/>
    </font>
    <font>
      <vertAlign val="superscript"/>
      <sz val="10"/>
      <name val="Arial"/>
      <family val="2"/>
    </font>
    <font>
      <b/>
      <vertAlign val="superscript"/>
      <sz val="14"/>
      <name val="Arial"/>
      <family val="2"/>
    </font>
    <font>
      <b/>
      <i/>
      <u/>
      <sz val="11"/>
      <color theme="10"/>
      <name val="Calibri"/>
      <family val="2"/>
    </font>
    <font>
      <sz val="9"/>
      <name val="宋体"/>
      <family val="3"/>
      <charset val="134"/>
    </font>
    <font>
      <sz val="18"/>
      <name val="Arial"/>
      <family val="2"/>
    </font>
    <font>
      <sz val="16"/>
      <name val="Arial"/>
      <family val="2"/>
    </font>
    <font>
      <sz val="9"/>
      <name val="Calibri"/>
      <family val="3"/>
      <charset val="134"/>
      <scheme val="minor"/>
    </font>
  </fonts>
  <fills count="40">
    <fill>
      <patternFill patternType="none"/>
    </fill>
    <fill>
      <patternFill patternType="gray125"/>
    </fill>
    <fill>
      <patternFill patternType="solid">
        <fgColor theme="2"/>
        <bgColor indexed="64"/>
      </patternFill>
    </fill>
    <fill>
      <patternFill patternType="solid">
        <fgColor theme="7" tint="0.79992065187536243"/>
        <bgColor indexed="64"/>
      </patternFill>
    </fill>
    <fill>
      <patternFill patternType="solid">
        <fgColor theme="0"/>
        <bgColor indexed="64"/>
      </patternFill>
    </fill>
    <fill>
      <patternFill patternType="solid">
        <fgColor theme="7" tint="0.79995117038483843"/>
        <bgColor indexed="64"/>
      </patternFill>
    </fill>
    <fill>
      <patternFill patternType="solid">
        <fgColor theme="9" tint="0.39994506668294322"/>
        <bgColor indexed="64"/>
      </patternFill>
    </fill>
    <fill>
      <patternFill patternType="solid">
        <fgColor theme="4" tint="-0.249977111117893"/>
        <bgColor indexed="64"/>
      </patternFill>
    </fill>
    <fill>
      <patternFill patternType="solid">
        <fgColor theme="8" tint="0.79992065187536243"/>
        <bgColor indexed="64"/>
      </patternFill>
    </fill>
    <fill>
      <patternFill patternType="solid">
        <fgColor indexed="9"/>
        <bgColor indexed="64"/>
      </patternFill>
    </fill>
    <fill>
      <patternFill patternType="solid">
        <fgColor theme="0" tint="-0.14993743705557422"/>
        <bgColor indexed="64"/>
      </patternFill>
    </fill>
    <fill>
      <patternFill patternType="solid">
        <fgColor theme="4" tint="0.39988402966399123"/>
        <bgColor indexed="64"/>
      </patternFill>
    </fill>
    <fill>
      <patternFill patternType="solid">
        <fgColor theme="4" tint="0.79989013336588644"/>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9" tint="0.7999206518753624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1454817346722"/>
        <bgColor indexed="64"/>
      </patternFill>
    </fill>
    <fill>
      <patternFill patternType="solid">
        <fgColor theme="5" tint="0.39991454817346722"/>
        <bgColor indexed="64"/>
      </patternFill>
    </fill>
    <fill>
      <patternFill patternType="solid">
        <fgColor theme="6" tint="0.39991454817346722"/>
        <bgColor indexed="64"/>
      </patternFill>
    </fill>
    <fill>
      <patternFill patternType="solid">
        <fgColor theme="7" tint="0.39991454817346722"/>
        <bgColor indexed="64"/>
      </patternFill>
    </fill>
    <fill>
      <patternFill patternType="solid">
        <fgColor theme="8" tint="0.39991454817346722"/>
        <bgColor indexed="64"/>
      </patternFill>
    </fill>
    <fill>
      <patternFill patternType="solid">
        <fgColor theme="9" tint="0.39991454817346722"/>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FCC99"/>
        <bgColor indexed="64"/>
      </patternFill>
    </fill>
  </fills>
  <borders count="278">
    <border>
      <left/>
      <right/>
      <top/>
      <bottom/>
      <diagonal/>
    </border>
    <border>
      <left style="medium">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bottom/>
      <diagonal/>
    </border>
    <border>
      <left style="medium">
        <color auto="1"/>
      </left>
      <right style="medium">
        <color auto="1"/>
      </right>
      <top/>
      <bottom/>
      <diagonal/>
    </border>
    <border>
      <left style="thin">
        <color auto="1"/>
      </left>
      <right style="thin">
        <color auto="1"/>
      </right>
      <top/>
      <bottom/>
      <diagonal/>
    </border>
    <border>
      <left style="medium">
        <color auto="1"/>
      </left>
      <right style="medium">
        <color auto="1"/>
      </right>
      <top style="thin">
        <color auto="1"/>
      </top>
      <bottom/>
      <diagonal/>
    </border>
    <border>
      <left style="medium">
        <color auto="1"/>
      </left>
      <right style="medium">
        <color auto="1"/>
      </right>
      <top style="thin">
        <color auto="1"/>
      </top>
      <bottom style="hair">
        <color auto="1"/>
      </bottom>
      <diagonal/>
    </border>
    <border>
      <left/>
      <right/>
      <top style="thin">
        <color auto="1"/>
      </top>
      <bottom/>
      <diagonal/>
    </border>
    <border>
      <left style="thin">
        <color auto="1"/>
      </left>
      <right style="thin">
        <color auto="1"/>
      </right>
      <top style="thin">
        <color auto="1"/>
      </top>
      <bottom/>
      <diagonal/>
    </border>
    <border>
      <left style="medium">
        <color auto="1"/>
      </left>
      <right style="medium">
        <color auto="1"/>
      </right>
      <top style="hair">
        <color auto="1"/>
      </top>
      <bottom style="hair">
        <color auto="1"/>
      </bottom>
      <diagonal/>
    </border>
    <border>
      <left/>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style="medium">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hair">
        <color auto="1"/>
      </bottom>
      <diagonal/>
    </border>
    <border>
      <left style="thin">
        <color auto="1"/>
      </left>
      <right style="thin">
        <color auto="1"/>
      </right>
      <top style="thin">
        <color auto="1"/>
      </top>
      <bottom style="hair">
        <color auto="1"/>
      </bottom>
      <diagonal/>
    </border>
    <border>
      <left style="medium">
        <color auto="1"/>
      </left>
      <right style="medium">
        <color auto="1"/>
      </right>
      <top style="hair">
        <color auto="1"/>
      </top>
      <bottom style="thin">
        <color auto="1"/>
      </bottom>
      <diagonal/>
    </border>
    <border>
      <left/>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style="medium">
        <color auto="1"/>
      </right>
      <top style="hair">
        <color auto="1"/>
      </top>
      <bottom/>
      <diagonal/>
    </border>
    <border>
      <left/>
      <right/>
      <top style="hair">
        <color auto="1"/>
      </top>
      <bottom/>
      <diagonal/>
    </border>
    <border>
      <left style="thin">
        <color auto="1"/>
      </left>
      <right style="thin">
        <color auto="1"/>
      </right>
      <top style="hair">
        <color auto="1"/>
      </top>
      <bottom/>
      <diagonal/>
    </border>
    <border>
      <left style="medium">
        <color auto="1"/>
      </left>
      <right style="medium">
        <color auto="1"/>
      </right>
      <top/>
      <bottom style="medium">
        <color auto="1"/>
      </bottom>
      <diagonal/>
    </border>
    <border>
      <left/>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style="hair">
        <color auto="1"/>
      </top>
      <bottom style="hair">
        <color auto="1"/>
      </bottom>
      <diagonal/>
    </border>
    <border>
      <left style="thin">
        <color auto="1"/>
      </left>
      <right/>
      <top/>
      <bottom style="thin">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thin">
        <color auto="1"/>
      </left>
      <right/>
      <top style="hair">
        <color auto="1"/>
      </top>
      <bottom/>
      <diagonal/>
    </border>
    <border>
      <left style="thin">
        <color auto="1"/>
      </left>
      <right/>
      <top/>
      <bottom style="medium">
        <color auto="1"/>
      </bottom>
      <diagonal/>
    </border>
    <border>
      <left style="thin">
        <color auto="1"/>
      </left>
      <right style="thin">
        <color auto="1"/>
      </right>
      <top style="hair">
        <color auto="1"/>
      </top>
      <bottom style="medium">
        <color auto="1"/>
      </bottom>
      <diagonal/>
    </border>
    <border>
      <left style="thin">
        <color auto="1"/>
      </left>
      <right style="thin">
        <color auto="1"/>
      </right>
      <top style="medium">
        <color theme="1"/>
      </top>
      <bottom style="thin">
        <color auto="1"/>
      </bottom>
      <diagonal/>
    </border>
    <border>
      <left/>
      <right/>
      <top style="medium">
        <color theme="1"/>
      </top>
      <bottom style="thin">
        <color auto="1"/>
      </bottom>
      <diagonal/>
    </border>
    <border>
      <left/>
      <right/>
      <top/>
      <bottom style="medium">
        <color theme="1"/>
      </bottom>
      <diagonal/>
    </border>
    <border>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hair">
        <color auto="1"/>
      </bottom>
      <diagonal/>
    </border>
    <border>
      <left style="medium">
        <color auto="1"/>
      </left>
      <right style="medium">
        <color auto="1"/>
      </right>
      <top/>
      <bottom style="hair">
        <color auto="1"/>
      </bottom>
      <diagonal/>
    </border>
    <border>
      <left style="thin">
        <color auto="1"/>
      </left>
      <right style="medium">
        <color auto="1"/>
      </right>
      <top style="hair">
        <color auto="1"/>
      </top>
      <bottom style="hair">
        <color auto="1"/>
      </bottom>
      <diagonal/>
    </border>
    <border>
      <left style="thin">
        <color auto="1"/>
      </left>
      <right style="medium">
        <color auto="1"/>
      </right>
      <top/>
      <bottom style="thin">
        <color auto="1"/>
      </bottom>
      <diagonal/>
    </border>
    <border>
      <left/>
      <right style="medium">
        <color auto="1"/>
      </right>
      <top/>
      <bottom/>
      <diagonal/>
    </border>
    <border>
      <left style="thin">
        <color auto="1"/>
      </left>
      <right style="thin">
        <color auto="1"/>
      </right>
      <top/>
      <bottom style="medium">
        <color theme="1"/>
      </bottom>
      <diagonal/>
    </border>
    <border>
      <left/>
      <right style="medium">
        <color auto="1"/>
      </right>
      <top/>
      <bottom style="medium">
        <color auto="1"/>
      </bottom>
      <diagonal/>
    </border>
    <border>
      <left style="medium">
        <color auto="1"/>
      </left>
      <right style="medium">
        <color auto="1"/>
      </right>
      <top style="hair">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hair">
        <color auto="1"/>
      </top>
      <bottom style="hair">
        <color auto="1"/>
      </bottom>
      <diagonal/>
    </border>
    <border>
      <left/>
      <right/>
      <top style="thin">
        <color auto="1"/>
      </top>
      <bottom style="thin">
        <color auto="1"/>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diagonal/>
    </border>
    <border>
      <left style="medium">
        <color auto="1"/>
      </left>
      <right/>
      <top style="hair">
        <color auto="1"/>
      </top>
      <bottom style="thin">
        <color auto="1"/>
      </bottom>
      <diagonal/>
    </border>
    <border>
      <left style="medium">
        <color auto="1"/>
      </left>
      <right/>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diagonal/>
    </border>
    <border>
      <left style="medium">
        <color auto="1"/>
      </left>
      <right style="thin">
        <color auto="1"/>
      </right>
      <top style="hair">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medium">
        <color auto="1"/>
      </right>
      <top style="medium">
        <color auto="1"/>
      </top>
      <bottom style="thin">
        <color auto="1"/>
      </bottom>
      <diagonal/>
    </border>
    <border>
      <left style="medium">
        <color theme="1"/>
      </left>
      <right style="thin">
        <color theme="1"/>
      </right>
      <top style="medium">
        <color auto="1"/>
      </top>
      <bottom style="thin">
        <color auto="1"/>
      </bottom>
      <diagonal/>
    </border>
    <border>
      <left style="medium">
        <color theme="1"/>
      </left>
      <right style="medium">
        <color theme="1"/>
      </right>
      <top style="medium">
        <color auto="1"/>
      </top>
      <bottom style="thin">
        <color auto="1"/>
      </bottom>
      <diagonal/>
    </border>
    <border>
      <left style="medium">
        <color theme="1"/>
      </left>
      <right style="thin">
        <color theme="1"/>
      </right>
      <top style="thin">
        <color auto="1"/>
      </top>
      <bottom style="hair">
        <color auto="1"/>
      </bottom>
      <diagonal/>
    </border>
    <border>
      <left style="medium">
        <color theme="1"/>
      </left>
      <right style="medium">
        <color theme="1"/>
      </right>
      <top style="thin">
        <color auto="1"/>
      </top>
      <bottom style="hair">
        <color auto="1"/>
      </bottom>
      <diagonal/>
    </border>
    <border>
      <left style="medium">
        <color theme="1"/>
      </left>
      <right style="thin">
        <color theme="1"/>
      </right>
      <top style="hair">
        <color auto="1"/>
      </top>
      <bottom style="hair">
        <color auto="1"/>
      </bottom>
      <diagonal/>
    </border>
    <border>
      <left style="medium">
        <color theme="1"/>
      </left>
      <right style="medium">
        <color theme="1"/>
      </right>
      <top style="hair">
        <color auto="1"/>
      </top>
      <bottom style="hair">
        <color auto="1"/>
      </bottom>
      <diagonal/>
    </border>
    <border>
      <left style="thin">
        <color auto="1"/>
      </left>
      <right style="medium">
        <color auto="1"/>
      </right>
      <top style="hair">
        <color auto="1"/>
      </top>
      <bottom/>
      <diagonal/>
    </border>
    <border>
      <left style="medium">
        <color theme="1"/>
      </left>
      <right style="thin">
        <color theme="1"/>
      </right>
      <top style="hair">
        <color auto="1"/>
      </top>
      <bottom/>
      <diagonal/>
    </border>
    <border>
      <left style="medium">
        <color theme="1"/>
      </left>
      <right style="medium">
        <color theme="1"/>
      </right>
      <top style="hair">
        <color auto="1"/>
      </top>
      <bottom/>
      <diagonal/>
    </border>
    <border>
      <left style="thin">
        <color auto="1"/>
      </left>
      <right style="medium">
        <color auto="1"/>
      </right>
      <top style="hair">
        <color auto="1"/>
      </top>
      <bottom style="thin">
        <color auto="1"/>
      </bottom>
      <diagonal/>
    </border>
    <border>
      <left style="medium">
        <color theme="1"/>
      </left>
      <right style="thin">
        <color theme="1"/>
      </right>
      <top style="hair">
        <color auto="1"/>
      </top>
      <bottom style="thin">
        <color auto="1"/>
      </bottom>
      <diagonal/>
    </border>
    <border>
      <left style="medium">
        <color theme="1"/>
      </left>
      <right style="medium">
        <color theme="1"/>
      </right>
      <top style="hair">
        <color auto="1"/>
      </top>
      <bottom style="thin">
        <color auto="1"/>
      </bottom>
      <diagonal/>
    </border>
    <border>
      <left style="thin">
        <color auto="1"/>
      </left>
      <right style="medium">
        <color auto="1"/>
      </right>
      <top/>
      <bottom/>
      <diagonal/>
    </border>
    <border>
      <left style="medium">
        <color theme="1"/>
      </left>
      <right style="thin">
        <color theme="1"/>
      </right>
      <top/>
      <bottom/>
      <diagonal/>
    </border>
    <border>
      <left style="medium">
        <color theme="1"/>
      </left>
      <right style="medium">
        <color theme="1"/>
      </right>
      <top/>
      <bottom/>
      <diagonal/>
    </border>
    <border>
      <left style="medium">
        <color theme="1"/>
      </left>
      <right style="thin">
        <color theme="1"/>
      </right>
      <top/>
      <bottom style="thin">
        <color auto="1"/>
      </bottom>
      <diagonal/>
    </border>
    <border>
      <left style="medium">
        <color theme="1"/>
      </left>
      <right style="medium">
        <color theme="1"/>
      </right>
      <top/>
      <bottom style="thin">
        <color auto="1"/>
      </bottom>
      <diagonal/>
    </border>
    <border>
      <left style="thin">
        <color auto="1"/>
      </left>
      <right style="medium">
        <color auto="1"/>
      </right>
      <top style="thin">
        <color auto="1"/>
      </top>
      <bottom/>
      <diagonal/>
    </border>
    <border>
      <left style="medium">
        <color auto="1"/>
      </left>
      <right/>
      <top style="thin">
        <color auto="1"/>
      </top>
      <bottom/>
      <diagonal/>
    </border>
    <border>
      <left style="medium">
        <color theme="1"/>
      </left>
      <right style="thin">
        <color theme="1"/>
      </right>
      <top style="thin">
        <color auto="1"/>
      </top>
      <bottom/>
      <diagonal/>
    </border>
    <border>
      <left style="medium">
        <color theme="1"/>
      </left>
      <right style="medium">
        <color theme="1"/>
      </right>
      <top style="thin">
        <color auto="1"/>
      </top>
      <bottom/>
      <diagonal/>
    </border>
    <border>
      <left style="medium">
        <color theme="1"/>
      </left>
      <right style="medium">
        <color auto="1"/>
      </right>
      <top style="medium">
        <color auto="1"/>
      </top>
      <bottom style="thin">
        <color auto="1"/>
      </bottom>
      <diagonal/>
    </border>
    <border>
      <left style="medium">
        <color theme="1"/>
      </left>
      <right style="medium">
        <color auto="1"/>
      </right>
      <top style="thin">
        <color auto="1"/>
      </top>
      <bottom style="hair">
        <color auto="1"/>
      </bottom>
      <diagonal/>
    </border>
    <border>
      <left style="medium">
        <color theme="1"/>
      </left>
      <right style="medium">
        <color auto="1"/>
      </right>
      <top style="hair">
        <color auto="1"/>
      </top>
      <bottom style="hair">
        <color auto="1"/>
      </bottom>
      <diagonal/>
    </border>
    <border>
      <left style="medium">
        <color theme="1"/>
      </left>
      <right style="medium">
        <color auto="1"/>
      </right>
      <top style="hair">
        <color auto="1"/>
      </top>
      <bottom/>
      <diagonal/>
    </border>
    <border>
      <left style="medium">
        <color theme="1"/>
      </left>
      <right style="medium">
        <color auto="1"/>
      </right>
      <top style="hair">
        <color auto="1"/>
      </top>
      <bottom style="thin">
        <color auto="1"/>
      </bottom>
      <diagonal/>
    </border>
    <border>
      <left style="medium">
        <color theme="1"/>
      </left>
      <right style="medium">
        <color auto="1"/>
      </right>
      <top/>
      <bottom/>
      <diagonal/>
    </border>
    <border>
      <left style="medium">
        <color theme="1"/>
      </left>
      <right style="medium">
        <color auto="1"/>
      </right>
      <top/>
      <bottom style="thin">
        <color auto="1"/>
      </bottom>
      <diagonal/>
    </border>
    <border>
      <left style="medium">
        <color theme="1"/>
      </left>
      <right style="medium">
        <color auto="1"/>
      </right>
      <top style="thin">
        <color auto="1"/>
      </top>
      <bottom/>
      <diagonal/>
    </border>
    <border>
      <left style="medium">
        <color theme="1"/>
      </left>
      <right style="medium">
        <color auto="1"/>
      </right>
      <top/>
      <bottom style="hair">
        <color auto="1"/>
      </bottom>
      <diagonal/>
    </border>
    <border>
      <left style="medium">
        <color auto="1"/>
      </left>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theme="1"/>
      </left>
      <right style="thin">
        <color theme="1"/>
      </right>
      <top/>
      <bottom style="medium">
        <color auto="1"/>
      </bottom>
      <diagonal/>
    </border>
    <border>
      <left style="medium">
        <color theme="1"/>
      </left>
      <right style="medium">
        <color theme="1"/>
      </right>
      <top/>
      <bottom style="medium">
        <color auto="1"/>
      </bottom>
      <diagonal/>
    </border>
    <border>
      <left style="medium">
        <color theme="1"/>
      </left>
      <right style="medium">
        <color auto="1"/>
      </right>
      <top/>
      <bottom style="medium">
        <color auto="1"/>
      </bottom>
      <diagonal/>
    </border>
    <border>
      <left style="thin">
        <color auto="1"/>
      </left>
      <right/>
      <top/>
      <bottom style="hair">
        <color auto="1"/>
      </bottom>
      <diagonal/>
    </border>
    <border>
      <left/>
      <right/>
      <top/>
      <bottom style="hair">
        <color auto="1"/>
      </bottom>
      <diagonal/>
    </border>
    <border>
      <left style="thin">
        <color auto="1"/>
      </left>
      <right style="thin">
        <color auto="1"/>
      </right>
      <top style="thin">
        <color theme="0" tint="-0.34998626667073579"/>
      </top>
      <bottom style="thin">
        <color theme="0" tint="-0.34998626667073579"/>
      </bottom>
      <diagonal/>
    </border>
    <border>
      <left/>
      <right style="thin">
        <color auto="1"/>
      </right>
      <top/>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bottom style="dashed">
        <color auto="1"/>
      </bottom>
      <diagonal/>
    </border>
    <border>
      <left style="thin">
        <color auto="1"/>
      </left>
      <right style="thin">
        <color auto="1"/>
      </right>
      <top style="thin">
        <color theme="0" tint="-0.24994659260841701"/>
      </top>
      <bottom style="dashed">
        <color auto="1"/>
      </bottom>
      <diagonal/>
    </border>
    <border>
      <left style="thin">
        <color auto="1"/>
      </left>
      <right style="thin">
        <color auto="1"/>
      </right>
      <top style="dashed">
        <color auto="1"/>
      </top>
      <bottom/>
      <diagonal/>
    </border>
    <border>
      <left style="thin">
        <color auto="1"/>
      </left>
      <right style="thin">
        <color auto="1"/>
      </right>
      <top style="dashed">
        <color auto="1"/>
      </top>
      <bottom style="thin">
        <color auto="1"/>
      </bottom>
      <diagonal/>
    </border>
    <border>
      <left style="thin">
        <color auto="1"/>
      </left>
      <right style="thin">
        <color auto="1"/>
      </right>
      <top style="thin">
        <color theme="0" tint="-0.24994659260841701"/>
      </top>
      <bottom style="thin">
        <color auto="1"/>
      </bottom>
      <diagonal/>
    </border>
    <border>
      <left style="thin">
        <color auto="1"/>
      </left>
      <right style="thin">
        <color auto="1"/>
      </right>
      <top/>
      <bottom style="hair">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style="medium">
        <color auto="1"/>
      </bottom>
      <diagonal/>
    </border>
    <border>
      <left style="thin">
        <color auto="1"/>
      </left>
      <right style="thin">
        <color theme="1"/>
      </right>
      <top style="medium">
        <color auto="1"/>
      </top>
      <bottom style="thin">
        <color auto="1"/>
      </bottom>
      <diagonal/>
    </border>
    <border>
      <left style="thin">
        <color theme="1"/>
      </left>
      <right style="thin">
        <color theme="1"/>
      </right>
      <top style="medium">
        <color auto="1"/>
      </top>
      <bottom style="thin">
        <color auto="1"/>
      </bottom>
      <diagonal/>
    </border>
    <border>
      <left style="thin">
        <color auto="1"/>
      </left>
      <right style="thin">
        <color theme="1"/>
      </right>
      <top style="thin">
        <color auto="1"/>
      </top>
      <bottom style="hair">
        <color auto="1"/>
      </bottom>
      <diagonal/>
    </border>
    <border>
      <left style="thin">
        <color theme="1"/>
      </left>
      <right style="thin">
        <color theme="1"/>
      </right>
      <top style="thin">
        <color auto="1"/>
      </top>
      <bottom style="hair">
        <color auto="1"/>
      </bottom>
      <diagonal/>
    </border>
    <border>
      <left style="thin">
        <color auto="1"/>
      </left>
      <right style="thin">
        <color theme="1"/>
      </right>
      <top style="hair">
        <color auto="1"/>
      </top>
      <bottom style="hair">
        <color auto="1"/>
      </bottom>
      <diagonal/>
    </border>
    <border>
      <left style="thin">
        <color theme="1"/>
      </left>
      <right style="thin">
        <color theme="1"/>
      </right>
      <top style="hair">
        <color auto="1"/>
      </top>
      <bottom style="hair">
        <color auto="1"/>
      </bottom>
      <diagonal/>
    </border>
    <border>
      <left style="thin">
        <color auto="1"/>
      </left>
      <right style="thin">
        <color theme="1"/>
      </right>
      <top style="hair">
        <color auto="1"/>
      </top>
      <bottom/>
      <diagonal/>
    </border>
    <border>
      <left style="thin">
        <color theme="1"/>
      </left>
      <right style="thin">
        <color theme="1"/>
      </right>
      <top style="hair">
        <color auto="1"/>
      </top>
      <bottom/>
      <diagonal/>
    </border>
    <border>
      <left style="thin">
        <color theme="1"/>
      </left>
      <right style="thin">
        <color theme="1"/>
      </right>
      <top style="hair">
        <color auto="1"/>
      </top>
      <bottom style="thin">
        <color auto="1"/>
      </bottom>
      <diagonal/>
    </border>
    <border>
      <left style="thin">
        <color auto="1"/>
      </left>
      <right style="thin">
        <color theme="1"/>
      </right>
      <top/>
      <bottom style="thin">
        <color auto="1"/>
      </bottom>
      <diagonal/>
    </border>
    <border>
      <left style="thin">
        <color theme="1"/>
      </left>
      <right style="thin">
        <color theme="1"/>
      </right>
      <top/>
      <bottom style="thin">
        <color auto="1"/>
      </bottom>
      <diagonal/>
    </border>
    <border>
      <left style="thin">
        <color auto="1"/>
      </left>
      <right style="thin">
        <color theme="1"/>
      </right>
      <top/>
      <bottom style="hair">
        <color auto="1"/>
      </bottom>
      <diagonal/>
    </border>
    <border>
      <left style="thin">
        <color theme="1"/>
      </left>
      <right style="thin">
        <color theme="1"/>
      </right>
      <top/>
      <bottom style="hair">
        <color auto="1"/>
      </bottom>
      <diagonal/>
    </border>
    <border>
      <left style="thin">
        <color auto="1"/>
      </left>
      <right style="thin">
        <color theme="1"/>
      </right>
      <top style="hair">
        <color auto="1"/>
      </top>
      <bottom style="thin">
        <color auto="1"/>
      </bottom>
      <diagonal/>
    </border>
    <border>
      <left style="thin">
        <color auto="1"/>
      </left>
      <right style="thin">
        <color theme="1"/>
      </right>
      <top/>
      <bottom style="medium">
        <color auto="1"/>
      </bottom>
      <diagonal/>
    </border>
    <border>
      <left style="thin">
        <color theme="1"/>
      </left>
      <right style="thin">
        <color theme="1"/>
      </right>
      <top/>
      <bottom style="medium">
        <color auto="1"/>
      </bottom>
      <diagonal/>
    </border>
    <border>
      <left style="thin">
        <color theme="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theme="1"/>
      </left>
      <right style="thin">
        <color auto="1"/>
      </right>
      <top style="thin">
        <color auto="1"/>
      </top>
      <bottom style="hair">
        <color auto="1"/>
      </bottom>
      <diagonal/>
    </border>
    <border>
      <left/>
      <right style="thin">
        <color auto="1"/>
      </right>
      <top style="thin">
        <color auto="1"/>
      </top>
      <bottom style="hair">
        <color auto="1"/>
      </bottom>
      <diagonal/>
    </border>
    <border>
      <left style="thin">
        <color theme="1"/>
      </left>
      <right style="thin">
        <color auto="1"/>
      </right>
      <top style="hair">
        <color auto="1"/>
      </top>
      <bottom style="hair">
        <color auto="1"/>
      </bottom>
      <diagonal/>
    </border>
    <border>
      <left style="thin">
        <color theme="1"/>
      </left>
      <right style="thin">
        <color auto="1"/>
      </right>
      <top style="hair">
        <color auto="1"/>
      </top>
      <bottom/>
      <diagonal/>
    </border>
    <border>
      <left/>
      <right style="thin">
        <color auto="1"/>
      </right>
      <top style="hair">
        <color auto="1"/>
      </top>
      <bottom/>
      <diagonal/>
    </border>
    <border>
      <left style="thin">
        <color theme="1"/>
      </left>
      <right style="thin">
        <color auto="1"/>
      </right>
      <top style="hair">
        <color auto="1"/>
      </top>
      <bottom style="thin">
        <color auto="1"/>
      </bottom>
      <diagonal/>
    </border>
    <border>
      <left/>
      <right style="thin">
        <color auto="1"/>
      </right>
      <top style="hair">
        <color auto="1"/>
      </top>
      <bottom style="thin">
        <color auto="1"/>
      </bottom>
      <diagonal/>
    </border>
    <border>
      <left style="thin">
        <color theme="1"/>
      </left>
      <right style="thin">
        <color auto="1"/>
      </right>
      <top/>
      <bottom style="thin">
        <color auto="1"/>
      </bottom>
      <diagonal/>
    </border>
    <border>
      <left style="thin">
        <color theme="1"/>
      </left>
      <right style="thin">
        <color auto="1"/>
      </right>
      <top/>
      <bottom style="hair">
        <color auto="1"/>
      </bottom>
      <diagonal/>
    </border>
    <border>
      <left/>
      <right style="thin">
        <color auto="1"/>
      </right>
      <top/>
      <bottom style="hair">
        <color auto="1"/>
      </bottom>
      <diagonal/>
    </border>
    <border>
      <left style="thin">
        <color theme="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style="hair">
        <color auto="1"/>
      </top>
      <bottom style="dashed">
        <color auto="1"/>
      </bottom>
      <diagonal/>
    </border>
    <border>
      <left style="thin">
        <color auto="1"/>
      </left>
      <right style="thin">
        <color auto="1"/>
      </right>
      <top style="thin">
        <color theme="0" tint="-0.34998626667073579"/>
      </top>
      <bottom style="dashed">
        <color theme="1"/>
      </bottom>
      <diagonal/>
    </border>
    <border>
      <left style="thin">
        <color auto="1"/>
      </left>
      <right style="thin">
        <color auto="1"/>
      </right>
      <top style="thin">
        <color auto="1"/>
      </top>
      <bottom style="thin">
        <color theme="0" tint="-0.34998626667073579"/>
      </bottom>
      <diagonal/>
    </border>
    <border>
      <left style="thin">
        <color auto="1"/>
      </left>
      <right style="thin">
        <color auto="1"/>
      </right>
      <top style="thin">
        <color theme="0" tint="-0.34998626667073579"/>
      </top>
      <bottom style="dashed">
        <color auto="1"/>
      </bottom>
      <diagonal/>
    </border>
    <border>
      <left/>
      <right style="thin">
        <color auto="1"/>
      </right>
      <top style="dashed">
        <color auto="1"/>
      </top>
      <bottom style="thin">
        <color auto="1"/>
      </bottom>
      <diagonal/>
    </border>
    <border>
      <left/>
      <right style="double">
        <color indexed="52"/>
      </right>
      <top/>
      <bottom/>
      <diagonal/>
    </border>
    <border>
      <left style="thin">
        <color auto="1"/>
      </left>
      <right style="thin">
        <color auto="1"/>
      </right>
      <top style="thin">
        <color theme="0" tint="-0.34998626667073579"/>
      </top>
      <bottom style="thin">
        <color auto="1"/>
      </bottom>
      <diagonal/>
    </border>
    <border>
      <left style="medium">
        <color auto="1"/>
      </left>
      <right/>
      <top style="medium">
        <color auto="1"/>
      </top>
      <bottom/>
      <diagonal/>
    </border>
    <border>
      <left/>
      <right/>
      <top style="medium">
        <color auto="1"/>
      </top>
      <bottom/>
      <diagonal/>
    </border>
    <border>
      <left style="thin">
        <color auto="1"/>
      </left>
      <right/>
      <top style="thin">
        <color theme="8" tint="0.79992065187536243"/>
      </top>
      <bottom style="thin">
        <color theme="0" tint="-0.34998626667073579"/>
      </bottom>
      <diagonal/>
    </border>
    <border>
      <left/>
      <right/>
      <top style="thin">
        <color theme="8" tint="0.79992065187536243"/>
      </top>
      <bottom style="thin">
        <color theme="0" tint="-0.34998626667073579"/>
      </bottom>
      <diagonal/>
    </border>
    <border>
      <left style="medium">
        <color auto="1"/>
      </left>
      <right/>
      <top style="thin">
        <color theme="0"/>
      </top>
      <bottom style="thin">
        <color theme="0" tint="-0.34998626667073579"/>
      </bottom>
      <diagonal/>
    </border>
    <border>
      <left style="thin">
        <color auto="1"/>
      </left>
      <right style="thin">
        <color auto="1"/>
      </right>
      <top style="thin">
        <color theme="0"/>
      </top>
      <bottom style="thin">
        <color theme="0" tint="-0.34998626667073579"/>
      </bottom>
      <diagonal/>
    </border>
    <border>
      <left style="medium">
        <color auto="1"/>
      </left>
      <right/>
      <top style="thin">
        <color theme="0" tint="-0.34998626667073579"/>
      </top>
      <bottom/>
      <diagonal/>
    </border>
    <border>
      <left style="thin">
        <color auto="1"/>
      </left>
      <right style="thin">
        <color auto="1"/>
      </right>
      <top style="thin">
        <color theme="0" tint="-0.34998626667073579"/>
      </top>
      <bottom/>
      <diagonal/>
    </border>
    <border>
      <left style="medium">
        <color auto="1"/>
      </left>
      <right/>
      <top style="thin">
        <color theme="0"/>
      </top>
      <bottom/>
      <diagonal/>
    </border>
    <border>
      <left style="thin">
        <color auto="1"/>
      </left>
      <right style="thin">
        <color auto="1"/>
      </right>
      <top style="thin">
        <color theme="0"/>
      </top>
      <bottom/>
      <diagonal/>
    </border>
    <border>
      <left/>
      <right style="thin">
        <color auto="1"/>
      </right>
      <top style="thin">
        <color theme="0"/>
      </top>
      <bottom style="thin">
        <color auto="1"/>
      </bottom>
      <diagonal/>
    </border>
    <border>
      <left style="thin">
        <color auto="1"/>
      </left>
      <right style="thin">
        <color auto="1"/>
      </right>
      <top style="thin">
        <color theme="0"/>
      </top>
      <bottom style="thin">
        <color auto="1"/>
      </bottom>
      <diagonal/>
    </border>
    <border>
      <left style="medium">
        <color auto="1"/>
      </left>
      <right/>
      <top style="thin">
        <color theme="0"/>
      </top>
      <bottom style="medium">
        <color auto="1"/>
      </bottom>
      <diagonal/>
    </border>
    <border>
      <left style="thin">
        <color auto="1"/>
      </left>
      <right style="thin">
        <color auto="1"/>
      </right>
      <top style="thin">
        <color theme="0"/>
      </top>
      <bottom style="medium">
        <color auto="1"/>
      </bottom>
      <diagonal/>
    </border>
    <border>
      <left style="thin">
        <color auto="1"/>
      </left>
      <right style="medium">
        <color auto="1"/>
      </right>
      <top style="medium">
        <color auto="1"/>
      </top>
      <bottom/>
      <diagonal/>
    </border>
    <border>
      <left style="thin">
        <color auto="1"/>
      </left>
      <right/>
      <top style="thin">
        <color theme="0"/>
      </top>
      <bottom style="thin">
        <color theme="0" tint="-0.34998626667073579"/>
      </bottom>
      <diagonal/>
    </border>
    <border>
      <left style="thin">
        <color auto="1"/>
      </left>
      <right style="medium">
        <color auto="1"/>
      </right>
      <top style="thin">
        <color theme="0"/>
      </top>
      <bottom style="thin">
        <color theme="0" tint="-0.34998626667073579"/>
      </bottom>
      <diagonal/>
    </border>
    <border>
      <left style="thin">
        <color auto="1"/>
      </left>
      <right/>
      <top style="thin">
        <color theme="0"/>
      </top>
      <bottom/>
      <diagonal/>
    </border>
    <border>
      <left style="thin">
        <color auto="1"/>
      </left>
      <right style="medium">
        <color auto="1"/>
      </right>
      <top style="thin">
        <color theme="0"/>
      </top>
      <bottom/>
      <diagonal/>
    </border>
    <border>
      <left style="thin">
        <color auto="1"/>
      </left>
      <right/>
      <top style="thin">
        <color theme="0"/>
      </top>
      <bottom style="thin">
        <color auto="1"/>
      </bottom>
      <diagonal/>
    </border>
    <border>
      <left style="thin">
        <color auto="1"/>
      </left>
      <right style="medium">
        <color auto="1"/>
      </right>
      <top style="thin">
        <color theme="0"/>
      </top>
      <bottom style="thin">
        <color auto="1"/>
      </bottom>
      <diagonal/>
    </border>
    <border>
      <left/>
      <right/>
      <top style="thin">
        <color theme="0"/>
      </top>
      <bottom style="medium">
        <color auto="1"/>
      </bottom>
      <diagonal/>
    </border>
    <border>
      <left/>
      <right style="medium">
        <color auto="1"/>
      </right>
      <top style="thin">
        <color theme="0"/>
      </top>
      <bottom style="medium">
        <color auto="1"/>
      </bottom>
      <diagonal/>
    </border>
    <border>
      <left/>
      <right style="thin">
        <color auto="1"/>
      </right>
      <top style="medium">
        <color auto="1"/>
      </top>
      <bottom/>
      <diagonal/>
    </border>
    <border>
      <left/>
      <right style="medium">
        <color auto="1"/>
      </right>
      <top style="medium">
        <color auto="1"/>
      </top>
      <bottom/>
      <diagonal/>
    </border>
    <border>
      <left style="thin">
        <color auto="1"/>
      </left>
      <right/>
      <top style="thin">
        <color theme="0" tint="-0.34998626667073579"/>
      </top>
      <bottom/>
      <diagonal/>
    </border>
    <border>
      <left/>
      <right style="medium">
        <color auto="1"/>
      </right>
      <top style="thin">
        <color theme="0" tint="-0.34998626667073579"/>
      </top>
      <bottom/>
      <diagonal/>
    </border>
    <border>
      <left/>
      <right style="medium">
        <color auto="1"/>
      </right>
      <top style="thin">
        <color theme="0"/>
      </top>
      <bottom/>
      <diagonal/>
    </border>
    <border>
      <left/>
      <right style="medium">
        <color auto="1"/>
      </right>
      <top style="thin">
        <color auto="1"/>
      </top>
      <bottom/>
      <diagonal/>
    </border>
    <border>
      <left/>
      <right style="medium">
        <color auto="1"/>
      </right>
      <top style="thin">
        <color theme="0"/>
      </top>
      <bottom style="thin">
        <color auto="1"/>
      </bottom>
      <diagonal/>
    </border>
    <border>
      <left/>
      <right style="medium">
        <color auto="1"/>
      </right>
      <top style="thin">
        <color theme="0"/>
      </top>
      <bottom style="thin">
        <color theme="0" tint="-0.34998626667073579"/>
      </bottom>
      <diagonal/>
    </border>
    <border>
      <left style="thin">
        <color auto="1"/>
      </left>
      <right style="thin">
        <color auto="1"/>
      </right>
      <top style="thin">
        <color auto="1"/>
      </top>
      <bottom style="thin">
        <color theme="0"/>
      </bottom>
      <diagonal/>
    </border>
    <border>
      <left style="medium">
        <color auto="1"/>
      </left>
      <right style="medium">
        <color auto="1"/>
      </right>
      <top style="medium">
        <color auto="1"/>
      </top>
      <bottom/>
      <diagonal/>
    </border>
    <border>
      <left/>
      <right style="medium">
        <color auto="1"/>
      </right>
      <top/>
      <bottom style="thin">
        <color auto="1"/>
      </bottom>
      <diagonal/>
    </border>
    <border>
      <left/>
      <right/>
      <top style="thin">
        <color theme="0"/>
      </top>
      <bottom style="thin">
        <color theme="0" tint="-0.34998626667073579"/>
      </bottom>
      <diagonal/>
    </border>
    <border>
      <left/>
      <right style="medium">
        <color auto="1"/>
      </right>
      <top/>
      <bottom style="hair">
        <color auto="1"/>
      </bottom>
      <diagonal/>
    </border>
    <border>
      <left/>
      <right/>
      <top style="thin">
        <color theme="0" tint="-0.34998626667073579"/>
      </top>
      <bottom/>
      <diagonal/>
    </border>
    <border>
      <left/>
      <right/>
      <top style="thin">
        <color theme="0"/>
      </top>
      <bottom/>
      <diagonal/>
    </border>
    <border>
      <left/>
      <right/>
      <top style="thin">
        <color theme="0"/>
      </top>
      <bottom style="thin">
        <color auto="1"/>
      </bottom>
      <diagonal/>
    </border>
    <border>
      <left/>
      <right/>
      <top/>
      <bottom style="thin">
        <color theme="0" tint="-0.34998626667073579"/>
      </bottom>
      <diagonal/>
    </border>
    <border>
      <left style="thin">
        <color auto="1"/>
      </left>
      <right style="medium">
        <color auto="1"/>
      </right>
      <top/>
      <bottom style="hair">
        <color auto="1"/>
      </bottom>
      <diagonal/>
    </border>
    <border>
      <left style="medium">
        <color auto="1"/>
      </left>
      <right style="medium">
        <color auto="1"/>
      </right>
      <top/>
      <bottom style="dotted">
        <color auto="1"/>
      </bottom>
      <diagonal/>
    </border>
    <border>
      <left style="medium">
        <color auto="1"/>
      </left>
      <right style="thin">
        <color auto="1"/>
      </right>
      <top/>
      <bottom style="dotted">
        <color auto="1"/>
      </bottom>
      <diagonal/>
    </border>
    <border>
      <left/>
      <right style="thin">
        <color auto="1"/>
      </right>
      <top/>
      <bottom style="dotted">
        <color auto="1"/>
      </bottom>
      <diagonal/>
    </border>
    <border>
      <left/>
      <right/>
      <top/>
      <bottom style="dotted">
        <color auto="1"/>
      </bottom>
      <diagonal/>
    </border>
    <border>
      <left style="medium">
        <color auto="1"/>
      </left>
      <right style="medium">
        <color auto="1"/>
      </right>
      <top/>
      <bottom style="dashed">
        <color auto="1"/>
      </bottom>
      <diagonal/>
    </border>
    <border>
      <left/>
      <right style="thin">
        <color auto="1"/>
      </right>
      <top/>
      <bottom style="dashed">
        <color auto="1"/>
      </bottom>
      <diagonal/>
    </border>
    <border>
      <left/>
      <right/>
      <top/>
      <bottom style="dashed">
        <color auto="1"/>
      </bottom>
      <diagonal/>
    </border>
    <border>
      <left style="medium">
        <color auto="1"/>
      </left>
      <right style="medium">
        <color auto="1"/>
      </right>
      <top style="dashed">
        <color auto="1"/>
      </top>
      <bottom/>
      <diagonal/>
    </border>
    <border>
      <left style="thin">
        <color auto="1"/>
      </left>
      <right style="medium">
        <color auto="1"/>
      </right>
      <top/>
      <bottom style="dotted">
        <color auto="1"/>
      </bottom>
      <diagonal/>
    </border>
    <border>
      <left/>
      <right style="medium">
        <color auto="1"/>
      </right>
      <top/>
      <bottom style="dotted">
        <color auto="1"/>
      </bottom>
      <diagonal/>
    </border>
    <border>
      <left style="medium">
        <color auto="1"/>
      </left>
      <right style="medium">
        <color auto="1"/>
      </right>
      <top style="dotted">
        <color auto="1"/>
      </top>
      <bottom/>
      <diagonal/>
    </border>
    <border>
      <left/>
      <right style="thin">
        <color auto="1"/>
      </right>
      <top style="thin">
        <color auto="1"/>
      </top>
      <bottom style="thin">
        <color theme="0" tint="-0.34998626667073579"/>
      </bottom>
      <diagonal/>
    </border>
    <border>
      <left/>
      <right style="thin">
        <color auto="1"/>
      </right>
      <top style="thin">
        <color theme="0" tint="-0.34998626667073579"/>
      </top>
      <bottom style="thin">
        <color theme="0" tint="-0.34998626667073579"/>
      </bottom>
      <diagonal/>
    </border>
    <border>
      <left/>
      <right style="thin">
        <color auto="1"/>
      </right>
      <top style="thin">
        <color theme="0" tint="-0.34998626667073579"/>
      </top>
      <bottom style="thin">
        <color auto="1"/>
      </bottom>
      <diagonal/>
    </border>
    <border>
      <left style="thin">
        <color auto="1"/>
      </left>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style="thin">
        <color auto="1"/>
      </left>
      <right/>
      <top style="thin">
        <color theme="0" tint="-0.34998626667073579"/>
      </top>
      <bottom style="thin">
        <color auto="1"/>
      </bottom>
      <diagonal/>
    </border>
    <border>
      <left/>
      <right/>
      <top style="thin">
        <color theme="0" tint="-0.34998626667073579"/>
      </top>
      <bottom style="thin">
        <color theme="0" tint="-0.34998626667073579"/>
      </bottom>
      <diagonal/>
    </border>
    <border>
      <left/>
      <right/>
      <top style="thin">
        <color theme="0" tint="-0.34998626667073579"/>
      </top>
      <bottom style="dashed">
        <color theme="1"/>
      </bottom>
      <diagonal/>
    </border>
    <border>
      <left/>
      <right/>
      <top style="thin">
        <color auto="1"/>
      </top>
      <bottom style="thin">
        <color theme="0" tint="-0.34998626667073579"/>
      </bottom>
      <diagonal/>
    </border>
    <border>
      <left style="thin">
        <color auto="1"/>
      </left>
      <right/>
      <top style="thin">
        <color auto="1"/>
      </top>
      <bottom style="dashed">
        <color auto="1"/>
      </bottom>
      <diagonal/>
    </border>
    <border>
      <left/>
      <right style="thin">
        <color auto="1"/>
      </right>
      <top style="thin">
        <color auto="1"/>
      </top>
      <bottom style="dashed">
        <color auto="1"/>
      </bottom>
      <diagonal/>
    </border>
    <border>
      <left style="thin">
        <color auto="1"/>
      </left>
      <right style="thin">
        <color auto="1"/>
      </right>
      <top style="thin">
        <color auto="1"/>
      </top>
      <bottom style="dashed">
        <color auto="1"/>
      </bottom>
      <diagonal/>
    </border>
    <border>
      <left style="thin">
        <color auto="1"/>
      </left>
      <right/>
      <top style="dashed">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thin">
        <color auto="1"/>
      </bottom>
      <diagonal/>
    </border>
    <border>
      <left/>
      <right style="thin">
        <color auto="1"/>
      </right>
      <top style="thin">
        <color theme="0" tint="-0.34998626667073579"/>
      </top>
      <bottom style="dashed">
        <color theme="1"/>
      </bottom>
      <diagonal/>
    </border>
    <border>
      <left style="thin">
        <color auto="1"/>
      </left>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top style="thin">
        <color theme="0" tint="-0.24994659260841701"/>
      </top>
      <bottom style="thin">
        <color theme="0" tint="-0.24994659260841701"/>
      </bottom>
      <diagonal/>
    </border>
    <border>
      <left style="thin">
        <color theme="1" tint="0.14990691854609822"/>
      </left>
      <right style="thin">
        <color theme="0"/>
      </right>
      <top style="thin">
        <color theme="1" tint="0.14990691854609822"/>
      </top>
      <bottom style="thin">
        <color theme="0"/>
      </bottom>
      <diagonal/>
    </border>
    <border>
      <left style="thin">
        <color theme="0"/>
      </left>
      <right style="thin">
        <color theme="0"/>
      </right>
      <top style="thin">
        <color theme="1" tint="0.14990691854609822"/>
      </top>
      <bottom style="thin">
        <color theme="0"/>
      </bottom>
      <diagonal/>
    </border>
    <border>
      <left style="thin">
        <color theme="1" tint="0.14990691854609822"/>
      </left>
      <right style="thin">
        <color theme="0"/>
      </right>
      <top/>
      <bottom style="thin">
        <color theme="0"/>
      </bottom>
      <diagonal/>
    </border>
    <border>
      <left style="thin">
        <color theme="0"/>
      </left>
      <right style="thin">
        <color theme="0"/>
      </right>
      <top/>
      <bottom style="thin">
        <color theme="0"/>
      </bottom>
      <diagonal/>
    </border>
    <border>
      <left style="thin">
        <color theme="1" tint="0.14990691854609822"/>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auto="1"/>
      </right>
      <top style="thin">
        <color auto="1"/>
      </top>
      <bottom style="thin">
        <color theme="0" tint="-0.24994659260841701"/>
      </bottom>
      <diagonal/>
    </border>
    <border>
      <left/>
      <right style="thin">
        <color auto="1"/>
      </right>
      <top style="thin">
        <color theme="0" tint="-0.24994659260841701"/>
      </top>
      <bottom style="thin">
        <color theme="0" tint="-0.24994659260841701"/>
      </bottom>
      <diagonal/>
    </border>
    <border>
      <left style="thin">
        <color theme="0"/>
      </left>
      <right style="thin">
        <color theme="1" tint="0.14990691854609822"/>
      </right>
      <top style="thin">
        <color theme="1" tint="0.14990691854609822"/>
      </top>
      <bottom style="thin">
        <color theme="0"/>
      </bottom>
      <diagonal/>
    </border>
    <border>
      <left style="thin">
        <color theme="0"/>
      </left>
      <right style="thin">
        <color theme="1" tint="0.14990691854609822"/>
      </right>
      <top/>
      <bottom style="thin">
        <color theme="0"/>
      </bottom>
      <diagonal/>
    </border>
    <border>
      <left style="thin">
        <color theme="0"/>
      </left>
      <right style="thin">
        <color theme="1" tint="0.14990691854609822"/>
      </right>
      <top style="thin">
        <color theme="0"/>
      </top>
      <bottom style="thin">
        <color theme="0"/>
      </bottom>
      <diagonal/>
    </border>
    <border>
      <left style="thin">
        <color theme="1" tint="0.14990691854609822"/>
      </left>
      <right style="thin">
        <color theme="0"/>
      </right>
      <top style="thin">
        <color theme="0"/>
      </top>
      <bottom style="thin">
        <color theme="1" tint="0.14990691854609822"/>
      </bottom>
      <diagonal/>
    </border>
    <border>
      <left style="thin">
        <color theme="0"/>
      </left>
      <right style="thin">
        <color theme="0"/>
      </right>
      <top style="thin">
        <color theme="0"/>
      </top>
      <bottom style="thin">
        <color theme="1" tint="0.14990691854609822"/>
      </bottom>
      <diagonal/>
    </border>
    <border>
      <left style="thin">
        <color theme="0"/>
      </left>
      <right style="thin">
        <color theme="1" tint="0.14990691854609822"/>
      </right>
      <top style="thin">
        <color theme="0"/>
      </top>
      <bottom style="thin">
        <color theme="1" tint="0.14990691854609822"/>
      </bottom>
      <diagonal/>
    </border>
    <border>
      <left style="double">
        <color auto="1"/>
      </left>
      <right style="thin">
        <color auto="1"/>
      </right>
      <top style="thin">
        <color auto="1"/>
      </top>
      <bottom style="thin">
        <color auto="1"/>
      </bottom>
      <diagonal/>
    </border>
    <border>
      <left style="double">
        <color auto="1"/>
      </left>
      <right style="thin">
        <color auto="1"/>
      </right>
      <top/>
      <bottom/>
      <diagonal/>
    </border>
    <border>
      <left style="double">
        <color auto="1"/>
      </left>
      <right style="thin">
        <color auto="1"/>
      </right>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double">
        <color auto="1"/>
      </left>
      <right/>
      <top/>
      <bottom style="thin">
        <color theme="0" tint="-0.34998626667073579"/>
      </bottom>
      <diagonal/>
    </border>
    <border>
      <left style="thin">
        <color auto="1"/>
      </left>
      <right style="thin">
        <color auto="1"/>
      </right>
      <top/>
      <bottom style="thin">
        <color theme="0" tint="-0.34998626667073579"/>
      </bottom>
      <diagonal/>
    </border>
    <border>
      <left style="double">
        <color auto="1"/>
      </left>
      <right/>
      <top style="thin">
        <color theme="0" tint="-0.34998626667073579"/>
      </top>
      <bottom style="thin">
        <color auto="1"/>
      </bottom>
      <diagonal/>
    </border>
    <border>
      <left/>
      <right style="thin">
        <color auto="1"/>
      </right>
      <top/>
      <bottom style="thin">
        <color theme="0" tint="-0.34998626667073579"/>
      </bottom>
      <diagonal/>
    </border>
    <border>
      <left style="double">
        <color auto="1"/>
      </left>
      <right/>
      <top style="thin">
        <color auto="1"/>
      </top>
      <bottom style="thin">
        <color auto="1"/>
      </bottom>
      <diagonal/>
    </border>
    <border>
      <left style="double">
        <color auto="1"/>
      </left>
      <right/>
      <top/>
      <bottom/>
      <diagonal/>
    </border>
    <border>
      <left style="double">
        <color auto="1"/>
      </left>
      <right/>
      <top/>
      <bottom style="thin">
        <color auto="1"/>
      </bottom>
      <diagonal/>
    </border>
    <border>
      <left/>
      <right style="double">
        <color auto="1"/>
      </right>
      <top style="thin">
        <color auto="1"/>
      </top>
      <bottom style="thin">
        <color auto="1"/>
      </bottom>
      <diagonal/>
    </border>
    <border>
      <left/>
      <right style="double">
        <color auto="1"/>
      </right>
      <top/>
      <bottom/>
      <diagonal/>
    </border>
    <border>
      <left/>
      <right style="double">
        <color auto="1"/>
      </right>
      <top/>
      <bottom style="thin">
        <color auto="1"/>
      </bottom>
      <diagonal/>
    </border>
    <border>
      <left style="double">
        <color auto="1"/>
      </left>
      <right style="thin">
        <color auto="1"/>
      </right>
      <top style="thin">
        <color auto="1"/>
      </top>
      <bottom/>
      <diagonal/>
    </border>
    <border>
      <left style="thin">
        <color auto="1"/>
      </left>
      <right style="double">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81">
    <xf numFmtId="0" fontId="0" fillId="0" borderId="0"/>
    <xf numFmtId="164" fontId="49" fillId="0" borderId="0" applyFont="0" applyFill="0" applyBorder="0" applyAlignment="0" applyProtection="0">
      <alignment vertical="center"/>
    </xf>
    <xf numFmtId="9" fontId="49" fillId="0" borderId="0" applyFont="0" applyFill="0" applyBorder="0" applyAlignment="0" applyProtection="0"/>
    <xf numFmtId="0" fontId="76" fillId="0" borderId="0" applyNumberFormat="0" applyFill="0" applyBorder="0" applyAlignment="0" applyProtection="0"/>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9" fillId="3" borderId="0" applyNumberFormat="0" applyBorder="0" applyAlignment="0" applyProtection="0">
      <alignment vertical="center"/>
    </xf>
    <xf numFmtId="0" fontId="49" fillId="8" borderId="0" applyNumberFormat="0" applyBorder="0" applyAlignment="0" applyProtection="0">
      <alignment vertical="center"/>
    </xf>
    <xf numFmtId="0" fontId="49"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44"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4" fillId="28" borderId="0" applyNumberFormat="0" applyBorder="0" applyAlignment="0" applyProtection="0">
      <alignment vertical="center"/>
    </xf>
    <xf numFmtId="38" fontId="6" fillId="0" borderId="0" applyFont="0" applyFill="0" applyBorder="0" applyAlignment="0" applyProtection="0"/>
    <xf numFmtId="41" fontId="27"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4" fontId="6" fillId="0" borderId="0" applyFont="0" applyFill="0" applyBorder="0" applyAlignment="0" applyProtection="0">
      <alignment vertical="center"/>
    </xf>
    <xf numFmtId="0" fontId="76" fillId="0" borderId="0" applyNumberFormat="0" applyFill="0" applyBorder="0" applyAlignment="0" applyProtection="0"/>
    <xf numFmtId="0" fontId="49" fillId="0" borderId="0"/>
    <xf numFmtId="0" fontId="6" fillId="0" borderId="0"/>
    <xf numFmtId="0" fontId="78" fillId="0" borderId="0">
      <alignment vertical="center"/>
    </xf>
    <xf numFmtId="0" fontId="36" fillId="0" borderId="0"/>
    <xf numFmtId="0" fontId="27" fillId="0" borderId="0"/>
    <xf numFmtId="0" fontId="49" fillId="0" borderId="0"/>
    <xf numFmtId="0" fontId="49" fillId="0" borderId="0"/>
    <xf numFmtId="0" fontId="49" fillId="0" borderId="0"/>
    <xf numFmtId="0" fontId="79" fillId="0" borderId="0"/>
    <xf numFmtId="0" fontId="7" fillId="0" borderId="0"/>
    <xf numFmtId="9" fontId="49" fillId="0" borderId="0" applyFont="0" applyFill="0" applyBorder="0" applyAlignment="0" applyProtection="0">
      <alignment vertical="center"/>
    </xf>
    <xf numFmtId="9" fontId="49" fillId="0" borderId="0" applyFont="0" applyFill="0" applyBorder="0" applyAlignment="0" applyProtection="0">
      <alignment vertical="center"/>
    </xf>
    <xf numFmtId="9" fontId="49" fillId="0" borderId="0" applyFont="0" applyFill="0" applyBorder="0" applyAlignment="0" applyProtection="0"/>
    <xf numFmtId="9" fontId="36" fillId="0" borderId="0" applyFont="0" applyFill="0" applyBorder="0" applyAlignment="0" applyProtection="0"/>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4" fillId="34" borderId="0" applyNumberFormat="0" applyBorder="0" applyAlignment="0" applyProtection="0">
      <alignment vertical="center"/>
    </xf>
    <xf numFmtId="0" fontId="80" fillId="0" borderId="0" applyNumberFormat="0" applyFill="0" applyBorder="0" applyAlignment="0" applyProtection="0">
      <alignment vertical="center"/>
    </xf>
    <xf numFmtId="0" fontId="81" fillId="35" borderId="276" applyNumberFormat="0" applyAlignment="0" applyProtection="0">
      <alignment vertical="center"/>
    </xf>
    <xf numFmtId="0" fontId="82" fillId="36" borderId="0" applyNumberFormat="0" applyBorder="0" applyAlignment="0" applyProtection="0">
      <alignment vertical="center"/>
    </xf>
    <xf numFmtId="9" fontId="49" fillId="0" borderId="0" applyFont="0" applyFill="0" applyBorder="0" applyAlignment="0" applyProtection="0">
      <alignment vertical="center"/>
    </xf>
    <xf numFmtId="9" fontId="6" fillId="0" borderId="0" applyFont="0" applyFill="0" applyBorder="0" applyAlignment="0" applyProtection="0"/>
    <xf numFmtId="9" fontId="49" fillId="0" borderId="0" applyFont="0" applyFill="0" applyBorder="0" applyAlignment="0" applyProtection="0">
      <alignment vertical="center"/>
    </xf>
    <xf numFmtId="9" fontId="6" fillId="0" borderId="0" applyFont="0" applyFill="0" applyBorder="0" applyAlignment="0" applyProtection="0"/>
    <xf numFmtId="9" fontId="27" fillId="0" borderId="0" applyFont="0" applyFill="0" applyBorder="0" applyAlignment="0" applyProtection="0"/>
    <xf numFmtId="0" fontId="49" fillId="37" borderId="274" applyNumberFormat="0" applyFont="0" applyAlignment="0" applyProtection="0">
      <alignment vertical="center"/>
    </xf>
    <xf numFmtId="0" fontId="83" fillId="0" borderId="277" applyNumberFormat="0" applyFill="0" applyAlignment="0" applyProtection="0">
      <alignment vertical="center"/>
    </xf>
    <xf numFmtId="9" fontId="36" fillId="0" borderId="0" applyFont="0" applyFill="0" applyBorder="0" applyAlignment="0" applyProtection="0"/>
    <xf numFmtId="0" fontId="49" fillId="0" borderId="0"/>
    <xf numFmtId="0" fontId="16" fillId="0" borderId="0"/>
    <xf numFmtId="0" fontId="6" fillId="0" borderId="0">
      <alignment vertical="center"/>
    </xf>
    <xf numFmtId="0" fontId="36" fillId="0" borderId="0"/>
    <xf numFmtId="0" fontId="49" fillId="0" borderId="0"/>
    <xf numFmtId="0" fontId="84" fillId="0" borderId="0" applyNumberFormat="0" applyFill="0" applyBorder="0" applyAlignment="0" applyProtection="0"/>
    <xf numFmtId="0" fontId="85" fillId="38" borderId="0" applyNumberFormat="0" applyBorder="0" applyAlignment="0" applyProtection="0">
      <alignment vertical="center"/>
    </xf>
    <xf numFmtId="0" fontId="86" fillId="39" borderId="275" applyNumberFormat="0" applyAlignment="0" applyProtection="0">
      <alignment vertical="center"/>
    </xf>
    <xf numFmtId="9" fontId="27" fillId="0" borderId="0" applyFont="0" applyFill="0" applyBorder="0" applyAlignment="0" applyProtection="0"/>
    <xf numFmtId="9" fontId="27" fillId="0" borderId="0" applyFont="0" applyFill="0" applyBorder="0" applyAlignment="0" applyProtection="0"/>
    <xf numFmtId="9" fontId="7" fillId="0" borderId="0" applyFont="0" applyFill="0" applyBorder="0" applyAlignment="0" applyProtection="0"/>
    <xf numFmtId="41" fontId="2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7" fillId="0" borderId="0" applyFont="0" applyFill="0" applyBorder="0" applyAlignment="0" applyProtection="0"/>
    <xf numFmtId="0" fontId="27" fillId="0" borderId="0"/>
    <xf numFmtId="0" fontId="7" fillId="0" borderId="0"/>
    <xf numFmtId="0" fontId="49" fillId="0" borderId="0"/>
    <xf numFmtId="0" fontId="7" fillId="0" borderId="0"/>
    <xf numFmtId="0" fontId="27" fillId="0" borderId="0"/>
    <xf numFmtId="0" fontId="78" fillId="0" borderId="0">
      <alignment vertical="center"/>
    </xf>
  </cellStyleXfs>
  <cellXfs count="1413">
    <xf numFmtId="0" fontId="0" fillId="0" borderId="0" xfId="0"/>
    <xf numFmtId="0" fontId="1" fillId="0" borderId="0" xfId="29" applyFont="1"/>
    <xf numFmtId="0" fontId="2" fillId="0" borderId="0" xfId="29" applyFont="1"/>
    <xf numFmtId="0" fontId="3" fillId="0" borderId="0" xfId="29" applyFont="1"/>
    <xf numFmtId="0" fontId="4" fillId="0" borderId="0" xfId="29" applyFont="1"/>
    <xf numFmtId="0" fontId="5" fillId="0" borderId="0" xfId="29" applyFont="1"/>
    <xf numFmtId="0" fontId="2" fillId="0" borderId="1" xfId="29" applyFont="1" applyBorder="1"/>
    <xf numFmtId="0" fontId="2" fillId="0" borderId="2" xfId="29" applyFont="1" applyBorder="1"/>
    <xf numFmtId="0" fontId="2" fillId="0" borderId="3" xfId="29" applyFont="1" applyBorder="1" applyAlignment="1">
      <alignment horizontal="center"/>
    </xf>
    <xf numFmtId="0" fontId="2" fillId="0" borderId="4" xfId="29" applyFont="1" applyBorder="1" applyAlignment="1">
      <alignment horizontal="center"/>
    </xf>
    <xf numFmtId="0" fontId="2" fillId="0" borderId="5" xfId="29" applyFont="1" applyBorder="1" applyAlignment="1">
      <alignment vertical="center"/>
    </xf>
    <xf numFmtId="0" fontId="2" fillId="0" borderId="6" xfId="29" applyFont="1" applyBorder="1" applyAlignment="1">
      <alignment vertical="center" wrapText="1"/>
    </xf>
    <xf numFmtId="3" fontId="2" fillId="0" borderId="0" xfId="29" applyNumberFormat="1" applyFont="1" applyAlignment="1">
      <alignment vertical="center"/>
    </xf>
    <xf numFmtId="3" fontId="2" fillId="0" borderId="7" xfId="29" applyNumberFormat="1" applyFont="1" applyBorder="1" applyAlignment="1">
      <alignment vertical="center"/>
    </xf>
    <xf numFmtId="0" fontId="2" fillId="0" borderId="9" xfId="29" applyFont="1" applyBorder="1"/>
    <xf numFmtId="3" fontId="2" fillId="0" borderId="10" xfId="29" applyNumberFormat="1" applyFont="1" applyBorder="1"/>
    <xf numFmtId="3" fontId="2" fillId="0" borderId="11" xfId="29" applyNumberFormat="1" applyFont="1" applyBorder="1"/>
    <xf numFmtId="0" fontId="2" fillId="0" borderId="12" xfId="29" applyFont="1" applyBorder="1"/>
    <xf numFmtId="3" fontId="2" fillId="0" borderId="13" xfId="29" applyNumberFormat="1" applyFont="1" applyBorder="1"/>
    <xf numFmtId="3" fontId="2" fillId="0" borderId="14" xfId="29" applyNumberFormat="1" applyFont="1" applyBorder="1"/>
    <xf numFmtId="0" fontId="2" fillId="0" borderId="15" xfId="29" applyFont="1" applyBorder="1"/>
    <xf numFmtId="3" fontId="2" fillId="0" borderId="16" xfId="29" applyNumberFormat="1" applyFont="1" applyBorder="1"/>
    <xf numFmtId="3" fontId="2" fillId="0" borderId="17" xfId="29" applyNumberFormat="1" applyFont="1" applyBorder="1"/>
    <xf numFmtId="3" fontId="2" fillId="0" borderId="18" xfId="29" applyNumberFormat="1" applyFont="1" applyBorder="1"/>
    <xf numFmtId="3" fontId="2" fillId="0" borderId="19" xfId="29" applyNumberFormat="1" applyFont="1" applyBorder="1"/>
    <xf numFmtId="0" fontId="2" fillId="0" borderId="20" xfId="29" applyFont="1" applyBorder="1"/>
    <xf numFmtId="3" fontId="2" fillId="0" borderId="21" xfId="29" applyNumberFormat="1" applyFont="1" applyBorder="1"/>
    <xf numFmtId="3" fontId="2" fillId="0" borderId="22" xfId="29" applyNumberFormat="1" applyFont="1" applyBorder="1"/>
    <xf numFmtId="0" fontId="2" fillId="0" borderId="23" xfId="29" applyFont="1" applyBorder="1"/>
    <xf numFmtId="3" fontId="2" fillId="0" borderId="24" xfId="29" applyNumberFormat="1" applyFont="1" applyBorder="1"/>
    <xf numFmtId="3" fontId="2" fillId="0" borderId="25" xfId="29" applyNumberFormat="1" applyFont="1" applyBorder="1"/>
    <xf numFmtId="0" fontId="2" fillId="0" borderId="6" xfId="29" applyFont="1" applyBorder="1"/>
    <xf numFmtId="3" fontId="2" fillId="0" borderId="0" xfId="29" applyNumberFormat="1" applyFont="1"/>
    <xf numFmtId="3" fontId="2" fillId="0" borderId="7" xfId="29" applyNumberFormat="1" applyFont="1" applyBorder="1"/>
    <xf numFmtId="0" fontId="2" fillId="0" borderId="26" xfId="29" applyFont="1" applyBorder="1"/>
    <xf numFmtId="3" fontId="2" fillId="0" borderId="27" xfId="29" applyNumberFormat="1" applyFont="1" applyBorder="1"/>
    <xf numFmtId="3" fontId="2" fillId="0" borderId="28" xfId="29" applyNumberFormat="1" applyFont="1" applyBorder="1"/>
    <xf numFmtId="38" fontId="2" fillId="0" borderId="0" xfId="22" applyFont="1" applyFill="1" applyBorder="1"/>
    <xf numFmtId="38" fontId="2" fillId="0" borderId="0" xfId="22" applyFont="1" applyFill="1" applyBorder="1" applyAlignment="1">
      <alignment horizontal="center"/>
    </xf>
    <xf numFmtId="0" fontId="7" fillId="0" borderId="0" xfId="29" applyFont="1"/>
    <xf numFmtId="0" fontId="2" fillId="0" borderId="29" xfId="29" applyFont="1" applyBorder="1" applyAlignment="1">
      <alignment horizontal="center"/>
    </xf>
    <xf numFmtId="3" fontId="2" fillId="0" borderId="30" xfId="29" applyNumberFormat="1" applyFont="1" applyBorder="1" applyAlignment="1">
      <alignment vertical="center"/>
    </xf>
    <xf numFmtId="3" fontId="2" fillId="0" borderId="31" xfId="29" applyNumberFormat="1" applyFont="1" applyBorder="1"/>
    <xf numFmtId="3" fontId="2" fillId="0" borderId="32" xfId="29" applyNumberFormat="1" applyFont="1" applyBorder="1"/>
    <xf numFmtId="3" fontId="2" fillId="0" borderId="33" xfId="29" applyNumberFormat="1" applyFont="1" applyBorder="1"/>
    <xf numFmtId="3" fontId="2" fillId="0" borderId="34" xfId="29" applyNumberFormat="1" applyFont="1" applyBorder="1"/>
    <xf numFmtId="3" fontId="2" fillId="0" borderId="35" xfId="29" applyNumberFormat="1" applyFont="1" applyBorder="1"/>
    <xf numFmtId="3" fontId="2" fillId="2" borderId="11" xfId="29" applyNumberFormat="1" applyFont="1" applyFill="1" applyBorder="1"/>
    <xf numFmtId="3" fontId="2" fillId="0" borderId="36" xfId="29" applyNumberFormat="1" applyFont="1" applyBorder="1"/>
    <xf numFmtId="3" fontId="2" fillId="2" borderId="25" xfId="29" applyNumberFormat="1" applyFont="1" applyFill="1" applyBorder="1"/>
    <xf numFmtId="3" fontId="2" fillId="2" borderId="22" xfId="29" applyNumberFormat="1" applyFont="1" applyFill="1" applyBorder="1"/>
    <xf numFmtId="3" fontId="2" fillId="0" borderId="30" xfId="29" applyNumberFormat="1" applyFont="1" applyBorder="1"/>
    <xf numFmtId="3" fontId="2" fillId="0" borderId="37" xfId="29" applyNumberFormat="1" applyFont="1" applyBorder="1"/>
    <xf numFmtId="3" fontId="2" fillId="2" borderId="38" xfId="29" applyNumberFormat="1" applyFont="1" applyFill="1" applyBorder="1"/>
    <xf numFmtId="0" fontId="2" fillId="0" borderId="39" xfId="29" applyFont="1" applyBorder="1" applyAlignment="1">
      <alignment horizontal="center"/>
    </xf>
    <xf numFmtId="0" fontId="2" fillId="0" borderId="40" xfId="29" applyFont="1" applyBorder="1" applyAlignment="1">
      <alignment horizontal="center"/>
    </xf>
    <xf numFmtId="3" fontId="2" fillId="0" borderId="41" xfId="29" applyNumberFormat="1" applyFont="1" applyBorder="1"/>
    <xf numFmtId="0" fontId="8" fillId="3" borderId="0" xfId="3" applyFont="1" applyFill="1" applyAlignment="1">
      <alignment horizontal="center"/>
    </xf>
    <xf numFmtId="0" fontId="2" fillId="0" borderId="42" xfId="29" applyFont="1" applyBorder="1" applyAlignment="1">
      <alignment horizontal="center"/>
    </xf>
    <xf numFmtId="3" fontId="2" fillId="0" borderId="43" xfId="29" applyNumberFormat="1" applyFont="1" applyBorder="1" applyAlignment="1">
      <alignment horizontal="right" vertical="center"/>
    </xf>
    <xf numFmtId="166" fontId="9" fillId="0" borderId="44" xfId="29" applyNumberFormat="1" applyFont="1" applyBorder="1"/>
    <xf numFmtId="3" fontId="2" fillId="0" borderId="45" xfId="29" applyNumberFormat="1" applyFont="1" applyBorder="1"/>
    <xf numFmtId="166" fontId="9" fillId="0" borderId="46" xfId="29" applyNumberFormat="1" applyFont="1" applyBorder="1"/>
    <xf numFmtId="3" fontId="2" fillId="0" borderId="47" xfId="29" applyNumberFormat="1" applyFont="1" applyBorder="1"/>
    <xf numFmtId="166" fontId="9" fillId="0" borderId="12" xfId="29" applyNumberFormat="1" applyFont="1" applyBorder="1"/>
    <xf numFmtId="3" fontId="2" fillId="0" borderId="48" xfId="29" applyNumberFormat="1" applyFont="1" applyBorder="1"/>
    <xf numFmtId="166" fontId="9" fillId="0" borderId="20" xfId="29" applyNumberFormat="1" applyFont="1" applyBorder="1"/>
    <xf numFmtId="3" fontId="2" fillId="0" borderId="49" xfId="29" applyNumberFormat="1" applyFont="1" applyBorder="1"/>
    <xf numFmtId="3" fontId="2" fillId="0" borderId="50" xfId="29" applyNumberFormat="1" applyFont="1" applyBorder="1"/>
    <xf numFmtId="3" fontId="2" fillId="0" borderId="51" xfId="29" applyNumberFormat="1" applyFont="1" applyBorder="1"/>
    <xf numFmtId="166" fontId="10" fillId="0" borderId="52" xfId="22" applyNumberFormat="1" applyFont="1" applyFill="1" applyBorder="1" applyAlignment="1">
      <alignment vertical="center"/>
    </xf>
    <xf numFmtId="0" fontId="3" fillId="0" borderId="0" xfId="59" applyFont="1"/>
    <xf numFmtId="0" fontId="2" fillId="0" borderId="0" xfId="59" applyFont="1"/>
    <xf numFmtId="0" fontId="4" fillId="0" borderId="0" xfId="59" applyFont="1"/>
    <xf numFmtId="0" fontId="2" fillId="0" borderId="53" xfId="29" applyFont="1" applyBorder="1"/>
    <xf numFmtId="0" fontId="2" fillId="0" borderId="54" xfId="29" applyFont="1" applyBorder="1"/>
    <xf numFmtId="3" fontId="2" fillId="0" borderId="54" xfId="29" applyNumberFormat="1" applyFont="1" applyBorder="1"/>
    <xf numFmtId="3" fontId="2" fillId="0" borderId="53" xfId="29" applyNumberFormat="1" applyFont="1" applyBorder="1"/>
    <xf numFmtId="38" fontId="2" fillId="0" borderId="10" xfId="22" applyFont="1" applyBorder="1"/>
    <xf numFmtId="38" fontId="2" fillId="0" borderId="11" xfId="22" applyFont="1" applyBorder="1"/>
    <xf numFmtId="38" fontId="2" fillId="0" borderId="11" xfId="22" applyFont="1" applyFill="1" applyBorder="1"/>
    <xf numFmtId="38" fontId="2" fillId="0" borderId="0" xfId="22" applyFont="1" applyBorder="1"/>
    <xf numFmtId="38" fontId="2" fillId="0" borderId="7" xfId="22" applyFont="1" applyBorder="1"/>
    <xf numFmtId="38" fontId="2" fillId="0" borderId="7" xfId="22" applyFont="1" applyFill="1" applyBorder="1"/>
    <xf numFmtId="3" fontId="2" fillId="4" borderId="54" xfId="29" applyNumberFormat="1" applyFont="1" applyFill="1" applyBorder="1"/>
    <xf numFmtId="3" fontId="2" fillId="4" borderId="53" xfId="29" applyNumberFormat="1" applyFont="1" applyFill="1" applyBorder="1"/>
    <xf numFmtId="38" fontId="2" fillId="0" borderId="13" xfId="22" applyFont="1" applyBorder="1"/>
    <xf numFmtId="38" fontId="2" fillId="0" borderId="14" xfId="22" applyFont="1" applyBorder="1"/>
    <xf numFmtId="38" fontId="2" fillId="0" borderId="14" xfId="22" applyFont="1" applyFill="1" applyBorder="1"/>
    <xf numFmtId="38" fontId="2" fillId="0" borderId="16" xfId="22" applyFont="1" applyBorder="1"/>
    <xf numFmtId="38" fontId="2" fillId="0" borderId="17" xfId="22" applyFont="1" applyBorder="1"/>
    <xf numFmtId="38" fontId="2" fillId="0" borderId="17" xfId="22" applyFont="1" applyFill="1" applyBorder="1"/>
    <xf numFmtId="38" fontId="2" fillId="0" borderId="55" xfId="22" applyFont="1" applyBorder="1"/>
    <xf numFmtId="38" fontId="2" fillId="0" borderId="53" xfId="22" applyFont="1" applyBorder="1"/>
    <xf numFmtId="38" fontId="2" fillId="0" borderId="53" xfId="22" applyFont="1" applyFill="1" applyBorder="1"/>
    <xf numFmtId="3" fontId="2" fillId="4" borderId="56" xfId="29" applyNumberFormat="1" applyFont="1" applyFill="1" applyBorder="1"/>
    <xf numFmtId="3" fontId="2" fillId="4" borderId="17" xfId="29" applyNumberFormat="1" applyFont="1" applyFill="1" applyBorder="1"/>
    <xf numFmtId="0" fontId="2" fillId="0" borderId="0" xfId="22" applyNumberFormat="1" applyFont="1" applyBorder="1" applyAlignment="1">
      <alignment horizontal="center"/>
    </xf>
    <xf numFmtId="38" fontId="11" fillId="0" borderId="0" xfId="22" applyFont="1" applyFill="1" applyBorder="1"/>
    <xf numFmtId="0" fontId="11" fillId="0" borderId="0" xfId="29" applyFont="1"/>
    <xf numFmtId="38" fontId="12" fillId="0" borderId="0" xfId="22" applyFont="1" applyBorder="1"/>
    <xf numFmtId="38" fontId="2" fillId="0" borderId="0" xfId="29" applyNumberFormat="1" applyFont="1"/>
    <xf numFmtId="38" fontId="2" fillId="0" borderId="10" xfId="22" applyFont="1" applyFill="1" applyBorder="1"/>
    <xf numFmtId="38" fontId="2" fillId="0" borderId="31" xfId="22" applyFont="1" applyFill="1" applyBorder="1"/>
    <xf numFmtId="38" fontId="2" fillId="0" borderId="57" xfId="22" applyFont="1" applyFill="1" applyBorder="1"/>
    <xf numFmtId="38" fontId="2" fillId="0" borderId="30" xfId="22" applyFont="1" applyFill="1" applyBorder="1"/>
    <xf numFmtId="38" fontId="2" fillId="0" borderId="13" xfId="22" applyFont="1" applyFill="1" applyBorder="1"/>
    <xf numFmtId="38" fontId="2" fillId="0" borderId="32" xfId="22" applyFont="1" applyFill="1" applyBorder="1"/>
    <xf numFmtId="38" fontId="2" fillId="0" borderId="58" xfId="22" applyFont="1" applyFill="1" applyBorder="1"/>
    <xf numFmtId="38" fontId="2" fillId="0" borderId="53" xfId="29" applyNumberFormat="1" applyFont="1" applyBorder="1"/>
    <xf numFmtId="38" fontId="2" fillId="0" borderId="16" xfId="22" applyFont="1" applyFill="1" applyBorder="1"/>
    <xf numFmtId="38" fontId="2" fillId="0" borderId="33" xfId="22" applyFont="1" applyFill="1" applyBorder="1"/>
    <xf numFmtId="0" fontId="7" fillId="4" borderId="53" xfId="29" applyFont="1" applyFill="1" applyBorder="1"/>
    <xf numFmtId="38" fontId="7" fillId="4" borderId="53" xfId="29" applyNumberFormat="1" applyFont="1" applyFill="1" applyBorder="1"/>
    <xf numFmtId="38" fontId="2" fillId="0" borderId="59" xfId="22" applyFont="1" applyFill="1" applyBorder="1"/>
    <xf numFmtId="3" fontId="7" fillId="4" borderId="53" xfId="29" applyNumberFormat="1" applyFont="1" applyFill="1" applyBorder="1"/>
    <xf numFmtId="167" fontId="0" fillId="0" borderId="0" xfId="2" applyNumberFormat="1" applyFont="1"/>
    <xf numFmtId="9" fontId="2" fillId="0" borderId="0" xfId="2" applyFont="1" applyFill="1" applyBorder="1"/>
    <xf numFmtId="168" fontId="9" fillId="0" borderId="0" xfId="26" applyNumberFormat="1" applyFont="1" applyBorder="1">
      <alignment vertical="center"/>
    </xf>
    <xf numFmtId="0" fontId="2" fillId="4" borderId="0" xfId="29" applyFont="1" applyFill="1"/>
    <xf numFmtId="0" fontId="2" fillId="0" borderId="0" xfId="22" applyNumberFormat="1" applyFont="1" applyFill="1" applyBorder="1" applyAlignment="1">
      <alignment horizontal="center"/>
    </xf>
    <xf numFmtId="0" fontId="9" fillId="0" borderId="0" xfId="59" applyFont="1"/>
    <xf numFmtId="3" fontId="9" fillId="0" borderId="0" xfId="59" applyNumberFormat="1" applyFont="1"/>
    <xf numFmtId="0" fontId="13" fillId="0" borderId="0" xfId="0" applyFont="1"/>
    <xf numFmtId="0" fontId="2" fillId="4" borderId="53" xfId="29" applyFont="1" applyFill="1" applyBorder="1"/>
    <xf numFmtId="3" fontId="13" fillId="0" borderId="53" xfId="0" applyNumberFormat="1" applyFont="1" applyBorder="1"/>
    <xf numFmtId="169" fontId="13" fillId="0" borderId="53" xfId="0" applyNumberFormat="1" applyFont="1" applyBorder="1"/>
    <xf numFmtId="38" fontId="2" fillId="4" borderId="53" xfId="29" applyNumberFormat="1" applyFont="1" applyFill="1" applyBorder="1"/>
    <xf numFmtId="38" fontId="7" fillId="4" borderId="53" xfId="29" applyNumberFormat="1" applyFont="1" applyFill="1" applyBorder="1" applyAlignment="1">
      <alignment horizontal="right"/>
    </xf>
    <xf numFmtId="0" fontId="9" fillId="0" borderId="0" xfId="29" applyFont="1"/>
    <xf numFmtId="0" fontId="14" fillId="0" borderId="0" xfId="29" applyFont="1"/>
    <xf numFmtId="38" fontId="14" fillId="0" borderId="0" xfId="59" applyNumberFormat="1" applyFont="1"/>
    <xf numFmtId="38" fontId="14" fillId="0" borderId="0" xfId="29" applyNumberFormat="1" applyFont="1"/>
    <xf numFmtId="3" fontId="9" fillId="0" borderId="0" xfId="29" applyNumberFormat="1" applyFont="1"/>
    <xf numFmtId="3" fontId="2" fillId="0" borderId="0" xfId="59" applyNumberFormat="1" applyFont="1"/>
    <xf numFmtId="38" fontId="9" fillId="0" borderId="0" xfId="29" applyNumberFormat="1" applyFont="1"/>
    <xf numFmtId="3" fontId="14" fillId="0" borderId="0" xfId="29" applyNumberFormat="1" applyFont="1"/>
    <xf numFmtId="0" fontId="15" fillId="0" borderId="0" xfId="29" applyFont="1"/>
    <xf numFmtId="0" fontId="7" fillId="0" borderId="53" xfId="29" applyFont="1" applyBorder="1"/>
    <xf numFmtId="38" fontId="14" fillId="4" borderId="53" xfId="59" applyNumberFormat="1" applyFont="1" applyFill="1" applyBorder="1"/>
    <xf numFmtId="0" fontId="1" fillId="4" borderId="0" xfId="29" applyFont="1" applyFill="1"/>
    <xf numFmtId="170" fontId="7" fillId="4" borderId="53" xfId="29" applyNumberFormat="1" applyFont="1" applyFill="1" applyBorder="1"/>
    <xf numFmtId="0" fontId="2" fillId="4" borderId="53" xfId="29" applyFont="1" applyFill="1" applyBorder="1" applyAlignment="1">
      <alignment horizontal="right"/>
    </xf>
    <xf numFmtId="38" fontId="14" fillId="4" borderId="53" xfId="59" applyNumberFormat="1" applyFont="1" applyFill="1" applyBorder="1" applyAlignment="1">
      <alignment horizontal="right"/>
    </xf>
    <xf numFmtId="3" fontId="7" fillId="4" borderId="53" xfId="29" applyNumberFormat="1" applyFont="1" applyFill="1" applyBorder="1" applyAlignment="1">
      <alignment horizontal="right"/>
    </xf>
    <xf numFmtId="0" fontId="14" fillId="0" borderId="0" xfId="60" applyFont="1"/>
    <xf numFmtId="0" fontId="16" fillId="0" borderId="0" xfId="60"/>
    <xf numFmtId="0" fontId="3" fillId="0" borderId="0" xfId="60" applyFont="1"/>
    <xf numFmtId="0" fontId="2" fillId="0" borderId="0" xfId="60" applyFont="1"/>
    <xf numFmtId="0" fontId="4" fillId="0" borderId="0" xfId="60" applyFont="1"/>
    <xf numFmtId="0" fontId="14" fillId="0" borderId="53" xfId="60" applyFont="1" applyBorder="1"/>
    <xf numFmtId="9" fontId="14" fillId="0" borderId="53" xfId="60" applyNumberFormat="1" applyFont="1" applyBorder="1"/>
    <xf numFmtId="9" fontId="16" fillId="0" borderId="0" xfId="60" applyNumberFormat="1"/>
    <xf numFmtId="0" fontId="7" fillId="0" borderId="53" xfId="60" applyFont="1" applyBorder="1"/>
    <xf numFmtId="9" fontId="14" fillId="0" borderId="53" xfId="58" applyFont="1" applyBorder="1"/>
    <xf numFmtId="0" fontId="7" fillId="4" borderId="53" xfId="60" applyFont="1" applyFill="1" applyBorder="1"/>
    <xf numFmtId="9" fontId="7" fillId="4" borderId="53" xfId="60" applyNumberFormat="1" applyFont="1" applyFill="1" applyBorder="1"/>
    <xf numFmtId="0" fontId="14" fillId="4" borderId="53" xfId="60" applyFont="1" applyFill="1" applyBorder="1"/>
    <xf numFmtId="9" fontId="14" fillId="4" borderId="53" xfId="60" applyNumberFormat="1" applyFont="1" applyFill="1" applyBorder="1"/>
    <xf numFmtId="0" fontId="17" fillId="5" borderId="0" xfId="64" applyFont="1" applyFill="1" applyAlignment="1">
      <alignment horizontal="center"/>
    </xf>
    <xf numFmtId="0" fontId="18" fillId="0" borderId="0" xfId="60" applyFont="1"/>
    <xf numFmtId="9" fontId="18" fillId="0" borderId="53" xfId="60" applyNumberFormat="1" applyFont="1" applyBorder="1"/>
    <xf numFmtId="9" fontId="16" fillId="0" borderId="53" xfId="58" applyFont="1" applyBorder="1"/>
    <xf numFmtId="9" fontId="18" fillId="0" borderId="0" xfId="60" applyNumberFormat="1" applyFont="1"/>
    <xf numFmtId="0" fontId="19" fillId="0" borderId="0" xfId="60" applyFont="1"/>
    <xf numFmtId="0" fontId="16" fillId="0" borderId="53" xfId="60" applyBorder="1"/>
    <xf numFmtId="9" fontId="7" fillId="0" borderId="53" xfId="60" applyNumberFormat="1" applyFont="1" applyBorder="1"/>
    <xf numFmtId="9" fontId="14" fillId="0" borderId="53" xfId="39" applyFont="1" applyBorder="1" applyAlignment="1"/>
    <xf numFmtId="0" fontId="7" fillId="0" borderId="0" xfId="60" applyFont="1"/>
    <xf numFmtId="0" fontId="20" fillId="0" borderId="0" xfId="60" applyFont="1"/>
    <xf numFmtId="0" fontId="21" fillId="0" borderId="0" xfId="31" applyFont="1"/>
    <xf numFmtId="9" fontId="0" fillId="0" borderId="0" xfId="53" applyFont="1" applyAlignment="1"/>
    <xf numFmtId="0" fontId="7" fillId="0" borderId="0" xfId="29" applyFont="1" applyAlignment="1">
      <alignment horizontal="center"/>
    </xf>
    <xf numFmtId="0" fontId="22" fillId="0" borderId="0" xfId="29" applyFont="1"/>
    <xf numFmtId="0" fontId="23" fillId="0" borderId="0" xfId="29" applyFont="1"/>
    <xf numFmtId="0" fontId="12" fillId="0" borderId="0" xfId="29" applyFont="1"/>
    <xf numFmtId="0" fontId="7" fillId="0" borderId="2" xfId="29" applyFont="1" applyBorder="1" applyAlignment="1">
      <alignment horizontal="center"/>
    </xf>
    <xf numFmtId="0" fontId="7" fillId="0" borderId="1" xfId="29" applyFont="1" applyBorder="1" applyAlignment="1">
      <alignment horizontal="center"/>
    </xf>
    <xf numFmtId="0" fontId="7" fillId="0" borderId="4" xfId="29" applyFont="1" applyBorder="1" applyAlignment="1">
      <alignment horizontal="center"/>
    </xf>
    <xf numFmtId="0" fontId="7" fillId="0" borderId="6" xfId="29" applyFont="1" applyBorder="1"/>
    <xf numFmtId="0" fontId="7" fillId="0" borderId="9" xfId="29" applyFont="1" applyBorder="1"/>
    <xf numFmtId="38" fontId="7" fillId="0" borderId="60" xfId="22" applyFont="1" applyFill="1" applyBorder="1" applyAlignment="1">
      <alignment horizontal="right"/>
    </xf>
    <xf numFmtId="38" fontId="7" fillId="0" borderId="19" xfId="22" applyFont="1" applyFill="1" applyBorder="1" applyAlignment="1">
      <alignment horizontal="right"/>
    </xf>
    <xf numFmtId="0" fontId="7" fillId="0" borderId="12" xfId="29" applyFont="1" applyBorder="1"/>
    <xf numFmtId="38" fontId="7" fillId="0" borderId="61" xfId="22" applyFont="1" applyFill="1" applyBorder="1" applyAlignment="1">
      <alignment horizontal="right"/>
    </xf>
    <xf numFmtId="38" fontId="7" fillId="0" borderId="14" xfId="22" applyFont="1" applyFill="1" applyBorder="1" applyAlignment="1">
      <alignment horizontal="right"/>
    </xf>
    <xf numFmtId="0" fontId="7" fillId="0" borderId="23" xfId="29" applyFont="1" applyBorder="1"/>
    <xf numFmtId="38" fontId="7" fillId="0" borderId="62" xfId="22" applyFont="1" applyFill="1" applyBorder="1" applyAlignment="1">
      <alignment horizontal="right"/>
    </xf>
    <xf numFmtId="38" fontId="7" fillId="0" borderId="25" xfId="22" applyFont="1" applyFill="1" applyBorder="1" applyAlignment="1">
      <alignment horizontal="right"/>
    </xf>
    <xf numFmtId="0" fontId="7" fillId="0" borderId="15" xfId="29" applyFont="1" applyBorder="1"/>
    <xf numFmtId="0" fontId="7" fillId="0" borderId="20" xfId="29" applyFont="1" applyBorder="1"/>
    <xf numFmtId="38" fontId="7" fillId="0" borderId="63" xfId="22" applyFont="1" applyFill="1" applyBorder="1" applyAlignment="1">
      <alignment horizontal="right"/>
    </xf>
    <xf numFmtId="38" fontId="7" fillId="0" borderId="22" xfId="22" applyFont="1" applyFill="1" applyBorder="1" applyAlignment="1">
      <alignment horizontal="right"/>
    </xf>
    <xf numFmtId="38" fontId="7" fillId="0" borderId="5" xfId="22" applyFont="1" applyBorder="1" applyAlignment="1">
      <alignment horizontal="right"/>
    </xf>
    <xf numFmtId="38" fontId="7" fillId="0" borderId="7" xfId="22" applyFont="1" applyFill="1" applyBorder="1" applyAlignment="1">
      <alignment horizontal="right"/>
    </xf>
    <xf numFmtId="38" fontId="7" fillId="0" borderId="7" xfId="22" applyFont="1" applyBorder="1" applyAlignment="1">
      <alignment horizontal="right"/>
    </xf>
    <xf numFmtId="38" fontId="7" fillId="0" borderId="61" xfId="22" applyFont="1" applyBorder="1" applyAlignment="1">
      <alignment horizontal="right"/>
    </xf>
    <xf numFmtId="38" fontId="7" fillId="0" borderId="14" xfId="22" applyFont="1" applyBorder="1" applyAlignment="1">
      <alignment horizontal="right"/>
    </xf>
    <xf numFmtId="38" fontId="7" fillId="0" borderId="5" xfId="22" applyFont="1" applyFill="1" applyBorder="1" applyAlignment="1">
      <alignment horizontal="right"/>
    </xf>
    <xf numFmtId="38" fontId="7" fillId="0" borderId="64" xfId="22" applyFont="1" applyBorder="1" applyAlignment="1">
      <alignment horizontal="right"/>
    </xf>
    <xf numFmtId="38" fontId="7" fillId="0" borderId="17" xfId="22" applyFont="1" applyBorder="1" applyAlignment="1">
      <alignment horizontal="right"/>
    </xf>
    <xf numFmtId="171" fontId="7" fillId="0" borderId="7" xfId="22" applyNumberFormat="1" applyFont="1" applyBorder="1" applyAlignment="1">
      <alignment horizontal="right"/>
    </xf>
    <xf numFmtId="171" fontId="7" fillId="0" borderId="14" xfId="22" applyNumberFormat="1" applyFont="1" applyBorder="1" applyAlignment="1">
      <alignment horizontal="right"/>
    </xf>
    <xf numFmtId="171" fontId="7" fillId="0" borderId="17" xfId="22" applyNumberFormat="1" applyFont="1" applyBorder="1" applyAlignment="1">
      <alignment horizontal="right"/>
    </xf>
    <xf numFmtId="0" fontId="7" fillId="0" borderId="3" xfId="29" applyFont="1" applyBorder="1" applyAlignment="1">
      <alignment horizontal="center"/>
    </xf>
    <xf numFmtId="0" fontId="7" fillId="0" borderId="29" xfId="29" applyFont="1" applyBorder="1" applyAlignment="1">
      <alignment horizontal="center"/>
    </xf>
    <xf numFmtId="0" fontId="7" fillId="0" borderId="65" xfId="29" applyFont="1" applyBorder="1" applyAlignment="1">
      <alignment horizontal="center"/>
    </xf>
    <xf numFmtId="38" fontId="7" fillId="0" borderId="18" xfId="22" applyFont="1" applyFill="1" applyBorder="1" applyAlignment="1">
      <alignment horizontal="right"/>
    </xf>
    <xf numFmtId="172" fontId="7" fillId="0" borderId="34" xfId="22" applyNumberFormat="1" applyFont="1" applyFill="1" applyBorder="1" applyAlignment="1">
      <alignment horizontal="right"/>
    </xf>
    <xf numFmtId="172" fontId="7" fillId="0" borderId="66" xfId="22" applyNumberFormat="1" applyFont="1" applyFill="1" applyBorder="1" applyAlignment="1">
      <alignment horizontal="right"/>
    </xf>
    <xf numFmtId="172" fontId="7" fillId="0" borderId="19" xfId="22" applyNumberFormat="1" applyFont="1" applyFill="1" applyBorder="1" applyAlignment="1">
      <alignment horizontal="right"/>
    </xf>
    <xf numFmtId="38" fontId="7" fillId="0" borderId="13" xfId="22" applyFont="1" applyFill="1" applyBorder="1" applyAlignment="1">
      <alignment horizontal="right"/>
    </xf>
    <xf numFmtId="172" fontId="7" fillId="0" borderId="32" xfId="22" applyNumberFormat="1" applyFont="1" applyFill="1" applyBorder="1" applyAlignment="1">
      <alignment horizontal="right"/>
    </xf>
    <xf numFmtId="172" fontId="7" fillId="0" borderId="67" xfId="22" applyNumberFormat="1" applyFont="1" applyFill="1" applyBorder="1" applyAlignment="1">
      <alignment horizontal="right"/>
    </xf>
    <xf numFmtId="172" fontId="7" fillId="0" borderId="14" xfId="22" applyNumberFormat="1" applyFont="1" applyFill="1" applyBorder="1" applyAlignment="1">
      <alignment horizontal="right"/>
    </xf>
    <xf numFmtId="38" fontId="7" fillId="0" borderId="24" xfId="22" applyFont="1" applyFill="1" applyBorder="1" applyAlignment="1">
      <alignment horizontal="right"/>
    </xf>
    <xf numFmtId="172" fontId="7" fillId="0" borderId="36" xfId="22" applyNumberFormat="1" applyFont="1" applyFill="1" applyBorder="1" applyAlignment="1">
      <alignment horizontal="right"/>
    </xf>
    <xf numFmtId="172" fontId="7" fillId="0" borderId="68" xfId="22" applyNumberFormat="1" applyFont="1" applyFill="1" applyBorder="1" applyAlignment="1">
      <alignment horizontal="right"/>
    </xf>
    <xf numFmtId="172" fontId="7" fillId="0" borderId="25" xfId="22" applyNumberFormat="1" applyFont="1" applyFill="1" applyBorder="1" applyAlignment="1">
      <alignment horizontal="right"/>
    </xf>
    <xf numFmtId="38" fontId="7" fillId="0" borderId="21" xfId="22" applyFont="1" applyFill="1" applyBorder="1" applyAlignment="1">
      <alignment horizontal="right"/>
    </xf>
    <xf numFmtId="172" fontId="7" fillId="0" borderId="35" xfId="22" applyNumberFormat="1" applyFont="1" applyFill="1" applyBorder="1" applyAlignment="1">
      <alignment horizontal="right"/>
    </xf>
    <xf numFmtId="172" fontId="7" fillId="0" borderId="69" xfId="22" applyNumberFormat="1" applyFont="1" applyFill="1" applyBorder="1" applyAlignment="1">
      <alignment horizontal="right"/>
    </xf>
    <xf numFmtId="172" fontId="7" fillId="0" borderId="22" xfId="22" applyNumberFormat="1" applyFont="1" applyFill="1" applyBorder="1" applyAlignment="1">
      <alignment horizontal="right"/>
    </xf>
    <xf numFmtId="38" fontId="7" fillId="0" borderId="0" xfId="22" applyFont="1" applyFill="1" applyBorder="1" applyAlignment="1">
      <alignment horizontal="right"/>
    </xf>
    <xf numFmtId="172" fontId="7" fillId="0" borderId="30" xfId="22" applyNumberFormat="1" applyFont="1" applyFill="1" applyBorder="1" applyAlignment="1">
      <alignment horizontal="right"/>
    </xf>
    <xf numFmtId="172" fontId="7" fillId="0" borderId="70" xfId="22" applyNumberFormat="1" applyFont="1" applyFill="1" applyBorder="1" applyAlignment="1">
      <alignment horizontal="right"/>
    </xf>
    <xf numFmtId="172" fontId="7" fillId="0" borderId="7" xfId="22" applyNumberFormat="1" applyFont="1" applyFill="1" applyBorder="1" applyAlignment="1">
      <alignment horizontal="right"/>
    </xf>
    <xf numFmtId="38" fontId="7" fillId="0" borderId="17" xfId="22" applyFont="1" applyFill="1" applyBorder="1" applyAlignment="1">
      <alignment horizontal="right"/>
    </xf>
    <xf numFmtId="38" fontId="7" fillId="0" borderId="16" xfId="22" applyFont="1" applyFill="1" applyBorder="1" applyAlignment="1">
      <alignment horizontal="right"/>
    </xf>
    <xf numFmtId="172" fontId="7" fillId="0" borderId="33" xfId="22" applyNumberFormat="1" applyFont="1" applyFill="1" applyBorder="1" applyAlignment="1">
      <alignment horizontal="right"/>
    </xf>
    <xf numFmtId="172" fontId="7" fillId="0" borderId="71" xfId="22" applyNumberFormat="1" applyFont="1" applyFill="1" applyBorder="1" applyAlignment="1">
      <alignment horizontal="right"/>
    </xf>
    <xf numFmtId="172" fontId="7" fillId="0" borderId="17" xfId="22" applyNumberFormat="1" applyFont="1" applyFill="1" applyBorder="1" applyAlignment="1">
      <alignment horizontal="right"/>
    </xf>
    <xf numFmtId="171" fontId="7" fillId="0" borderId="7" xfId="22" applyNumberFormat="1" applyFont="1" applyFill="1" applyBorder="1" applyAlignment="1">
      <alignment horizontal="right"/>
    </xf>
    <xf numFmtId="171" fontId="7" fillId="0" borderId="0" xfId="22" applyNumberFormat="1" applyFont="1" applyFill="1" applyBorder="1" applyAlignment="1">
      <alignment horizontal="right"/>
    </xf>
    <xf numFmtId="171" fontId="7" fillId="0" borderId="14" xfId="22" applyNumberFormat="1" applyFont="1" applyFill="1" applyBorder="1" applyAlignment="1">
      <alignment horizontal="right"/>
    </xf>
    <xf numFmtId="171" fontId="7" fillId="0" borderId="13" xfId="22" applyNumberFormat="1" applyFont="1" applyFill="1" applyBorder="1" applyAlignment="1">
      <alignment horizontal="right"/>
    </xf>
    <xf numFmtId="2" fontId="7" fillId="0" borderId="67" xfId="22" applyNumberFormat="1" applyFont="1" applyFill="1" applyBorder="1" applyAlignment="1">
      <alignment horizontal="right"/>
    </xf>
    <xf numFmtId="2" fontId="7" fillId="0" borderId="14" xfId="22" applyNumberFormat="1" applyFont="1" applyFill="1" applyBorder="1" applyAlignment="1">
      <alignment horizontal="right"/>
    </xf>
    <xf numFmtId="171" fontId="7" fillId="0" borderId="17" xfId="22" applyNumberFormat="1" applyFont="1" applyFill="1" applyBorder="1" applyAlignment="1">
      <alignment horizontal="right"/>
    </xf>
    <xf numFmtId="171" fontId="7" fillId="0" borderId="16" xfId="22" applyNumberFormat="1" applyFont="1" applyFill="1" applyBorder="1" applyAlignment="1">
      <alignment horizontal="right"/>
    </xf>
    <xf numFmtId="38" fontId="7" fillId="0" borderId="32" xfId="22" applyFont="1" applyFill="1" applyBorder="1" applyAlignment="1">
      <alignment horizontal="right"/>
    </xf>
    <xf numFmtId="38" fontId="7" fillId="0" borderId="67" xfId="22" applyFont="1" applyFill="1" applyBorder="1" applyAlignment="1">
      <alignment horizontal="right"/>
    </xf>
    <xf numFmtId="38" fontId="7" fillId="0" borderId="30" xfId="22" applyFont="1" applyFill="1" applyBorder="1" applyAlignment="1">
      <alignment horizontal="right"/>
    </xf>
    <xf numFmtId="38" fontId="7" fillId="0" borderId="70" xfId="22" applyFont="1" applyFill="1" applyBorder="1" applyAlignment="1">
      <alignment horizontal="right"/>
    </xf>
    <xf numFmtId="38" fontId="7" fillId="0" borderId="33" xfId="22" applyFont="1" applyFill="1" applyBorder="1" applyAlignment="1">
      <alignment horizontal="right"/>
    </xf>
    <xf numFmtId="171" fontId="7" fillId="0" borderId="30" xfId="22" applyNumberFormat="1" applyFont="1" applyFill="1" applyBorder="1" applyAlignment="1">
      <alignment horizontal="right"/>
    </xf>
    <xf numFmtId="171" fontId="7" fillId="0" borderId="31" xfId="22" applyNumberFormat="1" applyFont="1" applyFill="1" applyBorder="1" applyAlignment="1">
      <alignment horizontal="right"/>
    </xf>
    <xf numFmtId="171" fontId="7" fillId="0" borderId="72" xfId="22" applyNumberFormat="1" applyFont="1" applyFill="1" applyBorder="1" applyAlignment="1">
      <alignment horizontal="right"/>
    </xf>
    <xf numFmtId="171" fontId="7" fillId="0" borderId="11" xfId="22" applyNumberFormat="1" applyFont="1" applyFill="1" applyBorder="1" applyAlignment="1">
      <alignment horizontal="right"/>
    </xf>
    <xf numFmtId="38" fontId="7" fillId="0" borderId="35" xfId="22" applyFont="1" applyFill="1" applyBorder="1" applyAlignment="1">
      <alignment horizontal="right"/>
    </xf>
    <xf numFmtId="38" fontId="7" fillId="0" borderId="71" xfId="22" applyFont="1" applyFill="1" applyBorder="1" applyAlignment="1">
      <alignment horizontal="right"/>
    </xf>
    <xf numFmtId="171" fontId="7" fillId="0" borderId="70" xfId="22" applyNumberFormat="1" applyFont="1" applyFill="1" applyBorder="1" applyAlignment="1">
      <alignment horizontal="right"/>
    </xf>
    <xf numFmtId="171" fontId="7" fillId="0" borderId="32" xfId="22" applyNumberFormat="1" applyFont="1" applyFill="1" applyBorder="1" applyAlignment="1">
      <alignment horizontal="right"/>
    </xf>
    <xf numFmtId="171" fontId="7" fillId="0" borderId="67" xfId="22" applyNumberFormat="1" applyFont="1" applyFill="1" applyBorder="1" applyAlignment="1">
      <alignment horizontal="right"/>
    </xf>
    <xf numFmtId="171" fontId="7" fillId="0" borderId="33" xfId="22" applyNumberFormat="1" applyFont="1" applyFill="1" applyBorder="1" applyAlignment="1">
      <alignment horizontal="right"/>
    </xf>
    <xf numFmtId="171" fontId="7" fillId="0" borderId="71" xfId="22" applyNumberFormat="1" applyFont="1" applyFill="1" applyBorder="1" applyAlignment="1">
      <alignment horizontal="right"/>
    </xf>
    <xf numFmtId="0" fontId="7" fillId="0" borderId="73" xfId="29" applyFont="1" applyBorder="1" applyAlignment="1">
      <alignment horizontal="center"/>
    </xf>
    <xf numFmtId="0" fontId="7" fillId="0" borderId="74" xfId="29" applyFont="1" applyBorder="1" applyAlignment="1">
      <alignment horizontal="center"/>
    </xf>
    <xf numFmtId="0" fontId="7" fillId="0" borderId="75" xfId="29" applyFont="1" applyBorder="1" applyAlignment="1">
      <alignment horizontal="center"/>
    </xf>
    <xf numFmtId="172" fontId="7" fillId="0" borderId="45" xfId="22" applyNumberFormat="1" applyFont="1" applyFill="1" applyBorder="1" applyAlignment="1">
      <alignment horizontal="right"/>
    </xf>
    <xf numFmtId="0" fontId="7" fillId="0" borderId="60" xfId="29" applyFont="1" applyBorder="1"/>
    <xf numFmtId="172" fontId="7" fillId="0" borderId="76" xfId="22" applyNumberFormat="1" applyFont="1" applyFill="1" applyBorder="1" applyAlignment="1">
      <alignment horizontal="right"/>
    </xf>
    <xf numFmtId="172" fontId="7" fillId="0" borderId="18" xfId="22" applyNumberFormat="1" applyFont="1" applyFill="1" applyBorder="1" applyAlignment="1">
      <alignment horizontal="right"/>
    </xf>
    <xf numFmtId="172" fontId="7" fillId="0" borderId="77" xfId="22" applyNumberFormat="1" applyFont="1" applyFill="1" applyBorder="1" applyAlignment="1">
      <alignment horizontal="right"/>
    </xf>
    <xf numFmtId="172" fontId="7" fillId="0" borderId="47" xfId="22" applyNumberFormat="1" applyFont="1" applyFill="1" applyBorder="1" applyAlignment="1">
      <alignment horizontal="right"/>
    </xf>
    <xf numFmtId="0" fontId="7" fillId="0" borderId="61" xfId="29" applyFont="1" applyBorder="1"/>
    <xf numFmtId="172" fontId="7" fillId="0" borderId="78" xfId="22" applyNumberFormat="1" applyFont="1" applyFill="1" applyBorder="1" applyAlignment="1">
      <alignment horizontal="right"/>
    </xf>
    <xf numFmtId="172" fontId="7" fillId="0" borderId="13" xfId="22" applyNumberFormat="1" applyFont="1" applyFill="1" applyBorder="1" applyAlignment="1">
      <alignment horizontal="right"/>
    </xf>
    <xf numFmtId="172" fontId="7" fillId="0" borderId="79" xfId="22" applyNumberFormat="1" applyFont="1" applyFill="1" applyBorder="1" applyAlignment="1">
      <alignment horizontal="right"/>
    </xf>
    <xf numFmtId="3" fontId="7" fillId="0" borderId="36" xfId="22" applyNumberFormat="1" applyFont="1" applyFill="1" applyBorder="1" applyAlignment="1">
      <alignment horizontal="right"/>
    </xf>
    <xf numFmtId="3" fontId="7" fillId="0" borderId="80" xfId="22" applyNumberFormat="1" applyFont="1" applyFill="1" applyBorder="1" applyAlignment="1">
      <alignment horizontal="right"/>
    </xf>
    <xf numFmtId="0" fontId="7" fillId="0" borderId="62" xfId="29" applyFont="1" applyBorder="1"/>
    <xf numFmtId="3" fontId="7" fillId="0" borderId="81" xfId="22" applyNumberFormat="1" applyFont="1" applyFill="1" applyBorder="1" applyAlignment="1">
      <alignment horizontal="right"/>
    </xf>
    <xf numFmtId="3" fontId="7" fillId="0" borderId="24" xfId="22" applyNumberFormat="1" applyFont="1" applyFill="1" applyBorder="1" applyAlignment="1">
      <alignment horizontal="right"/>
    </xf>
    <xf numFmtId="3" fontId="7" fillId="0" borderId="82" xfId="22" applyNumberFormat="1" applyFont="1" applyFill="1" applyBorder="1" applyAlignment="1">
      <alignment horizontal="right"/>
    </xf>
    <xf numFmtId="172" fontId="7" fillId="0" borderId="83" xfId="22" applyNumberFormat="1" applyFont="1" applyFill="1" applyBorder="1" applyAlignment="1">
      <alignment horizontal="right"/>
    </xf>
    <xf numFmtId="0" fontId="7" fillId="0" borderId="63" xfId="29" applyFont="1" applyBorder="1"/>
    <xf numFmtId="172" fontId="7" fillId="0" borderId="84" xfId="22" applyNumberFormat="1" applyFont="1" applyFill="1" applyBorder="1" applyAlignment="1">
      <alignment horizontal="right"/>
    </xf>
    <xf numFmtId="172" fontId="7" fillId="0" borderId="21" xfId="22" applyNumberFormat="1" applyFont="1" applyFill="1" applyBorder="1" applyAlignment="1">
      <alignment horizontal="right"/>
    </xf>
    <xf numFmtId="172" fontId="7" fillId="0" borderId="85" xfId="22" applyNumberFormat="1" applyFont="1" applyFill="1" applyBorder="1" applyAlignment="1">
      <alignment horizontal="right"/>
    </xf>
    <xf numFmtId="172" fontId="7" fillId="0" borderId="86" xfId="22" applyNumberFormat="1" applyFont="1" applyFill="1" applyBorder="1" applyAlignment="1">
      <alignment horizontal="right"/>
    </xf>
    <xf numFmtId="0" fontId="7" fillId="0" borderId="5" xfId="29" applyFont="1" applyBorder="1"/>
    <xf numFmtId="172" fontId="7" fillId="0" borderId="87" xfId="22" applyNumberFormat="1" applyFont="1" applyFill="1" applyBorder="1" applyAlignment="1">
      <alignment horizontal="right"/>
    </xf>
    <xf numFmtId="172" fontId="7" fillId="0" borderId="0" xfId="22" applyNumberFormat="1" applyFont="1" applyFill="1" applyBorder="1" applyAlignment="1">
      <alignment horizontal="right"/>
    </xf>
    <xf numFmtId="172" fontId="7" fillId="0" borderId="88" xfId="22" applyNumberFormat="1" applyFont="1" applyFill="1" applyBorder="1" applyAlignment="1">
      <alignment horizontal="right"/>
    </xf>
    <xf numFmtId="3" fontId="7" fillId="0" borderId="32" xfId="22" applyNumberFormat="1" applyFont="1" applyFill="1" applyBorder="1" applyAlignment="1">
      <alignment horizontal="right"/>
    </xf>
    <xf numFmtId="3" fontId="7" fillId="0" borderId="47" xfId="22" applyNumberFormat="1" applyFont="1" applyFill="1" applyBorder="1" applyAlignment="1">
      <alignment horizontal="right"/>
    </xf>
    <xf numFmtId="169" fontId="7" fillId="0" borderId="13" xfId="22" applyNumberFormat="1" applyFont="1" applyFill="1" applyBorder="1" applyAlignment="1">
      <alignment horizontal="right"/>
    </xf>
    <xf numFmtId="169" fontId="7" fillId="0" borderId="79" xfId="22" applyNumberFormat="1" applyFont="1" applyFill="1" applyBorder="1" applyAlignment="1">
      <alignment horizontal="right"/>
    </xf>
    <xf numFmtId="172" fontId="7" fillId="0" borderId="48" xfId="22" applyNumberFormat="1" applyFont="1" applyFill="1" applyBorder="1" applyAlignment="1">
      <alignment horizontal="right"/>
    </xf>
    <xf numFmtId="0" fontId="7" fillId="0" borderId="64" xfId="29" applyFont="1" applyBorder="1"/>
    <xf numFmtId="172" fontId="7" fillId="0" borderId="89" xfId="22" applyNumberFormat="1" applyFont="1" applyFill="1" applyBorder="1" applyAlignment="1">
      <alignment horizontal="right"/>
    </xf>
    <xf numFmtId="172" fontId="7" fillId="0" borderId="16" xfId="22" applyNumberFormat="1" applyFont="1" applyFill="1" applyBorder="1" applyAlignment="1">
      <alignment horizontal="right"/>
    </xf>
    <xf numFmtId="172" fontId="7" fillId="0" borderId="90" xfId="22" applyNumberFormat="1" applyFont="1" applyFill="1" applyBorder="1" applyAlignment="1">
      <alignment horizontal="right"/>
    </xf>
    <xf numFmtId="2" fontId="7" fillId="0" borderId="32" xfId="22" applyNumberFormat="1" applyFont="1" applyFill="1" applyBorder="1" applyAlignment="1">
      <alignment horizontal="right"/>
    </xf>
    <xf numFmtId="2" fontId="7" fillId="0" borderId="47" xfId="22" applyNumberFormat="1" applyFont="1" applyFill="1" applyBorder="1" applyAlignment="1">
      <alignment horizontal="right"/>
    </xf>
    <xf numFmtId="2" fontId="7" fillId="0" borderId="13" xfId="22" applyNumberFormat="1" applyFont="1" applyFill="1" applyBorder="1" applyAlignment="1">
      <alignment horizontal="right"/>
    </xf>
    <xf numFmtId="2" fontId="7" fillId="0" borderId="79" xfId="22" applyNumberFormat="1" applyFont="1" applyFill="1" applyBorder="1" applyAlignment="1">
      <alignment horizontal="right"/>
    </xf>
    <xf numFmtId="3" fontId="7" fillId="0" borderId="78" xfId="22" applyNumberFormat="1" applyFont="1" applyFill="1" applyBorder="1" applyAlignment="1">
      <alignment horizontal="right"/>
    </xf>
    <xf numFmtId="3" fontId="7" fillId="0" borderId="13" xfId="22" applyNumberFormat="1" applyFont="1" applyFill="1" applyBorder="1" applyAlignment="1">
      <alignment horizontal="right"/>
    </xf>
    <xf numFmtId="3" fontId="7" fillId="0" borderId="79" xfId="22" applyNumberFormat="1" applyFont="1" applyFill="1" applyBorder="1" applyAlignment="1">
      <alignment horizontal="right"/>
    </xf>
    <xf numFmtId="38" fontId="7" fillId="0" borderId="86" xfId="22" applyFont="1" applyFill="1" applyBorder="1" applyAlignment="1">
      <alignment horizontal="right"/>
    </xf>
    <xf numFmtId="38" fontId="7" fillId="0" borderId="6" xfId="22" applyFont="1" applyFill="1" applyBorder="1" applyAlignment="1">
      <alignment horizontal="right"/>
    </xf>
    <xf numFmtId="38" fontId="7" fillId="0" borderId="87" xfId="22" applyFont="1" applyFill="1" applyBorder="1" applyAlignment="1">
      <alignment horizontal="right"/>
    </xf>
    <xf numFmtId="38" fontId="7" fillId="0" borderId="88" xfId="22" applyFont="1" applyFill="1" applyBorder="1" applyAlignment="1">
      <alignment horizontal="right"/>
    </xf>
    <xf numFmtId="38" fontId="7" fillId="0" borderId="47" xfId="22" applyFont="1" applyFill="1" applyBorder="1" applyAlignment="1">
      <alignment horizontal="right"/>
    </xf>
    <xf numFmtId="38" fontId="7" fillId="0" borderId="12" xfId="22" applyFont="1" applyFill="1" applyBorder="1" applyAlignment="1">
      <alignment horizontal="right"/>
    </xf>
    <xf numFmtId="38" fontId="7" fillId="0" borderId="78" xfId="22" applyFont="1" applyFill="1" applyBorder="1" applyAlignment="1">
      <alignment horizontal="right"/>
    </xf>
    <xf numFmtId="38" fontId="7" fillId="0" borderId="79" xfId="22" applyFont="1" applyFill="1" applyBorder="1" applyAlignment="1">
      <alignment horizontal="right"/>
    </xf>
    <xf numFmtId="172" fontId="7" fillId="0" borderId="12" xfId="22" applyNumberFormat="1" applyFont="1" applyFill="1" applyBorder="1" applyAlignment="1">
      <alignment horizontal="right"/>
    </xf>
    <xf numFmtId="172" fontId="7" fillId="0" borderId="61" xfId="22" applyNumberFormat="1" applyFont="1" applyFill="1" applyBorder="1" applyAlignment="1">
      <alignment horizontal="right"/>
    </xf>
    <xf numFmtId="171" fontId="7" fillId="0" borderId="91" xfId="22" applyNumberFormat="1" applyFont="1" applyFill="1" applyBorder="1" applyAlignment="1">
      <alignment horizontal="right"/>
    </xf>
    <xf numFmtId="171" fontId="7" fillId="0" borderId="8" xfId="22" applyNumberFormat="1" applyFont="1" applyFill="1" applyBorder="1" applyAlignment="1">
      <alignment horizontal="right"/>
    </xf>
    <xf numFmtId="171" fontId="7" fillId="0" borderId="92" xfId="22" applyNumberFormat="1" applyFont="1" applyFill="1" applyBorder="1" applyAlignment="1">
      <alignment horizontal="right"/>
    </xf>
    <xf numFmtId="171" fontId="7" fillId="0" borderId="93" xfId="22" applyNumberFormat="1" applyFont="1" applyFill="1" applyBorder="1" applyAlignment="1">
      <alignment horizontal="right"/>
    </xf>
    <xf numFmtId="171" fontId="7" fillId="0" borderId="10" xfId="22" applyNumberFormat="1" applyFont="1" applyFill="1" applyBorder="1" applyAlignment="1">
      <alignment horizontal="right"/>
    </xf>
    <xf numFmtId="171" fontId="7" fillId="0" borderId="94" xfId="22" applyNumberFormat="1" applyFont="1" applyFill="1" applyBorder="1" applyAlignment="1">
      <alignment horizontal="right"/>
    </xf>
    <xf numFmtId="38" fontId="7" fillId="0" borderId="83" xfId="22" applyFont="1" applyFill="1" applyBorder="1" applyAlignment="1">
      <alignment horizontal="right"/>
    </xf>
    <xf numFmtId="38" fontId="7" fillId="0" borderId="20" xfId="22" applyFont="1" applyFill="1" applyBorder="1" applyAlignment="1">
      <alignment horizontal="right"/>
    </xf>
    <xf numFmtId="38" fontId="7" fillId="0" borderId="84" xfId="22" applyFont="1" applyFill="1" applyBorder="1" applyAlignment="1">
      <alignment horizontal="right"/>
    </xf>
    <xf numFmtId="38" fontId="7" fillId="0" borderId="85" xfId="22" applyFont="1" applyFill="1" applyBorder="1" applyAlignment="1">
      <alignment horizontal="right"/>
    </xf>
    <xf numFmtId="38" fontId="7" fillId="0" borderId="48" xfId="22" applyFont="1" applyFill="1" applyBorder="1" applyAlignment="1">
      <alignment horizontal="right"/>
    </xf>
    <xf numFmtId="38" fontId="7" fillId="0" borderId="89" xfId="22" applyFont="1" applyFill="1" applyBorder="1" applyAlignment="1">
      <alignment horizontal="right"/>
    </xf>
    <xf numFmtId="38" fontId="7" fillId="0" borderId="90" xfId="22" applyFont="1" applyFill="1" applyBorder="1" applyAlignment="1">
      <alignment horizontal="right"/>
    </xf>
    <xf numFmtId="171" fontId="7" fillId="0" borderId="86" xfId="22" applyNumberFormat="1" applyFont="1" applyFill="1" applyBorder="1" applyAlignment="1">
      <alignment horizontal="right"/>
    </xf>
    <xf numFmtId="171" fontId="7" fillId="0" borderId="87" xfId="22" applyNumberFormat="1" applyFont="1" applyFill="1" applyBorder="1" applyAlignment="1">
      <alignment horizontal="right"/>
    </xf>
    <xf numFmtId="171" fontId="7" fillId="0" borderId="88" xfId="22" applyNumberFormat="1" applyFont="1" applyFill="1" applyBorder="1" applyAlignment="1">
      <alignment horizontal="right"/>
    </xf>
    <xf numFmtId="171" fontId="7" fillId="0" borderId="47" xfId="22" applyNumberFormat="1" applyFont="1" applyFill="1" applyBorder="1" applyAlignment="1">
      <alignment horizontal="right"/>
    </xf>
    <xf numFmtId="171" fontId="7" fillId="0" borderId="78" xfId="22" applyNumberFormat="1" applyFont="1" applyFill="1" applyBorder="1" applyAlignment="1">
      <alignment horizontal="right"/>
    </xf>
    <xf numFmtId="171" fontId="7" fillId="0" borderId="79" xfId="22" applyNumberFormat="1" applyFont="1" applyFill="1" applyBorder="1" applyAlignment="1">
      <alignment horizontal="right"/>
    </xf>
    <xf numFmtId="172" fontId="7" fillId="0" borderId="32" xfId="22" applyNumberFormat="1" applyFont="1" applyFill="1" applyBorder="1" applyAlignment="1">
      <alignment horizontal="left"/>
    </xf>
    <xf numFmtId="171" fontId="7" fillId="0" borderId="48" xfId="22" applyNumberFormat="1" applyFont="1" applyFill="1" applyBorder="1" applyAlignment="1">
      <alignment horizontal="right"/>
    </xf>
    <xf numFmtId="171" fontId="7" fillId="0" borderId="89" xfId="22" applyNumberFormat="1" applyFont="1" applyFill="1" applyBorder="1" applyAlignment="1">
      <alignment horizontal="right"/>
    </xf>
    <xf numFmtId="171" fontId="7" fillId="0" borderId="90" xfId="22" applyNumberFormat="1" applyFont="1" applyFill="1" applyBorder="1" applyAlignment="1">
      <alignment horizontal="right"/>
    </xf>
    <xf numFmtId="38" fontId="7" fillId="0" borderId="15" xfId="22" applyFont="1" applyFill="1" applyBorder="1" applyAlignment="1">
      <alignment horizontal="right"/>
    </xf>
    <xf numFmtId="38" fontId="7" fillId="0" borderId="64" xfId="22" applyFont="1" applyFill="1" applyBorder="1" applyAlignment="1">
      <alignment horizontal="right"/>
    </xf>
    <xf numFmtId="171" fontId="7" fillId="0" borderId="6" xfId="22" applyNumberFormat="1" applyFont="1" applyFill="1" applyBorder="1" applyAlignment="1">
      <alignment horizontal="right"/>
    </xf>
    <xf numFmtId="171" fontId="7" fillId="0" borderId="5" xfId="22" applyNumberFormat="1" applyFont="1" applyFill="1" applyBorder="1" applyAlignment="1">
      <alignment horizontal="right"/>
    </xf>
    <xf numFmtId="0" fontId="7" fillId="0" borderId="95" xfId="29" applyFont="1" applyBorder="1" applyAlignment="1">
      <alignment horizontal="center"/>
    </xf>
    <xf numFmtId="172" fontId="7" fillId="0" borderId="96" xfId="22" applyNumberFormat="1" applyFont="1" applyFill="1" applyBorder="1" applyAlignment="1">
      <alignment horizontal="right"/>
    </xf>
    <xf numFmtId="172" fontId="7" fillId="0" borderId="97" xfId="22" applyNumberFormat="1" applyFont="1" applyFill="1" applyBorder="1" applyAlignment="1">
      <alignment horizontal="right"/>
    </xf>
    <xf numFmtId="3" fontId="7" fillId="4" borderId="98" xfId="22" applyNumberFormat="1" applyFont="1" applyFill="1" applyBorder="1" applyAlignment="1">
      <alignment horizontal="right"/>
    </xf>
    <xf numFmtId="173" fontId="7" fillId="4" borderId="98" xfId="22" applyNumberFormat="1" applyFont="1" applyFill="1" applyBorder="1" applyAlignment="1">
      <alignment horizontal="right"/>
    </xf>
    <xf numFmtId="172" fontId="7" fillId="0" borderId="99" xfId="22" applyNumberFormat="1" applyFont="1" applyFill="1" applyBorder="1" applyAlignment="1">
      <alignment horizontal="right"/>
    </xf>
    <xf numFmtId="172" fontId="7" fillId="0" borderId="100" xfId="22" applyNumberFormat="1" applyFont="1" applyFill="1" applyBorder="1" applyAlignment="1">
      <alignment horizontal="right"/>
    </xf>
    <xf numFmtId="0" fontId="7" fillId="0" borderId="46" xfId="29" applyFont="1" applyBorder="1"/>
    <xf numFmtId="172" fontId="7" fillId="0" borderId="46" xfId="29" applyNumberFormat="1" applyFont="1" applyBorder="1"/>
    <xf numFmtId="172" fontId="7" fillId="0" borderId="6" xfId="29" applyNumberFormat="1" applyFont="1" applyBorder="1"/>
    <xf numFmtId="172" fontId="7" fillId="0" borderId="12" xfId="29" applyNumberFormat="1" applyFont="1" applyBorder="1"/>
    <xf numFmtId="169" fontId="7" fillId="4" borderId="97" xfId="22" applyNumberFormat="1" applyFont="1" applyFill="1" applyBorder="1" applyAlignment="1">
      <alignment horizontal="right"/>
    </xf>
    <xf numFmtId="174" fontId="7" fillId="4" borderId="97" xfId="22" applyNumberFormat="1" applyFont="1" applyFill="1" applyBorder="1" applyAlignment="1">
      <alignment horizontal="right"/>
    </xf>
    <xf numFmtId="172" fontId="7" fillId="0" borderId="101" xfId="22" applyNumberFormat="1" applyFont="1" applyFill="1" applyBorder="1" applyAlignment="1">
      <alignment horizontal="right"/>
    </xf>
    <xf numFmtId="172" fontId="7" fillId="0" borderId="20" xfId="29" applyNumberFormat="1" applyFont="1" applyBorder="1"/>
    <xf numFmtId="172" fontId="7" fillId="0" borderId="15" xfId="29" applyNumberFormat="1" applyFont="1" applyBorder="1"/>
    <xf numFmtId="0" fontId="7" fillId="0" borderId="46" xfId="29" applyFont="1" applyBorder="1" applyAlignment="1">
      <alignment horizontal="right"/>
    </xf>
    <xf numFmtId="0" fontId="7" fillId="0" borderId="12" xfId="29" applyFont="1" applyBorder="1" applyAlignment="1">
      <alignment horizontal="right"/>
    </xf>
    <xf numFmtId="2" fontId="7" fillId="0" borderId="97" xfId="22" applyNumberFormat="1" applyFont="1" applyFill="1" applyBorder="1" applyAlignment="1">
      <alignment horizontal="right"/>
    </xf>
    <xf numFmtId="0" fontId="7" fillId="0" borderId="6" xfId="29" applyFont="1" applyBorder="1" applyAlignment="1">
      <alignment horizontal="right"/>
    </xf>
    <xf numFmtId="0" fontId="7" fillId="0" borderId="20" xfId="29" applyFont="1" applyBorder="1" applyAlignment="1">
      <alignment horizontal="right"/>
    </xf>
    <xf numFmtId="0" fontId="7" fillId="0" borderId="15" xfId="29" applyFont="1" applyBorder="1" applyAlignment="1">
      <alignment horizontal="right"/>
    </xf>
    <xf numFmtId="173" fontId="7" fillId="0" borderId="79" xfId="22" applyNumberFormat="1" applyFont="1" applyFill="1" applyBorder="1" applyAlignment="1">
      <alignment horizontal="right"/>
    </xf>
    <xf numFmtId="173" fontId="7" fillId="0" borderId="97" xfId="22" applyNumberFormat="1" applyFont="1" applyFill="1" applyBorder="1" applyAlignment="1">
      <alignment horizontal="right"/>
    </xf>
    <xf numFmtId="38" fontId="7" fillId="0" borderId="100" xfId="22" applyFont="1" applyFill="1" applyBorder="1" applyAlignment="1">
      <alignment horizontal="right"/>
    </xf>
    <xf numFmtId="38" fontId="7" fillId="0" borderId="97" xfId="22" applyFont="1" applyFill="1" applyBorder="1" applyAlignment="1">
      <alignment horizontal="right"/>
    </xf>
    <xf numFmtId="171" fontId="7" fillId="0" borderId="102" xfId="22" applyNumberFormat="1" applyFont="1" applyFill="1" applyBorder="1" applyAlignment="1">
      <alignment horizontal="right"/>
    </xf>
    <xf numFmtId="38" fontId="7" fillId="0" borderId="99" xfId="22" applyFont="1" applyFill="1" applyBorder="1" applyAlignment="1">
      <alignment horizontal="right"/>
    </xf>
    <xf numFmtId="3" fontId="7" fillId="0" borderId="9" xfId="29" applyNumberFormat="1" applyFont="1" applyBorder="1"/>
    <xf numFmtId="3" fontId="7" fillId="0" borderId="12" xfId="29" applyNumberFormat="1" applyFont="1" applyBorder="1"/>
    <xf numFmtId="38" fontId="7" fillId="0" borderId="101" xfId="22" applyFont="1" applyFill="1" applyBorder="1" applyAlignment="1">
      <alignment horizontal="right"/>
    </xf>
    <xf numFmtId="3" fontId="7" fillId="0" borderId="20" xfId="29" applyNumberFormat="1" applyFont="1" applyBorder="1"/>
    <xf numFmtId="171" fontId="7" fillId="0" borderId="100" xfId="22" applyNumberFormat="1" applyFont="1" applyFill="1" applyBorder="1" applyAlignment="1">
      <alignment horizontal="right"/>
    </xf>
    <xf numFmtId="171" fontId="7" fillId="0" borderId="97" xfId="22" applyNumberFormat="1" applyFont="1" applyFill="1" applyBorder="1" applyAlignment="1">
      <alignment horizontal="right"/>
    </xf>
    <xf numFmtId="171" fontId="7" fillId="0" borderId="101" xfId="22" applyNumberFormat="1" applyFont="1" applyFill="1" applyBorder="1" applyAlignment="1">
      <alignment horizontal="right"/>
    </xf>
    <xf numFmtId="172" fontId="7" fillId="0" borderId="20" xfId="29" applyNumberFormat="1" applyFont="1" applyBorder="1" applyAlignment="1">
      <alignment horizontal="right"/>
    </xf>
    <xf numFmtId="172" fontId="7" fillId="0" borderId="103" xfId="22" applyNumberFormat="1" applyFont="1" applyFill="1" applyBorder="1" applyAlignment="1">
      <alignment horizontal="right"/>
    </xf>
    <xf numFmtId="172" fontId="7" fillId="0" borderId="46" xfId="22" applyNumberFormat="1" applyFont="1" applyFill="1" applyBorder="1" applyAlignment="1">
      <alignment horizontal="right"/>
    </xf>
    <xf numFmtId="172" fontId="14" fillId="0" borderId="9" xfId="29" applyNumberFormat="1" applyFont="1" applyBorder="1"/>
    <xf numFmtId="172" fontId="14" fillId="0" borderId="12" xfId="29" applyNumberFormat="1" applyFont="1" applyBorder="1"/>
    <xf numFmtId="172" fontId="14" fillId="0" borderId="20" xfId="29" applyNumberFormat="1" applyFont="1" applyBorder="1"/>
    <xf numFmtId="172" fontId="14" fillId="0" borderId="12" xfId="29" applyNumberFormat="1" applyFont="1" applyBorder="1" applyAlignment="1">
      <alignment horizontal="right"/>
    </xf>
    <xf numFmtId="172" fontId="14" fillId="0" borderId="20" xfId="29" applyNumberFormat="1" applyFont="1" applyBorder="1" applyAlignment="1">
      <alignment horizontal="right"/>
    </xf>
    <xf numFmtId="166" fontId="7" fillId="0" borderId="20" xfId="22" applyNumberFormat="1" applyFont="1" applyFill="1" applyBorder="1" applyAlignment="1">
      <alignment horizontal="right"/>
    </xf>
    <xf numFmtId="166" fontId="14" fillId="0" borderId="9" xfId="29" applyNumberFormat="1" applyFont="1" applyBorder="1"/>
    <xf numFmtId="166" fontId="14" fillId="0" borderId="12" xfId="29" applyNumberFormat="1" applyFont="1" applyBorder="1"/>
    <xf numFmtId="166" fontId="14" fillId="0" borderId="20" xfId="29" applyNumberFormat="1" applyFont="1" applyBorder="1"/>
    <xf numFmtId="0" fontId="22" fillId="0" borderId="12" xfId="29" applyFont="1" applyBorder="1"/>
    <xf numFmtId="38" fontId="7" fillId="0" borderId="5" xfId="22" applyFont="1" applyBorder="1" applyAlignment="1">
      <alignment horizontal="center"/>
    </xf>
    <xf numFmtId="38" fontId="7" fillId="0" borderId="14" xfId="22" applyFont="1" applyBorder="1" applyAlignment="1">
      <alignment horizontal="center"/>
    </xf>
    <xf numFmtId="38" fontId="7" fillId="0" borderId="61" xfId="22" applyFont="1" applyBorder="1" applyAlignment="1">
      <alignment horizontal="center"/>
    </xf>
    <xf numFmtId="0" fontId="7" fillId="0" borderId="26" xfId="29" applyFont="1" applyBorder="1"/>
    <xf numFmtId="38" fontId="7" fillId="0" borderId="104" xfId="22" applyFont="1" applyBorder="1" applyAlignment="1">
      <alignment horizontal="center"/>
    </xf>
    <xf numFmtId="38" fontId="7" fillId="0" borderId="28" xfId="22" applyFont="1" applyBorder="1" applyAlignment="1">
      <alignment horizontal="center"/>
    </xf>
    <xf numFmtId="38" fontId="2" fillId="0" borderId="0" xfId="22" applyFont="1"/>
    <xf numFmtId="0" fontId="24" fillId="0" borderId="0" xfId="29" applyFont="1"/>
    <xf numFmtId="38" fontId="23" fillId="0" borderId="0" xfId="22" applyFont="1"/>
    <xf numFmtId="0" fontId="23" fillId="0" borderId="0" xfId="29" applyFont="1" applyAlignment="1">
      <alignment horizontal="left"/>
    </xf>
    <xf numFmtId="38" fontId="23" fillId="0" borderId="0" xfId="22" applyFont="1" applyFill="1"/>
    <xf numFmtId="0" fontId="25" fillId="0" borderId="0" xfId="29" applyFont="1"/>
    <xf numFmtId="38" fontId="7" fillId="0" borderId="33" xfId="22" applyFont="1" applyBorder="1" applyAlignment="1">
      <alignment horizontal="right"/>
    </xf>
    <xf numFmtId="38" fontId="7" fillId="0" borderId="71" xfId="22" applyFont="1" applyBorder="1" applyAlignment="1">
      <alignment horizontal="right"/>
    </xf>
    <xf numFmtId="38" fontId="7" fillId="0" borderId="32" xfId="22" applyFont="1" applyBorder="1" applyAlignment="1">
      <alignment horizontal="center"/>
    </xf>
    <xf numFmtId="38" fontId="7" fillId="0" borderId="67" xfId="22" applyFont="1" applyBorder="1" applyAlignment="1">
      <alignment horizontal="center"/>
    </xf>
    <xf numFmtId="172" fontId="7" fillId="0" borderId="67" xfId="22" applyNumberFormat="1" applyFont="1" applyFill="1" applyBorder="1" applyAlignment="1">
      <alignment horizontal="center"/>
    </xf>
    <xf numFmtId="172" fontId="7" fillId="0" borderId="14" xfId="22" applyNumberFormat="1" applyFont="1" applyFill="1" applyBorder="1" applyAlignment="1">
      <alignment horizontal="center"/>
    </xf>
    <xf numFmtId="38" fontId="7" fillId="0" borderId="28" xfId="22" applyFont="1" applyFill="1" applyBorder="1" applyAlignment="1">
      <alignment horizontal="center"/>
    </xf>
    <xf numFmtId="38" fontId="7" fillId="0" borderId="27" xfId="22" applyFont="1" applyFill="1" applyBorder="1" applyAlignment="1">
      <alignment horizontal="center"/>
    </xf>
    <xf numFmtId="38" fontId="7" fillId="0" borderId="37" xfId="22" applyFont="1" applyFill="1" applyBorder="1" applyAlignment="1">
      <alignment horizontal="center"/>
    </xf>
    <xf numFmtId="38" fontId="7" fillId="0" borderId="105" xfId="22" applyFont="1" applyFill="1" applyBorder="1" applyAlignment="1">
      <alignment horizontal="center"/>
    </xf>
    <xf numFmtId="38" fontId="7" fillId="0" borderId="78" xfId="22" applyFont="1" applyBorder="1" applyAlignment="1">
      <alignment horizontal="right"/>
    </xf>
    <xf numFmtId="38" fontId="7" fillId="0" borderId="13" xfId="22" applyFont="1" applyBorder="1" applyAlignment="1">
      <alignment horizontal="right"/>
    </xf>
    <xf numFmtId="38" fontId="7" fillId="0" borderId="37" xfId="22" applyFont="1" applyFill="1" applyBorder="1" applyAlignment="1">
      <alignment horizontal="right"/>
    </xf>
    <xf numFmtId="38" fontId="7" fillId="0" borderId="106" xfId="22" applyFont="1" applyFill="1" applyBorder="1" applyAlignment="1">
      <alignment horizontal="right"/>
    </xf>
    <xf numFmtId="0" fontId="7" fillId="0" borderId="104" xfId="29" applyFont="1" applyBorder="1"/>
    <xf numFmtId="38" fontId="7" fillId="0" borderId="107" xfId="22" applyFont="1" applyFill="1" applyBorder="1" applyAlignment="1">
      <alignment horizontal="right"/>
    </xf>
    <xf numFmtId="38" fontId="7" fillId="0" borderId="27" xfId="22" applyFont="1" applyFill="1" applyBorder="1" applyAlignment="1">
      <alignment horizontal="right"/>
    </xf>
    <xf numFmtId="38" fontId="7" fillId="0" borderId="108" xfId="22" applyFont="1" applyFill="1" applyBorder="1" applyAlignment="1">
      <alignment horizontal="right"/>
    </xf>
    <xf numFmtId="0" fontId="26" fillId="0" borderId="0" xfId="29" applyFont="1"/>
    <xf numFmtId="0" fontId="7" fillId="0" borderId="9" xfId="29" applyFont="1" applyBorder="1" applyAlignment="1">
      <alignment horizontal="right"/>
    </xf>
    <xf numFmtId="38" fontId="7" fillId="0" borderId="109" xfId="22" applyFont="1" applyFill="1" applyBorder="1" applyAlignment="1">
      <alignment horizontal="right"/>
    </xf>
    <xf numFmtId="0" fontId="7" fillId="0" borderId="51" xfId="29" applyFont="1" applyBorder="1" applyAlignment="1">
      <alignment horizontal="right"/>
    </xf>
    <xf numFmtId="0" fontId="7" fillId="0" borderId="26" xfId="29" applyFont="1" applyBorder="1" applyAlignment="1">
      <alignment horizontal="right"/>
    </xf>
    <xf numFmtId="172" fontId="7" fillId="0" borderId="12" xfId="29" applyNumberFormat="1" applyFont="1" applyBorder="1" applyAlignment="1">
      <alignment horizontal="right"/>
    </xf>
    <xf numFmtId="0" fontId="27" fillId="0" borderId="0" xfId="29" applyFont="1" applyAlignment="1">
      <alignment horizontal="left"/>
    </xf>
    <xf numFmtId="0" fontId="13" fillId="0" borderId="0" xfId="29" applyFont="1" applyAlignment="1">
      <alignment horizontal="center"/>
    </xf>
    <xf numFmtId="0" fontId="13" fillId="0" borderId="0" xfId="29" applyFont="1"/>
    <xf numFmtId="0" fontId="28" fillId="0" borderId="0" xfId="29" applyFont="1"/>
    <xf numFmtId="0" fontId="3" fillId="0" borderId="0" xfId="29" applyFont="1" applyAlignment="1">
      <alignment horizontal="left"/>
    </xf>
    <xf numFmtId="0" fontId="29" fillId="0" borderId="0" xfId="29" applyFont="1" applyAlignment="1">
      <alignment horizontal="left"/>
    </xf>
    <xf numFmtId="0" fontId="2" fillId="0" borderId="0" xfId="29" applyFont="1" applyAlignment="1">
      <alignment horizontal="left"/>
    </xf>
    <xf numFmtId="0" fontId="4" fillId="0" borderId="0" xfId="29" applyFont="1" applyAlignment="1">
      <alignment horizontal="left"/>
    </xf>
    <xf numFmtId="0" fontId="30" fillId="0" borderId="110" xfId="0" applyFont="1" applyBorder="1" applyAlignment="1">
      <alignment horizontal="center" vertical="center"/>
    </xf>
    <xf numFmtId="0" fontId="10" fillId="0" borderId="111" xfId="0" applyFont="1" applyBorder="1"/>
    <xf numFmtId="0" fontId="27" fillId="0" borderId="111" xfId="0" applyFont="1" applyBorder="1"/>
    <xf numFmtId="0" fontId="5" fillId="0" borderId="53" xfId="29" applyFont="1" applyBorder="1" applyAlignment="1">
      <alignment horizontal="center"/>
    </xf>
    <xf numFmtId="0" fontId="5" fillId="0" borderId="53" xfId="29" applyFont="1" applyBorder="1" applyAlignment="1">
      <alignment horizontal="right"/>
    </xf>
    <xf numFmtId="0" fontId="5" fillId="0" borderId="53" xfId="29" applyFont="1" applyBorder="1"/>
    <xf numFmtId="0" fontId="7" fillId="0" borderId="11" xfId="29" applyFont="1" applyBorder="1" applyAlignment="1">
      <alignment horizontal="center"/>
    </xf>
    <xf numFmtId="9" fontId="7" fillId="0" borderId="11" xfId="0" applyNumberFormat="1" applyFont="1" applyBorder="1"/>
    <xf numFmtId="9" fontId="7" fillId="0" borderId="11" xfId="29" applyNumberFormat="1" applyFont="1" applyBorder="1"/>
    <xf numFmtId="0" fontId="7" fillId="0" borderId="112" xfId="29" applyFont="1" applyBorder="1" applyAlignment="1">
      <alignment horizontal="center"/>
    </xf>
    <xf numFmtId="9" fontId="7" fillId="0" borderId="112" xfId="0" applyNumberFormat="1" applyFont="1" applyBorder="1"/>
    <xf numFmtId="9" fontId="7" fillId="0" borderId="112" xfId="29" applyNumberFormat="1" applyFont="1" applyBorder="1"/>
    <xf numFmtId="9" fontId="7" fillId="0" borderId="112" xfId="67" applyFont="1" applyFill="1" applyBorder="1"/>
    <xf numFmtId="0" fontId="7" fillId="0" borderId="17" xfId="29" applyFont="1" applyBorder="1" applyAlignment="1">
      <alignment horizontal="center"/>
    </xf>
    <xf numFmtId="9" fontId="7" fillId="0" borderId="17" xfId="67" applyFont="1" applyFill="1" applyBorder="1"/>
    <xf numFmtId="9" fontId="7" fillId="0" borderId="17" xfId="29" applyNumberFormat="1" applyFont="1" applyBorder="1"/>
    <xf numFmtId="0" fontId="2" fillId="0" borderId="0" xfId="29" applyFont="1" applyAlignment="1">
      <alignment horizontal="center"/>
    </xf>
    <xf numFmtId="0" fontId="31" fillId="0" borderId="0" xfId="29" applyFont="1" applyAlignment="1">
      <alignment horizontal="center"/>
    </xf>
    <xf numFmtId="0" fontId="32" fillId="0" borderId="0" xfId="29" applyFont="1"/>
    <xf numFmtId="9" fontId="7" fillId="0" borderId="11" xfId="67" applyFont="1" applyFill="1" applyBorder="1"/>
    <xf numFmtId="9" fontId="7" fillId="0" borderId="11" xfId="0" applyNumberFormat="1" applyFont="1" applyBorder="1" applyAlignment="1">
      <alignment horizontal="right"/>
    </xf>
    <xf numFmtId="9" fontId="7" fillId="0" borderId="11" xfId="29" applyNumberFormat="1" applyFont="1" applyBorder="1" applyAlignment="1">
      <alignment horizontal="right"/>
    </xf>
    <xf numFmtId="9" fontId="7" fillId="0" borderId="112" xfId="0" applyNumberFormat="1" applyFont="1" applyBorder="1" applyAlignment="1">
      <alignment horizontal="right"/>
    </xf>
    <xf numFmtId="9" fontId="7" fillId="0" borderId="112" xfId="29" applyNumberFormat="1" applyFont="1" applyBorder="1" applyAlignment="1">
      <alignment horizontal="right"/>
    </xf>
    <xf numFmtId="9" fontId="7" fillId="0" borderId="17" xfId="0" applyNumberFormat="1" applyFont="1" applyBorder="1" applyAlignment="1">
      <alignment horizontal="right"/>
    </xf>
    <xf numFmtId="9" fontId="7" fillId="0" borderId="17" xfId="29" applyNumberFormat="1" applyFont="1" applyBorder="1" applyAlignment="1">
      <alignment horizontal="right"/>
    </xf>
    <xf numFmtId="9" fontId="2" fillId="0" borderId="0" xfId="29" applyNumberFormat="1" applyFont="1"/>
    <xf numFmtId="9" fontId="7" fillId="0" borderId="11" xfId="32" applyNumberFormat="1" applyFont="1" applyBorder="1"/>
    <xf numFmtId="9" fontId="7" fillId="0" borderId="112" xfId="32" applyNumberFormat="1" applyFont="1" applyBorder="1"/>
    <xf numFmtId="9" fontId="2" fillId="0" borderId="19" xfId="28" applyNumberFormat="1" applyFont="1" applyBorder="1"/>
    <xf numFmtId="9" fontId="2" fillId="0" borderId="14" xfId="28" applyNumberFormat="1" applyFont="1" applyBorder="1"/>
    <xf numFmtId="9" fontId="2" fillId="0" borderId="17" xfId="67" applyFont="1" applyFill="1" applyBorder="1"/>
    <xf numFmtId="9" fontId="2" fillId="0" borderId="19" xfId="0" applyNumberFormat="1" applyFont="1" applyBorder="1"/>
    <xf numFmtId="9" fontId="2" fillId="0" borderId="14" xfId="0" applyNumberFormat="1" applyFont="1" applyBorder="1"/>
    <xf numFmtId="9" fontId="13" fillId="0" borderId="0" xfId="29" applyNumberFormat="1" applyFont="1"/>
    <xf numFmtId="0" fontId="7" fillId="2" borderId="11" xfId="29" applyFont="1" applyFill="1" applyBorder="1"/>
    <xf numFmtId="0" fontId="7" fillId="2" borderId="112" xfId="29" applyFont="1" applyFill="1" applyBorder="1"/>
    <xf numFmtId="0" fontId="7" fillId="2" borderId="17" xfId="29" applyFont="1" applyFill="1" applyBorder="1"/>
    <xf numFmtId="9" fontId="7" fillId="0" borderId="11" xfId="69" applyFont="1" applyFill="1" applyBorder="1"/>
    <xf numFmtId="9" fontId="7" fillId="0" borderId="112" xfId="69" applyFont="1" applyFill="1" applyBorder="1"/>
    <xf numFmtId="9" fontId="7" fillId="0" borderId="17" xfId="69" applyFont="1" applyFill="1" applyBorder="1"/>
    <xf numFmtId="0" fontId="33" fillId="0" borderId="0" xfId="29" applyFont="1" applyAlignment="1">
      <alignment horizontal="left"/>
    </xf>
    <xf numFmtId="9" fontId="7" fillId="0" borderId="17" xfId="0" applyNumberFormat="1" applyFont="1" applyBorder="1"/>
    <xf numFmtId="0" fontId="34" fillId="0" borderId="0" xfId="62" applyFont="1"/>
    <xf numFmtId="0" fontId="35" fillId="0" borderId="0" xfId="62" applyFont="1"/>
    <xf numFmtId="0" fontId="36" fillId="0" borderId="0" xfId="62"/>
    <xf numFmtId="0" fontId="37" fillId="0" borderId="0" xfId="62" applyFont="1"/>
    <xf numFmtId="0" fontId="38" fillId="0" borderId="0" xfId="62" applyFont="1"/>
    <xf numFmtId="0" fontId="39" fillId="0" borderId="55" xfId="62" applyFont="1" applyBorder="1" applyAlignment="1">
      <alignment horizontal="left"/>
    </xf>
    <xf numFmtId="0" fontId="39" fillId="0" borderId="53" xfId="62" applyFont="1" applyBorder="1" applyAlignment="1">
      <alignment horizontal="center"/>
    </xf>
    <xf numFmtId="0" fontId="36" fillId="0" borderId="31" xfId="62" applyBorder="1"/>
    <xf numFmtId="0" fontId="36" fillId="0" borderId="11" xfId="62" applyBorder="1" applyAlignment="1">
      <alignment horizontal="center"/>
    </xf>
    <xf numFmtId="9" fontId="36" fillId="0" borderId="31" xfId="62" applyNumberFormat="1" applyBorder="1"/>
    <xf numFmtId="167" fontId="36" fillId="0" borderId="57" xfId="62" applyNumberFormat="1" applyBorder="1"/>
    <xf numFmtId="0" fontId="36" fillId="0" borderId="30" xfId="62" applyBorder="1"/>
    <xf numFmtId="0" fontId="36" fillId="0" borderId="7" xfId="62" applyBorder="1" applyAlignment="1">
      <alignment horizontal="center"/>
    </xf>
    <xf numFmtId="167" fontId="36" fillId="0" borderId="113" xfId="62" applyNumberFormat="1" applyBorder="1"/>
    <xf numFmtId="9" fontId="36" fillId="0" borderId="10" xfId="62" applyNumberFormat="1" applyBorder="1"/>
    <xf numFmtId="0" fontId="34" fillId="0" borderId="30" xfId="62" applyFont="1" applyBorder="1"/>
    <xf numFmtId="167" fontId="34" fillId="0" borderId="113" xfId="62" applyNumberFormat="1" applyFont="1" applyBorder="1"/>
    <xf numFmtId="9" fontId="36" fillId="0" borderId="0" xfId="62" applyNumberFormat="1"/>
    <xf numFmtId="9" fontId="34" fillId="0" borderId="30" xfId="62" applyNumberFormat="1" applyFont="1" applyBorder="1"/>
    <xf numFmtId="167" fontId="0" fillId="0" borderId="57" xfId="41" applyNumberFormat="1" applyFont="1" applyBorder="1"/>
    <xf numFmtId="9" fontId="34" fillId="0" borderId="31" xfId="62" applyNumberFormat="1" applyFont="1" applyBorder="1"/>
    <xf numFmtId="167" fontId="34" fillId="0" borderId="57" xfId="62" applyNumberFormat="1" applyFont="1" applyBorder="1"/>
    <xf numFmtId="167" fontId="0" fillId="0" borderId="113" xfId="41" applyNumberFormat="1" applyFont="1" applyBorder="1"/>
    <xf numFmtId="167" fontId="34" fillId="0" borderId="31" xfId="62" applyNumberFormat="1" applyFont="1" applyBorder="1"/>
    <xf numFmtId="0" fontId="40" fillId="0" borderId="0" xfId="62" applyFont="1"/>
    <xf numFmtId="167" fontId="34" fillId="0" borderId="30" xfId="62" applyNumberFormat="1" applyFont="1" applyBorder="1"/>
    <xf numFmtId="167" fontId="34" fillId="0" borderId="33" xfId="62" applyNumberFormat="1" applyFont="1" applyBorder="1"/>
    <xf numFmtId="167" fontId="34" fillId="0" borderId="56" xfId="62" applyNumberFormat="1" applyFont="1" applyBorder="1"/>
    <xf numFmtId="0" fontId="36" fillId="0" borderId="33" xfId="62" applyBorder="1"/>
    <xf numFmtId="0" fontId="36" fillId="0" borderId="17" xfId="62" applyBorder="1" applyAlignment="1">
      <alignment horizontal="center"/>
    </xf>
    <xf numFmtId="167" fontId="36" fillId="0" borderId="56" xfId="62" applyNumberFormat="1" applyBorder="1"/>
    <xf numFmtId="9" fontId="36" fillId="0" borderId="16" xfId="62" applyNumberFormat="1" applyBorder="1"/>
    <xf numFmtId="167" fontId="0" fillId="0" borderId="56" xfId="41" applyNumberFormat="1" applyFont="1" applyBorder="1"/>
    <xf numFmtId="0" fontId="36" fillId="0" borderId="16" xfId="62" applyBorder="1"/>
    <xf numFmtId="0" fontId="34" fillId="0" borderId="33" xfId="62" applyFont="1" applyBorder="1"/>
    <xf numFmtId="0" fontId="41" fillId="0" borderId="31" xfId="62" applyFont="1" applyBorder="1"/>
    <xf numFmtId="0" fontId="42" fillId="0" borderId="10" xfId="62" applyFont="1" applyBorder="1"/>
    <xf numFmtId="0" fontId="43" fillId="0" borderId="30" xfId="62" applyFont="1" applyBorder="1"/>
    <xf numFmtId="0" fontId="42" fillId="0" borderId="0" xfId="62" applyFont="1"/>
    <xf numFmtId="175" fontId="42" fillId="0" borderId="0" xfId="62" applyNumberFormat="1" applyFont="1"/>
    <xf numFmtId="0" fontId="44" fillId="0" borderId="10" xfId="62" applyFont="1" applyBorder="1"/>
    <xf numFmtId="0" fontId="44" fillId="0" borderId="57" xfId="62" applyFont="1" applyBorder="1"/>
    <xf numFmtId="0" fontId="44" fillId="0" borderId="0" xfId="62" applyFont="1"/>
    <xf numFmtId="0" fontId="44" fillId="0" borderId="113" xfId="62" applyFont="1" applyBorder="1"/>
    <xf numFmtId="0" fontId="45" fillId="0" borderId="0" xfId="62" applyFont="1"/>
    <xf numFmtId="0" fontId="45" fillId="0" borderId="30" xfId="62" applyFont="1" applyBorder="1"/>
    <xf numFmtId="0" fontId="45" fillId="0" borderId="33" xfId="62" applyFont="1" applyBorder="1"/>
    <xf numFmtId="0" fontId="45" fillId="0" borderId="16" xfId="62" applyFont="1" applyBorder="1"/>
    <xf numFmtId="0" fontId="43" fillId="0" borderId="0" xfId="62" applyFont="1"/>
    <xf numFmtId="0" fontId="34" fillId="0" borderId="113" xfId="62" applyFont="1" applyBorder="1"/>
    <xf numFmtId="0" fontId="42" fillId="0" borderId="113" xfId="62" applyFont="1" applyBorder="1"/>
    <xf numFmtId="0" fontId="46" fillId="0" borderId="0" xfId="62" applyFont="1"/>
    <xf numFmtId="0" fontId="45" fillId="0" borderId="113" xfId="62" applyFont="1" applyBorder="1"/>
    <xf numFmtId="0" fontId="45" fillId="0" borderId="56" xfId="62" applyFont="1" applyBorder="1"/>
    <xf numFmtId="0" fontId="35" fillId="0" borderId="113" xfId="62" applyFont="1" applyBorder="1"/>
    <xf numFmtId="0" fontId="47" fillId="0" borderId="0" xfId="0" applyFont="1"/>
    <xf numFmtId="0" fontId="48" fillId="0" borderId="0" xfId="0" applyFont="1"/>
    <xf numFmtId="0" fontId="0" fillId="0" borderId="11" xfId="0" applyBorder="1"/>
    <xf numFmtId="0" fontId="49" fillId="0" borderId="11" xfId="0" applyFont="1" applyBorder="1"/>
    <xf numFmtId="3" fontId="0" fillId="0" borderId="11" xfId="0" applyNumberFormat="1" applyBorder="1"/>
    <xf numFmtId="0" fontId="0" fillId="0" borderId="7" xfId="0" applyBorder="1"/>
    <xf numFmtId="0" fontId="0" fillId="0" borderId="114" xfId="0" applyBorder="1"/>
    <xf numFmtId="3" fontId="0" fillId="0" borderId="114" xfId="0" applyNumberFormat="1" applyBorder="1"/>
    <xf numFmtId="0" fontId="0" fillId="0" borderId="115" xfId="0" applyBorder="1"/>
    <xf numFmtId="3" fontId="0" fillId="0" borderId="115" xfId="0" applyNumberFormat="1" applyBorder="1"/>
    <xf numFmtId="0" fontId="0" fillId="0" borderId="17" xfId="0" applyBorder="1"/>
    <xf numFmtId="3" fontId="0" fillId="0" borderId="17" xfId="0" applyNumberFormat="1" applyBorder="1"/>
    <xf numFmtId="3" fontId="0" fillId="0" borderId="7" xfId="0" applyNumberFormat="1" applyBorder="1"/>
    <xf numFmtId="0" fontId="0" fillId="0" borderId="116" xfId="0" applyBorder="1"/>
    <xf numFmtId="3" fontId="0" fillId="0" borderId="116" xfId="0" applyNumberFormat="1" applyBorder="1"/>
    <xf numFmtId="1" fontId="0" fillId="0" borderId="0" xfId="0" applyNumberFormat="1"/>
    <xf numFmtId="9" fontId="0" fillId="0" borderId="11" xfId="2" applyFont="1" applyBorder="1"/>
    <xf numFmtId="9" fontId="0" fillId="0" borderId="114" xfId="2" applyFont="1" applyBorder="1"/>
    <xf numFmtId="9" fontId="0" fillId="0" borderId="115" xfId="2" applyFont="1" applyBorder="1"/>
    <xf numFmtId="0" fontId="13" fillId="0" borderId="11" xfId="0" applyFont="1" applyBorder="1"/>
    <xf numFmtId="3" fontId="13" fillId="0" borderId="7" xfId="0" applyNumberFormat="1" applyFont="1" applyBorder="1"/>
    <xf numFmtId="3" fontId="13" fillId="0" borderId="117" xfId="0" applyNumberFormat="1" applyFont="1" applyBorder="1"/>
    <xf numFmtId="3" fontId="13" fillId="0" borderId="118" xfId="0" applyNumberFormat="1" applyFont="1" applyBorder="1"/>
    <xf numFmtId="3" fontId="13" fillId="0" borderId="11" xfId="0" applyNumberFormat="1" applyFont="1" applyBorder="1"/>
    <xf numFmtId="0" fontId="13" fillId="0" borderId="53" xfId="0" applyFont="1" applyBorder="1"/>
    <xf numFmtId="0" fontId="0" fillId="0" borderId="53" xfId="0" applyBorder="1"/>
    <xf numFmtId="9" fontId="13" fillId="0" borderId="11" xfId="2" applyFont="1" applyBorder="1"/>
    <xf numFmtId="9" fontId="13" fillId="0" borderId="114" xfId="2" applyFont="1" applyBorder="1"/>
    <xf numFmtId="0" fontId="50" fillId="0" borderId="0" xfId="0" applyFont="1"/>
    <xf numFmtId="9" fontId="13" fillId="0" borderId="115" xfId="2" applyFont="1" applyBorder="1"/>
    <xf numFmtId="0" fontId="44" fillId="0" borderId="31" xfId="0" applyFont="1" applyBorder="1"/>
    <xf numFmtId="0" fontId="44" fillId="0" borderId="10" xfId="0" applyFont="1" applyBorder="1"/>
    <xf numFmtId="0" fontId="44" fillId="0" borderId="30" xfId="0" applyFont="1" applyBorder="1"/>
    <xf numFmtId="0" fontId="44" fillId="0" borderId="0" xfId="0" applyFont="1"/>
    <xf numFmtId="9" fontId="44" fillId="0" borderId="30" xfId="2" applyFont="1" applyFill="1" applyBorder="1"/>
    <xf numFmtId="9" fontId="44" fillId="0" borderId="0" xfId="2" applyFont="1" applyFill="1" applyBorder="1"/>
    <xf numFmtId="9" fontId="44" fillId="0" borderId="33" xfId="2" applyFont="1" applyFill="1" applyBorder="1"/>
    <xf numFmtId="9" fontId="44" fillId="0" borderId="16" xfId="2" applyFont="1" applyFill="1" applyBorder="1"/>
    <xf numFmtId="0" fontId="44" fillId="0" borderId="16" xfId="0" applyFont="1" applyBorder="1"/>
    <xf numFmtId="0" fontId="44" fillId="0" borderId="57" xfId="0" applyFont="1" applyBorder="1"/>
    <xf numFmtId="0" fontId="0" fillId="0" borderId="119" xfId="0" applyBorder="1"/>
    <xf numFmtId="9" fontId="0" fillId="0" borderId="17" xfId="2" applyFont="1" applyBorder="1"/>
    <xf numFmtId="9" fontId="13" fillId="0" borderId="17" xfId="2" applyFont="1" applyBorder="1"/>
    <xf numFmtId="0" fontId="51" fillId="0" borderId="0" xfId="0" applyFont="1"/>
    <xf numFmtId="0" fontId="2" fillId="0" borderId="2" xfId="29" applyFont="1" applyBorder="1" applyAlignment="1">
      <alignment horizontal="center"/>
    </xf>
    <xf numFmtId="38" fontId="2" fillId="0" borderId="19" xfId="22" applyFont="1" applyBorder="1"/>
    <xf numFmtId="38" fontId="2" fillId="0" borderId="19" xfId="22" applyFont="1" applyFill="1" applyBorder="1"/>
    <xf numFmtId="38" fontId="52" fillId="2" borderId="14" xfId="22" applyFont="1" applyFill="1" applyBorder="1"/>
    <xf numFmtId="38" fontId="52" fillId="2" borderId="25" xfId="22" applyFont="1" applyFill="1" applyBorder="1"/>
    <xf numFmtId="38" fontId="52" fillId="2" borderId="22" xfId="22" applyFont="1" applyFill="1" applyBorder="1"/>
    <xf numFmtId="38" fontId="2" fillId="0" borderId="120" xfId="22" applyFont="1" applyBorder="1"/>
    <xf numFmtId="38" fontId="2" fillId="0" borderId="120" xfId="22" applyFont="1" applyFill="1" applyBorder="1"/>
    <xf numFmtId="38" fontId="52" fillId="0" borderId="120" xfId="22" applyFont="1" applyBorder="1"/>
    <xf numFmtId="38" fontId="52" fillId="0" borderId="120" xfId="22" applyFont="1" applyFill="1" applyBorder="1"/>
    <xf numFmtId="38" fontId="52" fillId="0" borderId="17" xfId="22" applyFont="1" applyBorder="1"/>
    <xf numFmtId="38" fontId="52" fillId="0" borderId="17" xfId="22" applyFont="1" applyFill="1" applyBorder="1"/>
    <xf numFmtId="38" fontId="52" fillId="2" borderId="120" xfId="22" applyFont="1" applyFill="1" applyBorder="1"/>
    <xf numFmtId="38" fontId="52" fillId="2" borderId="17" xfId="22" applyFont="1" applyFill="1" applyBorder="1"/>
    <xf numFmtId="38" fontId="2" fillId="0" borderId="28" xfId="22" applyFont="1" applyBorder="1"/>
    <xf numFmtId="38" fontId="2" fillId="0" borderId="28" xfId="22" applyFont="1" applyFill="1" applyBorder="1"/>
    <xf numFmtId="0" fontId="2" fillId="0" borderId="121" xfId="29" applyFont="1" applyBorder="1"/>
    <xf numFmtId="0" fontId="2" fillId="0" borderId="122" xfId="29" applyFont="1" applyBorder="1"/>
    <xf numFmtId="0" fontId="2" fillId="0" borderId="66" xfId="29" applyFont="1" applyBorder="1"/>
    <xf numFmtId="0" fontId="2" fillId="0" borderId="19" xfId="29" applyFont="1" applyBorder="1"/>
    <xf numFmtId="38" fontId="2" fillId="0" borderId="19" xfId="29" applyNumberFormat="1" applyFont="1" applyBorder="1"/>
    <xf numFmtId="0" fontId="2" fillId="0" borderId="69" xfId="29" applyFont="1" applyBorder="1"/>
    <xf numFmtId="0" fontId="2" fillId="0" borderId="22" xfId="29" applyFont="1" applyBorder="1"/>
    <xf numFmtId="38" fontId="2" fillId="0" borderId="22" xfId="29" applyNumberFormat="1" applyFont="1" applyBorder="1"/>
    <xf numFmtId="0" fontId="2" fillId="0" borderId="70" xfId="29" applyFont="1" applyBorder="1"/>
    <xf numFmtId="0" fontId="2" fillId="0" borderId="11" xfId="29" applyFont="1" applyBorder="1"/>
    <xf numFmtId="0" fontId="2" fillId="0" borderId="105" xfId="29" applyFont="1" applyBorder="1"/>
    <xf numFmtId="0" fontId="2" fillId="0" borderId="123" xfId="29" applyFont="1" applyBorder="1"/>
    <xf numFmtId="38" fontId="2" fillId="0" borderId="28" xfId="29" applyNumberFormat="1" applyFont="1" applyBorder="1"/>
    <xf numFmtId="0" fontId="2" fillId="0" borderId="124" xfId="29" applyFont="1" applyBorder="1" applyAlignment="1">
      <alignment horizontal="center"/>
    </xf>
    <xf numFmtId="0" fontId="2" fillId="0" borderId="125" xfId="29" applyFont="1" applyBorder="1" applyAlignment="1">
      <alignment horizontal="center"/>
    </xf>
    <xf numFmtId="38" fontId="2" fillId="0" borderId="18" xfId="22" applyFont="1" applyFill="1" applyBorder="1"/>
    <xf numFmtId="38" fontId="2" fillId="0" borderId="34" xfId="22" applyFont="1" applyFill="1" applyBorder="1"/>
    <xf numFmtId="38" fontId="2" fillId="0" borderId="126" xfId="22" applyFont="1" applyFill="1" applyBorder="1"/>
    <xf numFmtId="38" fontId="2" fillId="0" borderId="127" xfId="22" applyFont="1" applyFill="1" applyBorder="1"/>
    <xf numFmtId="38" fontId="2" fillId="0" borderId="128" xfId="22" applyFont="1" applyFill="1" applyBorder="1"/>
    <xf numFmtId="38" fontId="2" fillId="0" borderId="129" xfId="22" applyFont="1" applyFill="1" applyBorder="1"/>
    <xf numFmtId="38" fontId="52" fillId="2" borderId="13" xfId="22" applyFont="1" applyFill="1" applyBorder="1"/>
    <xf numFmtId="3" fontId="52" fillId="2" borderId="32" xfId="29" applyNumberFormat="1" applyFont="1" applyFill="1" applyBorder="1"/>
    <xf numFmtId="38" fontId="52" fillId="2" borderId="128" xfId="22" applyFont="1" applyFill="1" applyBorder="1"/>
    <xf numFmtId="38" fontId="52" fillId="2" borderId="24" xfId="22" applyFont="1" applyFill="1" applyBorder="1"/>
    <xf numFmtId="3" fontId="52" fillId="2" borderId="36" xfId="29" applyNumberFormat="1" applyFont="1" applyFill="1" applyBorder="1"/>
    <xf numFmtId="38" fontId="52" fillId="2" borderId="130" xfId="22" applyFont="1" applyFill="1" applyBorder="1"/>
    <xf numFmtId="38" fontId="52" fillId="2" borderId="131" xfId="22" applyFont="1" applyFill="1" applyBorder="1"/>
    <xf numFmtId="38" fontId="2" fillId="0" borderId="131" xfId="22" applyFont="1" applyFill="1" applyBorder="1"/>
    <xf numFmtId="38" fontId="2" fillId="0" borderId="132" xfId="22" applyFont="1" applyFill="1" applyBorder="1"/>
    <xf numFmtId="38" fontId="2" fillId="0" borderId="133" xfId="22" applyFont="1" applyFill="1" applyBorder="1"/>
    <xf numFmtId="38" fontId="2" fillId="0" borderId="134" xfId="22" applyFont="1" applyFill="1" applyBorder="1"/>
    <xf numFmtId="38" fontId="2" fillId="0" borderId="111" xfId="22" applyFont="1" applyFill="1" applyBorder="1"/>
    <xf numFmtId="38" fontId="2" fillId="0" borderId="110" xfId="22" applyFont="1" applyFill="1" applyBorder="1"/>
    <xf numFmtId="38" fontId="2" fillId="0" borderId="135" xfId="22" applyFont="1" applyFill="1" applyBorder="1"/>
    <xf numFmtId="38" fontId="2" fillId="0" borderId="136" xfId="22" applyFont="1" applyFill="1" applyBorder="1"/>
    <xf numFmtId="38" fontId="52" fillId="0" borderId="111" xfId="22" applyFont="1" applyFill="1" applyBorder="1"/>
    <xf numFmtId="38" fontId="52" fillId="0" borderId="110" xfId="22" applyFont="1" applyFill="1" applyBorder="1"/>
    <xf numFmtId="38" fontId="52" fillId="0" borderId="135" xfId="22" applyFont="1" applyFill="1" applyBorder="1"/>
    <xf numFmtId="38" fontId="52" fillId="2" borderId="21" xfId="22" applyFont="1" applyFill="1" applyBorder="1"/>
    <xf numFmtId="38" fontId="52" fillId="2" borderId="35" xfId="22" applyFont="1" applyFill="1" applyBorder="1"/>
    <xf numFmtId="38" fontId="52" fillId="2" borderId="137" xfId="22" applyFont="1" applyFill="1" applyBorder="1"/>
    <xf numFmtId="38" fontId="52" fillId="0" borderId="16" xfId="22" applyFont="1" applyFill="1" applyBorder="1"/>
    <xf numFmtId="38" fontId="52" fillId="0" borderId="33" xfId="22" applyFont="1" applyFill="1" applyBorder="1"/>
    <xf numFmtId="38" fontId="52" fillId="0" borderId="133" xfId="22" applyFont="1" applyFill="1" applyBorder="1"/>
    <xf numFmtId="38" fontId="52" fillId="2" borderId="111" xfId="22" applyFont="1" applyFill="1" applyBorder="1"/>
    <xf numFmtId="38" fontId="52" fillId="2" borderId="110" xfId="22" applyFont="1" applyFill="1" applyBorder="1"/>
    <xf numFmtId="38" fontId="52" fillId="2" borderId="135" xfId="22" applyFont="1" applyFill="1" applyBorder="1"/>
    <xf numFmtId="38" fontId="52" fillId="2" borderId="136" xfId="22" applyFont="1" applyFill="1" applyBorder="1"/>
    <xf numFmtId="38" fontId="52" fillId="2" borderId="129" xfId="22" applyFont="1" applyFill="1" applyBorder="1"/>
    <xf numFmtId="38" fontId="52" fillId="2" borderId="132" xfId="22" applyFont="1" applyFill="1" applyBorder="1"/>
    <xf numFmtId="38" fontId="52" fillId="2" borderId="16" xfId="22" applyFont="1" applyFill="1" applyBorder="1"/>
    <xf numFmtId="38" fontId="52" fillId="2" borderId="33" xfId="22" applyFont="1" applyFill="1" applyBorder="1"/>
    <xf numFmtId="38" fontId="52" fillId="2" borderId="133" xfId="22" applyFont="1" applyFill="1" applyBorder="1"/>
    <xf numFmtId="38" fontId="52" fillId="2" borderId="134" xfId="22" applyFont="1" applyFill="1" applyBorder="1"/>
    <xf numFmtId="38" fontId="2" fillId="0" borderId="27" xfId="22" applyFont="1" applyFill="1" applyBorder="1"/>
    <xf numFmtId="38" fontId="2" fillId="0" borderId="37" xfId="22" applyFont="1" applyFill="1" applyBorder="1"/>
    <xf numFmtId="38" fontId="2" fillId="0" borderId="138" xfId="22" applyFont="1" applyBorder="1"/>
    <xf numFmtId="38" fontId="2" fillId="0" borderId="139" xfId="22" applyFont="1" applyBorder="1"/>
    <xf numFmtId="0" fontId="2" fillId="0" borderId="122" xfId="29" applyFont="1" applyBorder="1" applyAlignment="1">
      <alignment horizontal="right"/>
    </xf>
    <xf numFmtId="0" fontId="2" fillId="0" borderId="140" xfId="29" applyFont="1" applyBorder="1" applyAlignment="1">
      <alignment horizontal="center"/>
    </xf>
    <xf numFmtId="0" fontId="2" fillId="0" borderId="141" xfId="29" applyFont="1" applyBorder="1" applyAlignment="1">
      <alignment horizontal="center"/>
    </xf>
    <xf numFmtId="38" fontId="2" fillId="0" borderId="142" xfId="22" applyFont="1" applyFill="1" applyBorder="1"/>
    <xf numFmtId="38" fontId="2" fillId="0" borderId="143" xfId="22" applyFont="1" applyFill="1" applyBorder="1"/>
    <xf numFmtId="38" fontId="2" fillId="0" borderId="144" xfId="22" applyFont="1" applyFill="1" applyBorder="1"/>
    <xf numFmtId="38" fontId="2" fillId="0" borderId="145" xfId="22" applyFont="1" applyFill="1" applyBorder="1"/>
    <xf numFmtId="38" fontId="2" fillId="0" borderId="25" xfId="22" applyFont="1" applyFill="1" applyBorder="1"/>
    <xf numFmtId="38" fontId="2" fillId="0" borderId="146" xfId="22" applyFont="1" applyFill="1" applyBorder="1"/>
    <xf numFmtId="38" fontId="2" fillId="0" borderId="24" xfId="22" applyFont="1" applyFill="1" applyBorder="1"/>
    <xf numFmtId="38" fontId="2" fillId="0" borderId="147" xfId="22" applyFont="1" applyFill="1" applyBorder="1"/>
    <xf numFmtId="38" fontId="2" fillId="0" borderId="22" xfId="22" applyFont="1" applyFill="1" applyBorder="1"/>
    <xf numFmtId="38" fontId="2" fillId="0" borderId="148" xfId="22" applyFont="1" applyFill="1" applyBorder="1"/>
    <xf numFmtId="38" fontId="2" fillId="0" borderId="21" xfId="22" applyFont="1" applyFill="1" applyBorder="1"/>
    <xf numFmtId="38" fontId="2" fillId="0" borderId="149" xfId="22" applyFont="1" applyFill="1" applyBorder="1"/>
    <xf numFmtId="38" fontId="2" fillId="0" borderId="56" xfId="22" applyFont="1" applyFill="1" applyBorder="1"/>
    <xf numFmtId="38" fontId="2" fillId="0" borderId="150" xfId="22" applyFont="1" applyFill="1" applyBorder="1"/>
    <xf numFmtId="38" fontId="2" fillId="0" borderId="151" xfId="22" applyFont="1" applyFill="1" applyBorder="1"/>
    <xf numFmtId="38" fontId="2" fillId="0" borderId="139" xfId="22" applyFont="1" applyFill="1" applyBorder="1" applyAlignment="1"/>
    <xf numFmtId="38" fontId="2" fillId="0" borderId="152" xfId="22" applyFont="1" applyFill="1" applyBorder="1" applyAlignment="1"/>
    <xf numFmtId="38" fontId="2" fillId="0" borderId="28" xfId="22" applyFont="1" applyFill="1" applyBorder="1" applyAlignment="1"/>
    <xf numFmtId="38" fontId="2" fillId="0" borderId="153" xfId="22" applyFont="1" applyFill="1" applyBorder="1" applyAlignment="1"/>
    <xf numFmtId="38" fontId="2" fillId="0" borderId="27" xfId="22" applyFont="1" applyFill="1" applyBorder="1" applyAlignment="1"/>
    <xf numFmtId="0" fontId="53" fillId="3" borderId="0" xfId="3" applyFont="1" applyFill="1" applyAlignment="1">
      <alignment horizontal="center"/>
    </xf>
    <xf numFmtId="166" fontId="9" fillId="0" borderId="11" xfId="29" applyNumberFormat="1" applyFont="1" applyBorder="1"/>
    <xf numFmtId="166" fontId="9" fillId="0" borderId="7" xfId="29" applyNumberFormat="1" applyFont="1" applyBorder="1"/>
    <xf numFmtId="166" fontId="9" fillId="0" borderId="53" xfId="29" applyNumberFormat="1" applyFont="1" applyBorder="1"/>
    <xf numFmtId="38" fontId="2" fillId="0" borderId="123" xfId="22" applyFont="1" applyFill="1" applyBorder="1"/>
    <xf numFmtId="166" fontId="9" fillId="0" borderId="123" xfId="29" applyNumberFormat="1" applyFont="1" applyBorder="1"/>
    <xf numFmtId="3" fontId="2" fillId="0" borderId="0" xfId="29" applyNumberFormat="1" applyFont="1" applyAlignment="1">
      <alignment horizontal="center"/>
    </xf>
    <xf numFmtId="0" fontId="2" fillId="0" borderId="141" xfId="29" applyFont="1" applyBorder="1" applyAlignment="1">
      <alignment horizontal="right"/>
    </xf>
    <xf numFmtId="3" fontId="2" fillId="0" borderId="113" xfId="29" applyNumberFormat="1" applyFont="1" applyBorder="1"/>
    <xf numFmtId="3" fontId="2" fillId="0" borderId="56" xfId="29" applyNumberFormat="1" applyFont="1" applyBorder="1"/>
    <xf numFmtId="3" fontId="2" fillId="0" borderId="153" xfId="29" applyNumberFormat="1" applyFont="1" applyBorder="1"/>
    <xf numFmtId="0" fontId="54" fillId="0" borderId="0" xfId="29" applyFont="1"/>
    <xf numFmtId="0" fontId="55" fillId="0" borderId="0" xfId="29" applyFont="1"/>
    <xf numFmtId="0" fontId="2" fillId="0" borderId="11" xfId="29" applyFont="1" applyBorder="1" applyAlignment="1">
      <alignment horizontal="center"/>
    </xf>
    <xf numFmtId="0" fontId="2" fillId="0" borderId="11" xfId="0" applyFont="1" applyBorder="1" applyAlignment="1">
      <alignment horizontal="left"/>
    </xf>
    <xf numFmtId="0" fontId="2" fillId="0" borderId="11" xfId="0" applyFont="1" applyBorder="1" applyAlignment="1">
      <alignment horizontal="right"/>
    </xf>
    <xf numFmtId="0" fontId="2" fillId="0" borderId="14" xfId="0" applyFont="1" applyBorder="1" applyAlignment="1">
      <alignment horizontal="left"/>
    </xf>
    <xf numFmtId="0" fontId="2" fillId="0" borderId="14" xfId="0" applyFont="1" applyBorder="1" applyAlignment="1">
      <alignment horizontal="right"/>
    </xf>
    <xf numFmtId="0" fontId="2" fillId="0" borderId="14" xfId="29" applyFont="1" applyBorder="1"/>
    <xf numFmtId="0" fontId="2" fillId="0" borderId="17" xfId="0" applyFont="1" applyBorder="1"/>
    <xf numFmtId="0" fontId="2" fillId="0" borderId="17" xfId="29" applyFont="1" applyBorder="1"/>
    <xf numFmtId="3" fontId="2" fillId="0" borderId="11" xfId="0" applyNumberFormat="1" applyFont="1" applyBorder="1" applyAlignment="1">
      <alignment horizontal="right"/>
    </xf>
    <xf numFmtId="0" fontId="2" fillId="0" borderId="31" xfId="29" applyFont="1" applyBorder="1" applyAlignment="1">
      <alignment horizontal="center"/>
    </xf>
    <xf numFmtId="0" fontId="2" fillId="0" borderId="31" xfId="29" applyFont="1" applyBorder="1"/>
    <xf numFmtId="0" fontId="2" fillId="0" borderId="32" xfId="29" applyFont="1" applyBorder="1"/>
    <xf numFmtId="0" fontId="2" fillId="0" borderId="33" xfId="29" applyFont="1" applyBorder="1"/>
    <xf numFmtId="0" fontId="2" fillId="0" borderId="11" xfId="61" applyFont="1" applyBorder="1">
      <alignment vertical="center"/>
    </xf>
    <xf numFmtId="0" fontId="2" fillId="0" borderId="31" xfId="61" applyFont="1" applyBorder="1">
      <alignment vertical="center"/>
    </xf>
    <xf numFmtId="0" fontId="2" fillId="0" borderId="14" xfId="61" applyFont="1" applyBorder="1">
      <alignment vertical="center"/>
    </xf>
    <xf numFmtId="0" fontId="2" fillId="0" borderId="32" xfId="61" applyFont="1" applyBorder="1">
      <alignment vertical="center"/>
    </xf>
    <xf numFmtId="3" fontId="2" fillId="0" borderId="11" xfId="61" applyNumberFormat="1" applyFont="1" applyBorder="1">
      <alignment vertical="center"/>
    </xf>
    <xf numFmtId="3" fontId="2" fillId="0" borderId="31" xfId="61" applyNumberFormat="1" applyFont="1" applyBorder="1">
      <alignment vertical="center"/>
    </xf>
    <xf numFmtId="3" fontId="2" fillId="0" borderId="14" xfId="61" applyNumberFormat="1" applyFont="1" applyBorder="1">
      <alignment vertical="center"/>
    </xf>
    <xf numFmtId="3" fontId="2" fillId="0" borderId="32" xfId="61" applyNumberFormat="1" applyFont="1" applyBorder="1">
      <alignment vertical="center"/>
    </xf>
    <xf numFmtId="0" fontId="2" fillId="0" borderId="53" xfId="29" applyFont="1" applyBorder="1" applyAlignment="1">
      <alignment horizontal="center"/>
    </xf>
    <xf numFmtId="0" fontId="2" fillId="0" borderId="154" xfId="29" applyFont="1" applyBorder="1"/>
    <xf numFmtId="0" fontId="2" fillId="0" borderId="118" xfId="29" applyFont="1" applyBorder="1"/>
    <xf numFmtId="0" fontId="9" fillId="0" borderId="7" xfId="0" applyFont="1" applyBorder="1"/>
    <xf numFmtId="0" fontId="2" fillId="0" borderId="7" xfId="29" applyFont="1" applyBorder="1"/>
    <xf numFmtId="3" fontId="2" fillId="0" borderId="118" xfId="29" applyNumberFormat="1" applyFont="1" applyBorder="1"/>
    <xf numFmtId="173" fontId="44" fillId="0" borderId="30" xfId="0" applyNumberFormat="1" applyFont="1" applyBorder="1"/>
    <xf numFmtId="9" fontId="44" fillId="0" borderId="30" xfId="0" applyNumberFormat="1" applyFont="1" applyBorder="1"/>
    <xf numFmtId="9" fontId="44" fillId="0" borderId="33" xfId="0" applyNumberFormat="1" applyFont="1" applyBorder="1"/>
    <xf numFmtId="173" fontId="44" fillId="0" borderId="0" xfId="0" applyNumberFormat="1" applyFont="1"/>
    <xf numFmtId="9" fontId="44" fillId="0" borderId="0" xfId="0" applyNumberFormat="1" applyFont="1"/>
    <xf numFmtId="9" fontId="44" fillId="0" borderId="16" xfId="0" applyNumberFormat="1" applyFont="1" applyBorder="1"/>
    <xf numFmtId="9" fontId="2" fillId="0" borderId="0" xfId="38" applyFont="1" applyAlignment="1"/>
    <xf numFmtId="9" fontId="4" fillId="0" borderId="0" xfId="29" applyNumberFormat="1" applyFont="1"/>
    <xf numFmtId="9" fontId="4" fillId="0" borderId="0" xfId="38" applyFont="1" applyAlignment="1"/>
    <xf numFmtId="9" fontId="2" fillId="0" borderId="11" xfId="0" applyNumberFormat="1" applyFont="1" applyBorder="1" applyAlignment="1">
      <alignment horizontal="right"/>
    </xf>
    <xf numFmtId="9" fontId="2" fillId="0" borderId="11" xfId="29" applyNumberFormat="1" applyFont="1" applyBorder="1"/>
    <xf numFmtId="9" fontId="2" fillId="0" borderId="14" xfId="0" applyNumberFormat="1" applyFont="1" applyBorder="1" applyAlignment="1">
      <alignment horizontal="right"/>
    </xf>
    <xf numFmtId="9" fontId="2" fillId="0" borderId="14" xfId="29" applyNumberFormat="1" applyFont="1" applyBorder="1"/>
    <xf numFmtId="9" fontId="2" fillId="0" borderId="17" xfId="0" applyNumberFormat="1" applyFont="1" applyBorder="1" applyAlignment="1">
      <alignment horizontal="right"/>
    </xf>
    <xf numFmtId="9" fontId="2" fillId="0" borderId="17" xfId="29" applyNumberFormat="1" applyFont="1" applyBorder="1"/>
    <xf numFmtId="9" fontId="2" fillId="0" borderId="14" xfId="61" applyNumberFormat="1" applyFont="1" applyBorder="1">
      <alignment vertical="center"/>
    </xf>
    <xf numFmtId="9" fontId="2" fillId="2" borderId="11" xfId="0" applyNumberFormat="1" applyFont="1" applyFill="1" applyBorder="1" applyAlignment="1">
      <alignment horizontal="left"/>
    </xf>
    <xf numFmtId="9" fontId="2" fillId="2" borderId="14" xfId="0" applyNumberFormat="1" applyFont="1" applyFill="1" applyBorder="1" applyAlignment="1">
      <alignment horizontal="left"/>
    </xf>
    <xf numFmtId="9" fontId="2" fillId="2" borderId="17" xfId="0" applyNumberFormat="1" applyFont="1" applyFill="1" applyBorder="1"/>
    <xf numFmtId="9" fontId="2" fillId="0" borderId="11" xfId="61" applyNumberFormat="1" applyFont="1" applyBorder="1">
      <alignment vertical="center"/>
    </xf>
    <xf numFmtId="0" fontId="2" fillId="0" borderId="10" xfId="29" applyFont="1" applyBorder="1"/>
    <xf numFmtId="0" fontId="56" fillId="0" borderId="31" xfId="29" applyFont="1" applyBorder="1"/>
    <xf numFmtId="0" fontId="44" fillId="6" borderId="10" xfId="0" applyFont="1" applyFill="1" applyBorder="1"/>
    <xf numFmtId="0" fontId="56" fillId="0" borderId="30" xfId="29" applyFont="1" applyBorder="1"/>
    <xf numFmtId="0" fontId="44" fillId="6" borderId="0" xfId="0" applyFont="1" applyFill="1"/>
    <xf numFmtId="0" fontId="56" fillId="0" borderId="30" xfId="29" applyFont="1" applyBorder="1" applyAlignment="1">
      <alignment horizontal="left"/>
    </xf>
    <xf numFmtId="9" fontId="56" fillId="6" borderId="0" xfId="29" applyNumberFormat="1" applyFont="1" applyFill="1"/>
    <xf numFmtId="0" fontId="57" fillId="0" borderId="0" xfId="29" applyFont="1" applyAlignment="1">
      <alignment horizontal="center"/>
    </xf>
    <xf numFmtId="0" fontId="58" fillId="0" borderId="0" xfId="29" applyFont="1"/>
    <xf numFmtId="0" fontId="54" fillId="0" borderId="0" xfId="29" applyFont="1" applyAlignment="1">
      <alignment horizontal="center"/>
    </xf>
    <xf numFmtId="0" fontId="44" fillId="0" borderId="33" xfId="0" applyFont="1" applyBorder="1"/>
    <xf numFmtId="3" fontId="56" fillId="6" borderId="16" xfId="29" applyNumberFormat="1" applyFont="1" applyFill="1" applyBorder="1"/>
    <xf numFmtId="0" fontId="44" fillId="6" borderId="16" xfId="0" applyFont="1" applyFill="1" applyBorder="1"/>
    <xf numFmtId="9" fontId="44" fillId="6" borderId="0" xfId="0" applyNumberFormat="1" applyFont="1" applyFill="1"/>
    <xf numFmtId="0" fontId="44" fillId="6" borderId="57" xfId="0" applyFont="1" applyFill="1" applyBorder="1"/>
    <xf numFmtId="0" fontId="44" fillId="6" borderId="113" xfId="0" applyFont="1" applyFill="1" applyBorder="1"/>
    <xf numFmtId="9" fontId="44" fillId="6" borderId="113" xfId="0" applyNumberFormat="1" applyFont="1" applyFill="1" applyBorder="1"/>
    <xf numFmtId="3" fontId="56" fillId="6" borderId="56" xfId="29" applyNumberFormat="1" applyFont="1" applyFill="1" applyBorder="1"/>
    <xf numFmtId="0" fontId="34" fillId="0" borderId="31" xfId="62" applyFont="1" applyBorder="1"/>
    <xf numFmtId="0" fontId="34" fillId="0" borderId="11" xfId="62" applyFont="1" applyBorder="1" applyAlignment="1">
      <alignment horizontal="center"/>
    </xf>
    <xf numFmtId="0" fontId="34" fillId="0" borderId="10" xfId="62" applyFont="1" applyBorder="1"/>
    <xf numFmtId="167" fontId="34" fillId="0" borderId="10" xfId="58" applyNumberFormat="1" applyFont="1" applyBorder="1"/>
    <xf numFmtId="0" fontId="34" fillId="0" borderId="7" xfId="62" applyFont="1" applyBorder="1" applyAlignment="1">
      <alignment horizontal="center"/>
    </xf>
    <xf numFmtId="167" fontId="34" fillId="0" borderId="0" xfId="58" applyNumberFormat="1" applyFont="1" applyBorder="1"/>
    <xf numFmtId="9" fontId="34" fillId="0" borderId="10" xfId="62" applyNumberFormat="1" applyFont="1" applyBorder="1"/>
    <xf numFmtId="9" fontId="34" fillId="0" borderId="0" xfId="62" applyNumberFormat="1" applyFont="1"/>
    <xf numFmtId="9" fontId="34" fillId="0" borderId="33" xfId="62" applyNumberFormat="1" applyFont="1" applyBorder="1"/>
    <xf numFmtId="167" fontId="34" fillId="0" borderId="57" xfId="58" applyNumberFormat="1" applyFont="1" applyBorder="1"/>
    <xf numFmtId="167" fontId="34" fillId="0" borderId="113" xfId="58" applyNumberFormat="1" applyFont="1" applyBorder="1"/>
    <xf numFmtId="167" fontId="34" fillId="0" borderId="0" xfId="62" applyNumberFormat="1" applyFont="1"/>
    <xf numFmtId="0" fontId="36" fillId="0" borderId="10" xfId="62" applyBorder="1"/>
    <xf numFmtId="0" fontId="41" fillId="0" borderId="30" xfId="62" applyFont="1" applyBorder="1"/>
    <xf numFmtId="167" fontId="34" fillId="0" borderId="16" xfId="62" applyNumberFormat="1" applyFont="1" applyBorder="1"/>
    <xf numFmtId="167" fontId="34" fillId="0" borderId="31" xfId="58" applyNumberFormat="1" applyFont="1" applyBorder="1"/>
    <xf numFmtId="167" fontId="34" fillId="0" borderId="30" xfId="58" applyNumberFormat="1" applyFont="1" applyBorder="1"/>
    <xf numFmtId="0" fontId="36" fillId="0" borderId="57" xfId="62" applyBorder="1"/>
    <xf numFmtId="0" fontId="36" fillId="0" borderId="113" xfId="62" applyBorder="1"/>
    <xf numFmtId="0" fontId="34" fillId="0" borderId="17" xfId="62" applyFont="1" applyBorder="1" applyAlignment="1">
      <alignment horizontal="center"/>
    </xf>
    <xf numFmtId="0" fontId="34" fillId="0" borderId="16" xfId="62" applyFont="1" applyBorder="1"/>
    <xf numFmtId="167" fontId="34" fillId="0" borderId="16" xfId="58" applyNumberFormat="1" applyFont="1" applyBorder="1"/>
    <xf numFmtId="167" fontId="34" fillId="0" borderId="56" xfId="58" applyNumberFormat="1" applyFont="1" applyBorder="1"/>
    <xf numFmtId="167" fontId="34" fillId="0" borderId="33" xfId="58" applyNumberFormat="1" applyFont="1" applyBorder="1"/>
    <xf numFmtId="175" fontId="46" fillId="0" borderId="0" xfId="62" applyNumberFormat="1" applyFont="1"/>
    <xf numFmtId="0" fontId="41" fillId="0" borderId="0" xfId="62" applyFont="1"/>
    <xf numFmtId="0" fontId="13" fillId="0" borderId="7" xfId="0" applyFont="1" applyBorder="1"/>
    <xf numFmtId="0" fontId="13" fillId="0" borderId="114" xfId="0" applyFont="1" applyBorder="1"/>
    <xf numFmtId="3" fontId="13" fillId="0" borderId="114" xfId="0" applyNumberFormat="1" applyFont="1" applyBorder="1"/>
    <xf numFmtId="0" fontId="13" fillId="0" borderId="115" xfId="0" applyFont="1" applyBorder="1"/>
    <xf numFmtId="3" fontId="13" fillId="0" borderId="115" xfId="0" applyNumberFormat="1" applyFont="1" applyBorder="1"/>
    <xf numFmtId="166" fontId="13" fillId="0" borderId="7" xfId="0" applyNumberFormat="1" applyFont="1" applyBorder="1"/>
    <xf numFmtId="3" fontId="13" fillId="0" borderId="17" xfId="0" applyNumberFormat="1" applyFont="1" applyBorder="1"/>
    <xf numFmtId="166" fontId="13" fillId="0" borderId="118" xfId="0" applyNumberFormat="1" applyFont="1" applyBorder="1"/>
    <xf numFmtId="166" fontId="13" fillId="0" borderId="11" xfId="0" applyNumberFormat="1" applyFont="1" applyBorder="1"/>
    <xf numFmtId="0" fontId="13" fillId="0" borderId="118" xfId="0" applyFont="1" applyBorder="1"/>
    <xf numFmtId="3" fontId="13" fillId="0" borderId="116" xfId="0" applyNumberFormat="1" applyFont="1" applyBorder="1"/>
    <xf numFmtId="9" fontId="13" fillId="0" borderId="11" xfId="0" applyNumberFormat="1" applyFont="1" applyBorder="1"/>
    <xf numFmtId="9" fontId="13" fillId="0" borderId="7" xfId="0" applyNumberFormat="1" applyFont="1" applyBorder="1"/>
    <xf numFmtId="9" fontId="13" fillId="0" borderId="17" xfId="0" applyNumberFormat="1" applyFont="1" applyBorder="1"/>
    <xf numFmtId="166" fontId="13" fillId="0" borderId="17" xfId="0" applyNumberFormat="1" applyFont="1" applyBorder="1"/>
    <xf numFmtId="3" fontId="0" fillId="0" borderId="119" xfId="0" applyNumberFormat="1" applyBorder="1"/>
    <xf numFmtId="0" fontId="59" fillId="0" borderId="0" xfId="0" applyFont="1"/>
    <xf numFmtId="0" fontId="0" fillId="0" borderId="112" xfId="0" applyBorder="1"/>
    <xf numFmtId="3" fontId="0" fillId="0" borderId="112" xfId="0" applyNumberFormat="1" applyBorder="1"/>
    <xf numFmtId="0" fontId="0" fillId="2" borderId="112" xfId="0" applyFill="1" applyBorder="1"/>
    <xf numFmtId="3" fontId="0" fillId="2" borderId="112" xfId="0" applyNumberFormat="1" applyFill="1" applyBorder="1"/>
    <xf numFmtId="0" fontId="0" fillId="0" borderId="155" xfId="0" applyBorder="1"/>
    <xf numFmtId="3" fontId="0" fillId="0" borderId="155" xfId="0" applyNumberFormat="1" applyBorder="1"/>
    <xf numFmtId="0" fontId="0" fillId="2" borderId="11" xfId="0" applyFill="1" applyBorder="1"/>
    <xf numFmtId="3" fontId="0" fillId="2" borderId="11" xfId="0" applyNumberFormat="1" applyFill="1" applyBorder="1"/>
    <xf numFmtId="0" fontId="0" fillId="2" borderId="155" xfId="0" applyFill="1" applyBorder="1"/>
    <xf numFmtId="3" fontId="0" fillId="2" borderId="155" xfId="0" applyNumberFormat="1" applyFill="1" applyBorder="1"/>
    <xf numFmtId="3" fontId="0" fillId="2" borderId="17" xfId="0" applyNumberFormat="1" applyFill="1" applyBorder="1"/>
    <xf numFmtId="0" fontId="0" fillId="0" borderId="156" xfId="0" applyBorder="1"/>
    <xf numFmtId="3" fontId="0" fillId="0" borderId="156" xfId="0" applyNumberFormat="1" applyBorder="1"/>
    <xf numFmtId="0" fontId="0" fillId="0" borderId="157" xfId="0" applyBorder="1"/>
    <xf numFmtId="3" fontId="0" fillId="0" borderId="157" xfId="0" applyNumberFormat="1" applyBorder="1"/>
    <xf numFmtId="3" fontId="60" fillId="2" borderId="156" xfId="0" applyNumberFormat="1" applyFont="1" applyFill="1" applyBorder="1"/>
    <xf numFmtId="3" fontId="60" fillId="2" borderId="157" xfId="0" applyNumberFormat="1" applyFont="1" applyFill="1" applyBorder="1"/>
    <xf numFmtId="3" fontId="60" fillId="2" borderId="7" xfId="0" applyNumberFormat="1" applyFont="1" applyFill="1" applyBorder="1"/>
    <xf numFmtId="0" fontId="0" fillId="0" borderId="33" xfId="0" applyBorder="1"/>
    <xf numFmtId="3" fontId="0" fillId="0" borderId="118" xfId="0" applyNumberFormat="1" applyBorder="1"/>
    <xf numFmtId="9" fontId="0" fillId="0" borderId="112" xfId="2" applyFont="1" applyBorder="1"/>
    <xf numFmtId="3" fontId="0" fillId="0" borderId="0" xfId="0" applyNumberFormat="1"/>
    <xf numFmtId="0" fontId="0" fillId="0" borderId="57" xfId="0" applyBorder="1"/>
    <xf numFmtId="0" fontId="0" fillId="0" borderId="113" xfId="0" applyBorder="1"/>
    <xf numFmtId="9" fontId="0" fillId="0" borderId="57" xfId="0" applyNumberFormat="1" applyBorder="1"/>
    <xf numFmtId="9" fontId="0" fillId="0" borderId="113" xfId="0" applyNumberFormat="1" applyBorder="1"/>
    <xf numFmtId="9" fontId="60" fillId="2" borderId="112" xfId="2" applyFont="1" applyFill="1" applyBorder="1"/>
    <xf numFmtId="9" fontId="0" fillId="0" borderId="155" xfId="2" applyFont="1" applyBorder="1"/>
    <xf numFmtId="9" fontId="60" fillId="2" borderId="11" xfId="2" applyFont="1" applyFill="1" applyBorder="1"/>
    <xf numFmtId="9" fontId="60" fillId="2" borderId="155" xfId="2" applyFont="1" applyFill="1" applyBorder="1"/>
    <xf numFmtId="9" fontId="60" fillId="2" borderId="17" xfId="2" applyFont="1" applyFill="1" applyBorder="1"/>
    <xf numFmtId="9" fontId="0" fillId="0" borderId="118" xfId="2" applyFont="1" applyBorder="1"/>
    <xf numFmtId="9" fontId="13" fillId="0" borderId="118" xfId="0" applyNumberFormat="1" applyFont="1" applyBorder="1"/>
    <xf numFmtId="9" fontId="0" fillId="0" borderId="158" xfId="0" applyNumberFormat="1" applyBorder="1"/>
    <xf numFmtId="9" fontId="27" fillId="0" borderId="159" xfId="2" applyFont="1" applyFill="1" applyBorder="1"/>
    <xf numFmtId="0" fontId="44" fillId="0" borderId="113" xfId="0" applyFont="1" applyBorder="1"/>
    <xf numFmtId="0" fontId="44" fillId="7" borderId="10" xfId="0" applyFont="1" applyFill="1" applyBorder="1"/>
    <xf numFmtId="0" fontId="44" fillId="7" borderId="0" xfId="0" applyFont="1" applyFill="1"/>
    <xf numFmtId="0" fontId="44" fillId="7" borderId="16" xfId="0" applyFont="1" applyFill="1" applyBorder="1"/>
    <xf numFmtId="0" fontId="0" fillId="0" borderId="160" xfId="0" applyBorder="1"/>
    <xf numFmtId="3" fontId="0" fillId="0" borderId="160" xfId="0" applyNumberFormat="1" applyBorder="1"/>
    <xf numFmtId="169" fontId="13" fillId="0" borderId="11" xfId="0" applyNumberFormat="1" applyFont="1" applyBorder="1"/>
    <xf numFmtId="169" fontId="0" fillId="0" borderId="11" xfId="0" applyNumberFormat="1" applyBorder="1"/>
    <xf numFmtId="169" fontId="13" fillId="0" borderId="7" xfId="0" applyNumberFormat="1" applyFont="1" applyBorder="1"/>
    <xf numFmtId="169" fontId="0" fillId="0" borderId="7" xfId="0" applyNumberFormat="1" applyBorder="1"/>
    <xf numFmtId="169" fontId="13" fillId="0" borderId="17" xfId="0" applyNumberFormat="1" applyFont="1" applyBorder="1"/>
    <xf numFmtId="169" fontId="0" fillId="0" borderId="17" xfId="0" applyNumberFormat="1" applyBorder="1"/>
    <xf numFmtId="169" fontId="0" fillId="0" borderId="53" xfId="0" applyNumberFormat="1" applyBorder="1"/>
    <xf numFmtId="0" fontId="13" fillId="0" borderId="0" xfId="36" applyFont="1"/>
    <xf numFmtId="0" fontId="61" fillId="0" borderId="0" xfId="36" applyFont="1"/>
    <xf numFmtId="0" fontId="62" fillId="0" borderId="0" xfId="36" applyFont="1"/>
    <xf numFmtId="0" fontId="0" fillId="0" borderId="0" xfId="36" applyFont="1"/>
    <xf numFmtId="0" fontId="19" fillId="0" borderId="0" xfId="0" applyFont="1"/>
    <xf numFmtId="0" fontId="63" fillId="8" borderId="162" xfId="0" applyFont="1" applyFill="1" applyBorder="1"/>
    <xf numFmtId="0" fontId="0" fillId="8" borderId="163" xfId="0" applyFill="1" applyBorder="1"/>
    <xf numFmtId="0" fontId="0" fillId="8" borderId="164" xfId="0" applyFill="1" applyBorder="1"/>
    <xf numFmtId="0" fontId="0" fillId="8" borderId="28" xfId="0" applyFill="1" applyBorder="1" applyAlignment="1">
      <alignment horizontal="center" wrapText="1"/>
    </xf>
    <xf numFmtId="0" fontId="0" fillId="0" borderId="5" xfId="0" applyBorder="1" applyAlignment="1">
      <alignment horizontal="center"/>
    </xf>
    <xf numFmtId="3" fontId="0" fillId="0" borderId="7" xfId="0" applyNumberFormat="1" applyBorder="1" applyAlignment="1">
      <alignment horizontal="center"/>
    </xf>
    <xf numFmtId="0" fontId="0" fillId="0" borderId="165" xfId="0" applyBorder="1" applyAlignment="1">
      <alignment horizontal="center"/>
    </xf>
    <xf numFmtId="3" fontId="0" fillId="0" borderId="166" xfId="0" applyNumberFormat="1" applyBorder="1" applyAlignment="1">
      <alignment horizontal="center"/>
    </xf>
    <xf numFmtId="176" fontId="62" fillId="0" borderId="166" xfId="0" applyNumberFormat="1" applyFont="1" applyBorder="1" applyAlignment="1">
      <alignment horizontal="center"/>
    </xf>
    <xf numFmtId="176" fontId="42" fillId="0" borderId="166" xfId="0" applyNumberFormat="1" applyFont="1" applyBorder="1" applyAlignment="1">
      <alignment horizontal="center"/>
    </xf>
    <xf numFmtId="0" fontId="0" fillId="0" borderId="167" xfId="0" applyBorder="1" applyAlignment="1">
      <alignment horizontal="center"/>
    </xf>
    <xf numFmtId="3" fontId="0" fillId="0" borderId="168" xfId="0" applyNumberFormat="1" applyBorder="1" applyAlignment="1">
      <alignment horizontal="center"/>
    </xf>
    <xf numFmtId="0" fontId="0" fillId="0" borderId="169" xfId="0" applyBorder="1" applyAlignment="1">
      <alignment horizontal="center"/>
    </xf>
    <xf numFmtId="3" fontId="0" fillId="0" borderId="170" xfId="0" applyNumberFormat="1" applyBorder="1" applyAlignment="1">
      <alignment horizontal="center"/>
    </xf>
    <xf numFmtId="176" fontId="62" fillId="0" borderId="170" xfId="0" applyNumberFormat="1" applyFont="1" applyBorder="1" applyAlignment="1">
      <alignment horizontal="center"/>
    </xf>
    <xf numFmtId="3" fontId="0" fillId="0" borderId="57" xfId="0" applyNumberFormat="1" applyBorder="1" applyAlignment="1">
      <alignment horizontal="center"/>
    </xf>
    <xf numFmtId="3" fontId="0" fillId="0" borderId="11" xfId="0" applyNumberFormat="1" applyBorder="1" applyAlignment="1">
      <alignment horizontal="center"/>
    </xf>
    <xf numFmtId="3" fontId="0" fillId="0" borderId="171" xfId="0" applyNumberFormat="1" applyBorder="1" applyAlignment="1">
      <alignment horizontal="center"/>
    </xf>
    <xf numFmtId="176" fontId="62" fillId="0" borderId="172" xfId="0" applyNumberFormat="1" applyFont="1" applyBorder="1" applyAlignment="1">
      <alignment horizontal="center"/>
    </xf>
    <xf numFmtId="0" fontId="0" fillId="0" borderId="5" xfId="0" applyBorder="1" applyAlignment="1">
      <alignment horizontal="center" vertical="center" wrapText="1"/>
    </xf>
    <xf numFmtId="0" fontId="0" fillId="0" borderId="173" xfId="0" applyBorder="1" applyAlignment="1">
      <alignment horizontal="center"/>
    </xf>
    <xf numFmtId="3" fontId="0" fillId="0" borderId="174" xfId="0" applyNumberFormat="1" applyBorder="1" applyAlignment="1">
      <alignment horizontal="center"/>
    </xf>
    <xf numFmtId="176" fontId="62" fillId="0" borderId="174" xfId="0" applyNumberFormat="1" applyFont="1" applyBorder="1" applyAlignment="1">
      <alignment horizontal="center"/>
    </xf>
    <xf numFmtId="0" fontId="63" fillId="8" borderId="162" xfId="0" applyFont="1" applyFill="1" applyBorder="1" applyAlignment="1">
      <alignment horizontal="center"/>
    </xf>
    <xf numFmtId="0" fontId="64" fillId="0" borderId="0" xfId="0" applyFont="1"/>
    <xf numFmtId="0" fontId="0" fillId="8" borderId="30" xfId="0" applyFill="1" applyBorder="1" applyAlignment="1">
      <alignment horizontal="center" wrapText="1"/>
    </xf>
    <xf numFmtId="0" fontId="0" fillId="8" borderId="37" xfId="0" applyFill="1" applyBorder="1" applyAlignment="1">
      <alignment horizontal="center" wrapText="1"/>
    </xf>
    <xf numFmtId="3" fontId="0" fillId="0" borderId="30" xfId="0" applyNumberFormat="1" applyBorder="1" applyAlignment="1">
      <alignment horizontal="center"/>
    </xf>
    <xf numFmtId="3" fontId="0" fillId="0" borderId="175" xfId="0" applyNumberFormat="1" applyBorder="1" applyAlignment="1">
      <alignment horizontal="center"/>
    </xf>
    <xf numFmtId="176" fontId="62" fillId="0" borderId="176" xfId="0" applyNumberFormat="1" applyFont="1" applyBorder="1" applyAlignment="1">
      <alignment horizontal="center"/>
    </xf>
    <xf numFmtId="176" fontId="62" fillId="0" borderId="177" xfId="0" applyNumberFormat="1" applyFont="1" applyBorder="1" applyAlignment="1">
      <alignment horizontal="center"/>
    </xf>
    <xf numFmtId="3" fontId="0" fillId="0" borderId="86" xfId="0" applyNumberFormat="1" applyBorder="1" applyAlignment="1">
      <alignment horizontal="center"/>
    </xf>
    <xf numFmtId="176" fontId="42" fillId="0" borderId="170" xfId="0" applyNumberFormat="1" applyFont="1" applyBorder="1" applyAlignment="1">
      <alignment horizontal="center"/>
    </xf>
    <xf numFmtId="176" fontId="62" fillId="0" borderId="178" xfId="0" applyNumberFormat="1" applyFont="1" applyBorder="1" applyAlignment="1">
      <alignment horizontal="center"/>
    </xf>
    <xf numFmtId="176" fontId="62" fillId="0" borderId="179" xfId="0" applyNumberFormat="1" applyFont="1" applyBorder="1" applyAlignment="1">
      <alignment horizontal="center"/>
    </xf>
    <xf numFmtId="3" fontId="0" fillId="0" borderId="31" xfId="0" applyNumberFormat="1" applyBorder="1" applyAlignment="1">
      <alignment horizontal="center"/>
    </xf>
    <xf numFmtId="3" fontId="0" fillId="0" borderId="91" xfId="0" applyNumberFormat="1" applyBorder="1" applyAlignment="1">
      <alignment horizontal="center"/>
    </xf>
    <xf numFmtId="176" fontId="62" fillId="0" borderId="180" xfId="0" applyNumberFormat="1" applyFont="1" applyBorder="1" applyAlignment="1">
      <alignment horizontal="center"/>
    </xf>
    <xf numFmtId="176" fontId="62" fillId="0" borderId="181" xfId="0" applyNumberFormat="1" applyFont="1" applyBorder="1" applyAlignment="1">
      <alignment horizontal="center"/>
    </xf>
    <xf numFmtId="3" fontId="44" fillId="0" borderId="7" xfId="0" applyNumberFormat="1" applyFont="1" applyBorder="1" applyAlignment="1">
      <alignment horizontal="center"/>
    </xf>
    <xf numFmtId="3" fontId="44" fillId="0" borderId="30" xfId="0" applyNumberFormat="1" applyFont="1" applyBorder="1" applyAlignment="1">
      <alignment horizontal="center"/>
    </xf>
    <xf numFmtId="176" fontId="42" fillId="0" borderId="176" xfId="0" applyNumberFormat="1" applyFont="1" applyBorder="1" applyAlignment="1">
      <alignment horizontal="center"/>
    </xf>
    <xf numFmtId="3" fontId="0" fillId="0" borderId="0" xfId="0" applyNumberFormat="1" applyAlignment="1">
      <alignment horizontal="center"/>
    </xf>
    <xf numFmtId="3" fontId="0" fillId="0" borderId="49" xfId="0" applyNumberFormat="1" applyBorder="1" applyAlignment="1">
      <alignment horizontal="center"/>
    </xf>
    <xf numFmtId="176" fontId="62" fillId="0" borderId="182" xfId="0" applyNumberFormat="1" applyFont="1" applyBorder="1" applyAlignment="1">
      <alignment horizontal="center"/>
    </xf>
    <xf numFmtId="176" fontId="62" fillId="0" borderId="183" xfId="0" applyNumberFormat="1" applyFont="1" applyBorder="1" applyAlignment="1">
      <alignment horizontal="center"/>
    </xf>
    <xf numFmtId="0" fontId="63" fillId="8" borderId="184" xfId="0" applyFont="1" applyFill="1" applyBorder="1" applyAlignment="1">
      <alignment horizontal="center"/>
    </xf>
    <xf numFmtId="0" fontId="0" fillId="8" borderId="0" xfId="0" applyFill="1" applyAlignment="1">
      <alignment horizontal="center"/>
    </xf>
    <xf numFmtId="0" fontId="0" fillId="8" borderId="113" xfId="0" applyFill="1" applyBorder="1" applyAlignment="1">
      <alignment horizontal="center"/>
    </xf>
    <xf numFmtId="0" fontId="0" fillId="8" borderId="168" xfId="0" applyFill="1" applyBorder="1" applyAlignment="1">
      <alignment horizontal="center" wrapText="1"/>
    </xf>
    <xf numFmtId="3" fontId="0" fillId="0" borderId="187" xfId="0" applyNumberFormat="1" applyBorder="1" applyAlignment="1">
      <alignment horizontal="center"/>
    </xf>
    <xf numFmtId="176" fontId="62" fillId="0" borderId="188" xfId="0" applyNumberFormat="1" applyFont="1" applyBorder="1" applyAlignment="1">
      <alignment horizontal="center"/>
    </xf>
    <xf numFmtId="3" fontId="0" fillId="0" borderId="189" xfId="0" applyNumberFormat="1" applyBorder="1" applyAlignment="1">
      <alignment horizontal="center"/>
    </xf>
    <xf numFmtId="176" fontId="62" fillId="0" borderId="190" xfId="0" applyNumberFormat="1" applyFont="1" applyBorder="1" applyAlignment="1">
      <alignment horizontal="center"/>
    </xf>
    <xf numFmtId="176" fontId="62" fillId="0" borderId="191" xfId="0" applyNumberFormat="1" applyFont="1" applyBorder="1" applyAlignment="1">
      <alignment horizontal="center"/>
    </xf>
    <xf numFmtId="3" fontId="0" fillId="0" borderId="192" xfId="0" applyNumberFormat="1" applyBorder="1" applyAlignment="1">
      <alignment horizontal="center"/>
    </xf>
    <xf numFmtId="0" fontId="3" fillId="8" borderId="193" xfId="36" applyFont="1" applyFill="1" applyBorder="1" applyAlignment="1">
      <alignment horizontal="center"/>
    </xf>
    <xf numFmtId="0" fontId="3" fillId="8" borderId="185" xfId="36" applyFont="1" applyFill="1" applyBorder="1" applyAlignment="1">
      <alignment horizontal="center"/>
    </xf>
    <xf numFmtId="0" fontId="3" fillId="8" borderId="162" xfId="36" applyFont="1" applyFill="1" applyBorder="1" applyAlignment="1">
      <alignment horizontal="centerContinuous"/>
    </xf>
    <xf numFmtId="0" fontId="0" fillId="8" borderId="6" xfId="36" applyFont="1" applyFill="1" applyBorder="1" applyAlignment="1">
      <alignment horizontal="center"/>
    </xf>
    <xf numFmtId="0" fontId="0" fillId="8" borderId="49" xfId="36" applyFont="1" applyFill="1" applyBorder="1" applyAlignment="1">
      <alignment horizontal="center"/>
    </xf>
    <xf numFmtId="0" fontId="0" fillId="8" borderId="16" xfId="36" applyFont="1" applyFill="1" applyBorder="1" applyAlignment="1">
      <alignment horizontal="centerContinuous"/>
    </xf>
    <xf numFmtId="0" fontId="0" fillId="8" borderId="113" xfId="36" applyFont="1" applyFill="1" applyBorder="1" applyAlignment="1">
      <alignment horizontal="center"/>
    </xf>
    <xf numFmtId="0" fontId="0" fillId="8" borderId="15" xfId="36" applyFont="1" applyFill="1" applyBorder="1" applyAlignment="1">
      <alignment horizontal="center"/>
    </xf>
    <xf numFmtId="0" fontId="0" fillId="8" borderId="194" xfId="36" applyFont="1" applyFill="1" applyBorder="1" applyAlignment="1">
      <alignment horizontal="center"/>
    </xf>
    <xf numFmtId="0" fontId="0" fillId="8" borderId="56" xfId="36" applyFont="1" applyFill="1" applyBorder="1" applyAlignment="1">
      <alignment horizontal="center"/>
    </xf>
    <xf numFmtId="0" fontId="0" fillId="0" borderId="6" xfId="36" applyFont="1" applyBorder="1"/>
    <xf numFmtId="167" fontId="65" fillId="0" borderId="8" xfId="36" applyNumberFormat="1" applyFont="1" applyBorder="1" applyAlignment="1">
      <alignment horizontal="center"/>
    </xf>
    <xf numFmtId="167" fontId="0" fillId="0" borderId="113" xfId="36" applyNumberFormat="1" applyFont="1" applyBorder="1" applyAlignment="1">
      <alignment horizontal="center"/>
    </xf>
    <xf numFmtId="176" fontId="62" fillId="0" borderId="195" xfId="0" applyNumberFormat="1" applyFont="1" applyBorder="1" applyAlignment="1">
      <alignment horizontal="center"/>
    </xf>
    <xf numFmtId="0" fontId="0" fillId="0" borderId="46" xfId="36" applyFont="1" applyBorder="1"/>
    <xf numFmtId="167" fontId="0" fillId="0" borderId="196" xfId="36" applyNumberFormat="1" applyFont="1" applyBorder="1" applyAlignment="1">
      <alignment horizontal="center"/>
    </xf>
    <xf numFmtId="167" fontId="0" fillId="0" borderId="151" xfId="36" applyNumberFormat="1" applyFont="1" applyBorder="1" applyAlignment="1">
      <alignment horizontal="center"/>
    </xf>
    <xf numFmtId="3" fontId="0" fillId="0" borderId="197" xfId="0" applyNumberFormat="1" applyBorder="1" applyAlignment="1">
      <alignment horizontal="center"/>
    </xf>
    <xf numFmtId="167" fontId="65" fillId="0" borderId="49" xfId="36" applyNumberFormat="1" applyFont="1" applyBorder="1" applyAlignment="1">
      <alignment horizontal="center"/>
    </xf>
    <xf numFmtId="0" fontId="0" fillId="0" borderId="6" xfId="36" applyFont="1" applyBorder="1" applyAlignment="1">
      <alignment horizontal="left"/>
    </xf>
    <xf numFmtId="167" fontId="3" fillId="0" borderId="49" xfId="36" applyNumberFormat="1" applyFont="1" applyBorder="1" applyAlignment="1">
      <alignment horizontal="center"/>
    </xf>
    <xf numFmtId="176" fontId="62" fillId="0" borderId="198" xfId="0" applyNumberFormat="1" applyFont="1" applyBorder="1" applyAlignment="1">
      <alignment horizontal="center"/>
    </xf>
    <xf numFmtId="0" fontId="0" fillId="0" borderId="26" xfId="36" applyFont="1" applyBorder="1" applyAlignment="1">
      <alignment horizontal="right"/>
    </xf>
    <xf numFmtId="0" fontId="0" fillId="0" borderId="51" xfId="36" applyFont="1" applyBorder="1" applyAlignment="1">
      <alignment horizontal="center"/>
    </xf>
    <xf numFmtId="177" fontId="0" fillId="0" borderId="153" xfId="36" applyNumberFormat="1" applyFont="1" applyBorder="1" applyAlignment="1">
      <alignment horizontal="center"/>
    </xf>
    <xf numFmtId="3" fontId="0" fillId="0" borderId="10" xfId="0" applyNumberFormat="1" applyBorder="1" applyAlignment="1">
      <alignment horizontal="center"/>
    </xf>
    <xf numFmtId="176" fontId="62" fillId="0" borderId="199" xfId="0" applyNumberFormat="1" applyFont="1" applyBorder="1" applyAlignment="1">
      <alignment horizontal="center"/>
    </xf>
    <xf numFmtId="3" fontId="44" fillId="0" borderId="0" xfId="0" applyNumberFormat="1" applyFont="1" applyAlignment="1">
      <alignment horizontal="center"/>
    </xf>
    <xf numFmtId="176" fontId="42" fillId="0" borderId="195" xfId="0" applyNumberFormat="1" applyFont="1" applyBorder="1" applyAlignment="1">
      <alignment horizontal="center"/>
    </xf>
    <xf numFmtId="0" fontId="0" fillId="8" borderId="200" xfId="0" applyFill="1" applyBorder="1" applyAlignment="1">
      <alignment horizontal="center"/>
    </xf>
    <xf numFmtId="0" fontId="3" fillId="8" borderId="185" xfId="36" applyFont="1" applyFill="1" applyBorder="1" applyAlignment="1">
      <alignment horizontal="centerContinuous"/>
    </xf>
    <xf numFmtId="0" fontId="0" fillId="8" borderId="194" xfId="36" applyFont="1" applyFill="1" applyBorder="1" applyAlignment="1">
      <alignment horizontal="centerContinuous"/>
    </xf>
    <xf numFmtId="0" fontId="0" fillId="8" borderId="11" xfId="36" applyFont="1" applyFill="1" applyBorder="1" applyAlignment="1">
      <alignment horizontal="center"/>
    </xf>
    <xf numFmtId="0" fontId="0" fillId="8" borderId="0" xfId="36" applyFont="1" applyFill="1" applyAlignment="1">
      <alignment horizontal="center"/>
    </xf>
    <xf numFmtId="0" fontId="0" fillId="8" borderId="17" xfId="36" applyFont="1" applyFill="1" applyBorder="1" applyAlignment="1">
      <alignment horizontal="center"/>
    </xf>
    <xf numFmtId="0" fontId="0" fillId="8" borderId="16" xfId="36" applyFont="1" applyFill="1" applyBorder="1" applyAlignment="1">
      <alignment horizontal="center"/>
    </xf>
    <xf numFmtId="167" fontId="3" fillId="0" borderId="113" xfId="36" applyNumberFormat="1" applyFont="1" applyBorder="1" applyAlignment="1">
      <alignment horizontal="center"/>
    </xf>
    <xf numFmtId="167" fontId="0" fillId="0" borderId="0" xfId="36" applyNumberFormat="1" applyFont="1" applyAlignment="1">
      <alignment horizontal="center"/>
    </xf>
    <xf numFmtId="167" fontId="0" fillId="0" borderId="175" xfId="36" applyNumberFormat="1" applyFont="1" applyBorder="1" applyAlignment="1">
      <alignment horizontal="center"/>
    </xf>
    <xf numFmtId="167" fontId="0" fillId="0" borderId="185" xfId="36" applyNumberFormat="1" applyFont="1" applyBorder="1" applyAlignment="1">
      <alignment horizontal="center"/>
    </xf>
    <xf numFmtId="10" fontId="0" fillId="0" borderId="151" xfId="36" applyNumberFormat="1" applyFont="1" applyBorder="1" applyAlignment="1">
      <alignment horizontal="center"/>
    </xf>
    <xf numFmtId="167" fontId="0" fillId="0" borderId="120" xfId="36" applyNumberFormat="1" applyFont="1" applyBorder="1" applyAlignment="1">
      <alignment horizontal="center"/>
    </xf>
    <xf numFmtId="167" fontId="0" fillId="0" borderId="111" xfId="36" applyNumberFormat="1" applyFont="1" applyBorder="1" applyAlignment="1">
      <alignment horizontal="center"/>
    </xf>
    <xf numFmtId="167" fontId="0" fillId="0" borderId="201" xfId="36" applyNumberFormat="1" applyFont="1" applyBorder="1" applyAlignment="1">
      <alignment horizontal="center"/>
    </xf>
    <xf numFmtId="167" fontId="0" fillId="0" borderId="86" xfId="36" applyNumberFormat="1" applyFont="1" applyBorder="1" applyAlignment="1">
      <alignment horizontal="center"/>
    </xf>
    <xf numFmtId="167" fontId="0" fillId="0" borderId="49" xfId="36" applyNumberFormat="1" applyFont="1" applyBorder="1" applyAlignment="1">
      <alignment horizontal="center"/>
    </xf>
    <xf numFmtId="10" fontId="0" fillId="0" borderId="113" xfId="36" applyNumberFormat="1" applyFont="1" applyBorder="1" applyAlignment="1">
      <alignment horizontal="center"/>
    </xf>
    <xf numFmtId="167" fontId="0" fillId="0" borderId="7" xfId="36" applyNumberFormat="1" applyFont="1" applyBorder="1" applyAlignment="1">
      <alignment horizontal="center"/>
    </xf>
    <xf numFmtId="167" fontId="3" fillId="0" borderId="30" xfId="36" applyNumberFormat="1" applyFont="1" applyBorder="1" applyAlignment="1">
      <alignment horizontal="center"/>
    </xf>
    <xf numFmtId="167" fontId="0" fillId="0" borderId="153" xfId="36" applyNumberFormat="1" applyFont="1" applyBorder="1" applyAlignment="1">
      <alignment horizontal="center"/>
    </xf>
    <xf numFmtId="167" fontId="0" fillId="0" borderId="28" xfId="36" applyNumberFormat="1" applyFont="1" applyBorder="1" applyAlignment="1">
      <alignment horizontal="center"/>
    </xf>
    <xf numFmtId="167" fontId="0" fillId="0" borderId="27" xfId="36" applyNumberFormat="1" applyFont="1" applyBorder="1" applyAlignment="1">
      <alignment horizontal="center"/>
    </xf>
    <xf numFmtId="167" fontId="0" fillId="0" borderId="106" xfId="36" applyNumberFormat="1" applyFont="1" applyBorder="1" applyAlignment="1">
      <alignment horizontal="center"/>
    </xf>
    <xf numFmtId="167" fontId="0" fillId="0" borderId="51" xfId="36" applyNumberFormat="1" applyFont="1" applyBorder="1" applyAlignment="1">
      <alignment horizontal="center"/>
    </xf>
    <xf numFmtId="167" fontId="3" fillId="0" borderId="7" xfId="36" applyNumberFormat="1" applyFont="1" applyBorder="1" applyAlignment="1">
      <alignment horizontal="center"/>
    </xf>
    <xf numFmtId="0" fontId="66" fillId="0" borderId="0" xfId="36" applyFont="1"/>
    <xf numFmtId="0" fontId="19" fillId="0" borderId="0" xfId="36" applyFont="1"/>
    <xf numFmtId="0" fontId="67" fillId="0" borderId="0" xfId="36" applyFont="1"/>
    <xf numFmtId="0" fontId="13" fillId="0" borderId="0" xfId="80" applyFont="1">
      <alignment vertical="center"/>
    </xf>
    <xf numFmtId="0" fontId="66" fillId="0" borderId="193" xfId="36" applyFont="1" applyBorder="1" applyAlignment="1">
      <alignment horizontal="center"/>
    </xf>
    <xf numFmtId="0" fontId="19" fillId="0" borderId="185" xfId="36" applyFont="1" applyBorder="1" applyAlignment="1">
      <alignment horizontal="center"/>
    </xf>
    <xf numFmtId="0" fontId="66" fillId="0" borderId="162" xfId="36" applyFont="1" applyBorder="1" applyAlignment="1">
      <alignment horizontal="center"/>
    </xf>
    <xf numFmtId="0" fontId="13" fillId="0" borderId="6" xfId="36" applyFont="1" applyBorder="1" applyAlignment="1">
      <alignment horizontal="center"/>
    </xf>
    <xf numFmtId="0" fontId="0" fillId="0" borderId="49" xfId="36" applyFont="1" applyBorder="1" applyAlignment="1">
      <alignment horizontal="center"/>
    </xf>
    <xf numFmtId="0" fontId="13" fillId="0" borderId="16" xfId="36" applyFont="1" applyBorder="1" applyAlignment="1">
      <alignment horizontal="center"/>
    </xf>
    <xf numFmtId="0" fontId="13" fillId="0" borderId="113" xfId="36" applyFont="1" applyBorder="1" applyAlignment="1">
      <alignment horizontal="center"/>
    </xf>
    <xf numFmtId="0" fontId="13" fillId="0" borderId="15" xfId="36" applyFont="1" applyBorder="1" applyAlignment="1">
      <alignment horizontal="center"/>
    </xf>
    <xf numFmtId="0" fontId="0" fillId="0" borderId="194" xfId="36" applyFont="1" applyBorder="1" applyAlignment="1">
      <alignment horizontal="center"/>
    </xf>
    <xf numFmtId="0" fontId="13" fillId="0" borderId="56" xfId="36" applyFont="1" applyBorder="1" applyAlignment="1">
      <alignment horizontal="center"/>
    </xf>
    <xf numFmtId="0" fontId="13" fillId="0" borderId="6" xfId="36" applyFont="1" applyBorder="1" applyAlignment="1">
      <alignment horizontal="left"/>
    </xf>
    <xf numFmtId="178" fontId="0" fillId="0" borderId="8" xfId="36" applyNumberFormat="1" applyFont="1" applyBorder="1" applyAlignment="1">
      <alignment horizontal="center"/>
    </xf>
    <xf numFmtId="178" fontId="13" fillId="0" borderId="113" xfId="36" applyNumberFormat="1" applyFont="1" applyBorder="1" applyAlignment="1">
      <alignment horizontal="center"/>
    </xf>
    <xf numFmtId="0" fontId="13" fillId="0" borderId="46" xfId="36" applyFont="1" applyBorder="1" applyAlignment="1">
      <alignment horizontal="left"/>
    </xf>
    <xf numFmtId="0" fontId="0" fillId="0" borderId="46" xfId="36" applyFont="1" applyBorder="1" applyAlignment="1">
      <alignment horizontal="center"/>
    </xf>
    <xf numFmtId="177" fontId="13" fillId="0" borderId="151" xfId="36" applyNumberFormat="1" applyFont="1" applyBorder="1" applyAlignment="1">
      <alignment horizontal="center"/>
    </xf>
    <xf numFmtId="178" fontId="0" fillId="0" borderId="6" xfId="36" applyNumberFormat="1" applyFont="1" applyBorder="1" applyAlignment="1">
      <alignment horizontal="center"/>
    </xf>
    <xf numFmtId="178" fontId="13" fillId="0" borderId="7" xfId="36" applyNumberFormat="1" applyFont="1" applyBorder="1" applyAlignment="1">
      <alignment horizontal="center"/>
    </xf>
    <xf numFmtId="3" fontId="0" fillId="0" borderId="6" xfId="36" applyNumberFormat="1" applyFont="1" applyBorder="1" applyAlignment="1">
      <alignment horizontal="center"/>
    </xf>
    <xf numFmtId="0" fontId="13" fillId="0" borderId="202" xfId="36" applyFont="1" applyBorder="1" applyAlignment="1">
      <alignment horizontal="left"/>
    </xf>
    <xf numFmtId="0" fontId="0" fillId="0" borderId="202" xfId="36" applyFont="1" applyBorder="1" applyAlignment="1">
      <alignment horizontal="center"/>
    </xf>
    <xf numFmtId="177" fontId="13" fillId="0" borderId="203" xfId="36" applyNumberFormat="1" applyFont="1" applyBorder="1" applyAlignment="1">
      <alignment horizontal="center"/>
    </xf>
    <xf numFmtId="177" fontId="13" fillId="0" borderId="204" xfId="36" applyNumberFormat="1" applyFont="1" applyBorder="1" applyAlignment="1">
      <alignment horizontal="center"/>
    </xf>
    <xf numFmtId="0" fontId="66" fillId="0" borderId="6" xfId="36" applyFont="1" applyBorder="1" applyAlignment="1">
      <alignment horizontal="center"/>
    </xf>
    <xf numFmtId="0" fontId="13" fillId="0" borderId="31" xfId="36" applyFont="1" applyBorder="1" applyAlignment="1">
      <alignment horizontal="center"/>
    </xf>
    <xf numFmtId="0" fontId="66" fillId="0" borderId="15" xfId="36" applyFont="1" applyBorder="1" applyAlignment="1">
      <alignment horizontal="center"/>
    </xf>
    <xf numFmtId="178" fontId="13" fillId="0" borderId="0" xfId="36" applyNumberFormat="1" applyFont="1" applyAlignment="1">
      <alignment horizontal="center"/>
    </xf>
    <xf numFmtId="178" fontId="13" fillId="0" borderId="6" xfId="36" applyNumberFormat="1" applyFont="1" applyBorder="1" applyAlignment="1">
      <alignment horizontal="center"/>
    </xf>
    <xf numFmtId="177" fontId="13" fillId="0" borderId="201" xfId="36" applyNumberFormat="1" applyFont="1" applyBorder="1" applyAlignment="1">
      <alignment horizontal="center"/>
    </xf>
    <xf numFmtId="177" fontId="13" fillId="0" borderId="202" xfId="36" applyNumberFormat="1" applyFont="1" applyBorder="1" applyAlignment="1">
      <alignment horizontal="center"/>
    </xf>
    <xf numFmtId="0" fontId="68" fillId="9" borderId="0" xfId="80" applyFont="1" applyFill="1" applyAlignment="1"/>
    <xf numFmtId="0" fontId="66" fillId="0" borderId="185" xfId="36" applyFont="1" applyBorder="1" applyAlignment="1">
      <alignment horizontal="center"/>
    </xf>
    <xf numFmtId="0" fontId="13" fillId="0" borderId="49" xfId="36" applyFont="1" applyBorder="1" applyAlignment="1">
      <alignment horizontal="center"/>
    </xf>
    <xf numFmtId="0" fontId="13" fillId="0" borderId="194" xfId="36" applyFont="1" applyBorder="1" applyAlignment="1">
      <alignment horizontal="center"/>
    </xf>
    <xf numFmtId="167" fontId="13" fillId="0" borderId="8" xfId="36" applyNumberFormat="1" applyFont="1" applyBorder="1" applyAlignment="1">
      <alignment horizontal="center"/>
    </xf>
    <xf numFmtId="167" fontId="13" fillId="0" borderId="113" xfId="36" applyNumberFormat="1" applyFont="1" applyBorder="1" applyAlignment="1">
      <alignment horizontal="center"/>
    </xf>
    <xf numFmtId="0" fontId="13" fillId="0" borderId="46" xfId="36" applyFont="1" applyBorder="1" applyAlignment="1">
      <alignment horizontal="center"/>
    </xf>
    <xf numFmtId="167" fontId="13" fillId="0" borderId="6" xfId="36" applyNumberFormat="1" applyFont="1" applyBorder="1" applyAlignment="1">
      <alignment horizontal="center"/>
    </xf>
    <xf numFmtId="0" fontId="13" fillId="0" borderId="151" xfId="36" applyFont="1" applyBorder="1" applyAlignment="1">
      <alignment horizontal="center"/>
    </xf>
    <xf numFmtId="167" fontId="13" fillId="0" borderId="7" xfId="36" applyNumberFormat="1" applyFont="1" applyBorder="1" applyAlignment="1">
      <alignment horizontal="center"/>
    </xf>
    <xf numFmtId="0" fontId="13" fillId="0" borderId="196" xfId="36" applyFont="1" applyBorder="1" applyAlignment="1">
      <alignment horizontal="center"/>
    </xf>
    <xf numFmtId="0" fontId="13" fillId="0" borderId="202" xfId="36" applyFont="1" applyBorder="1" applyAlignment="1">
      <alignment horizontal="center"/>
    </xf>
    <xf numFmtId="167" fontId="13" fillId="0" borderId="0" xfId="36" applyNumberFormat="1" applyFont="1" applyAlignment="1">
      <alignment horizontal="center"/>
    </xf>
    <xf numFmtId="177" fontId="13" fillId="0" borderId="111" xfId="36" applyNumberFormat="1" applyFont="1" applyBorder="1" applyAlignment="1">
      <alignment horizontal="center"/>
    </xf>
    <xf numFmtId="177" fontId="13" fillId="0" borderId="46" xfId="36" applyNumberFormat="1" applyFont="1" applyBorder="1" applyAlignment="1">
      <alignment horizontal="center"/>
    </xf>
    <xf numFmtId="177" fontId="13" fillId="0" borderId="205" xfId="36" applyNumberFormat="1" applyFont="1" applyBorder="1" applyAlignment="1">
      <alignment horizontal="center"/>
    </xf>
    <xf numFmtId="0" fontId="66" fillId="0" borderId="6" xfId="36" applyFont="1" applyBorder="1" applyAlignment="1">
      <alignment horizontal="left"/>
    </xf>
    <xf numFmtId="3" fontId="19" fillId="0" borderId="6" xfId="36" applyNumberFormat="1" applyFont="1" applyBorder="1" applyAlignment="1">
      <alignment horizontal="center"/>
    </xf>
    <xf numFmtId="178" fontId="66" fillId="0" borderId="113" xfId="36" applyNumberFormat="1" applyFont="1" applyBorder="1" applyAlignment="1">
      <alignment horizontal="center"/>
    </xf>
    <xf numFmtId="0" fontId="66" fillId="0" borderId="206" xfId="36" applyFont="1" applyBorder="1" applyAlignment="1">
      <alignment horizontal="left"/>
    </xf>
    <xf numFmtId="0" fontId="19" fillId="0" borderId="206" xfId="36" applyFont="1" applyBorder="1" applyAlignment="1">
      <alignment horizontal="center"/>
    </xf>
    <xf numFmtId="177" fontId="19" fillId="0" borderId="207" xfId="36" applyNumberFormat="1" applyFont="1" applyBorder="1" applyAlignment="1">
      <alignment horizontal="center"/>
    </xf>
    <xf numFmtId="0" fontId="13" fillId="0" borderId="15" xfId="36" applyFont="1" applyBorder="1" applyAlignment="1">
      <alignment horizontal="left"/>
    </xf>
    <xf numFmtId="177" fontId="13" fillId="0" borderId="56" xfId="36" applyNumberFormat="1" applyFont="1" applyBorder="1" applyAlignment="1">
      <alignment horizontal="center"/>
    </xf>
    <xf numFmtId="3" fontId="19" fillId="0" borderId="8" xfId="36" applyNumberFormat="1" applyFont="1" applyBorder="1" applyAlignment="1">
      <alignment horizontal="center"/>
    </xf>
    <xf numFmtId="3" fontId="66" fillId="0" borderId="113" xfId="37" applyNumberFormat="1" applyFont="1" applyBorder="1" applyAlignment="1">
      <alignment horizontal="center"/>
    </xf>
    <xf numFmtId="3" fontId="66" fillId="0" borderId="7" xfId="37" applyNumberFormat="1" applyFont="1" applyBorder="1" applyAlignment="1">
      <alignment horizontal="center"/>
    </xf>
    <xf numFmtId="0" fontId="66" fillId="0" borderId="26" xfId="36" applyFont="1" applyBorder="1" applyAlignment="1">
      <alignment horizontal="left"/>
    </xf>
    <xf numFmtId="0" fontId="66" fillId="0" borderId="51" xfId="36" applyFont="1" applyBorder="1" applyAlignment="1">
      <alignment horizontal="center"/>
    </xf>
    <xf numFmtId="177" fontId="66" fillId="0" borderId="153" xfId="36" applyNumberFormat="1" applyFont="1" applyBorder="1" applyAlignment="1">
      <alignment horizontal="center"/>
    </xf>
    <xf numFmtId="178" fontId="66" fillId="0" borderId="0" xfId="36" applyNumberFormat="1" applyFont="1" applyAlignment="1">
      <alignment horizontal="center"/>
    </xf>
    <xf numFmtId="178" fontId="66" fillId="0" borderId="6" xfId="36" applyNumberFormat="1" applyFont="1" applyBorder="1" applyAlignment="1">
      <alignment horizontal="center"/>
    </xf>
    <xf numFmtId="177" fontId="19" fillId="0" borderId="208" xfId="36" applyNumberFormat="1" applyFont="1" applyBorder="1" applyAlignment="1">
      <alignment horizontal="center"/>
    </xf>
    <xf numFmtId="177" fontId="19" fillId="0" borderId="206" xfId="36" applyNumberFormat="1" applyFont="1" applyBorder="1" applyAlignment="1">
      <alignment horizontal="center"/>
    </xf>
    <xf numFmtId="178" fontId="13" fillId="0" borderId="30" xfId="36" applyNumberFormat="1" applyFont="1" applyBorder="1" applyAlignment="1">
      <alignment horizontal="center"/>
    </xf>
    <xf numFmtId="178" fontId="13" fillId="0" borderId="209" xfId="36" applyNumberFormat="1" applyFont="1" applyBorder="1" applyAlignment="1">
      <alignment horizontal="center"/>
    </xf>
    <xf numFmtId="177" fontId="13" fillId="0" borderId="48" xfId="36" applyNumberFormat="1" applyFont="1" applyBorder="1" applyAlignment="1">
      <alignment horizontal="center"/>
    </xf>
    <xf numFmtId="177" fontId="13" fillId="0" borderId="15" xfId="36" applyNumberFormat="1" applyFont="1" applyBorder="1" applyAlignment="1">
      <alignment horizontal="center"/>
    </xf>
    <xf numFmtId="3" fontId="66" fillId="0" borderId="30" xfId="37" applyNumberFormat="1" applyFont="1" applyBorder="1" applyAlignment="1">
      <alignment horizontal="center"/>
    </xf>
    <xf numFmtId="3" fontId="66" fillId="0" borderId="6" xfId="37" applyNumberFormat="1" applyFont="1" applyBorder="1" applyAlignment="1">
      <alignment horizontal="center"/>
    </xf>
    <xf numFmtId="177" fontId="66" fillId="0" borderId="27" xfId="36" applyNumberFormat="1" applyFont="1" applyBorder="1" applyAlignment="1">
      <alignment horizontal="center"/>
    </xf>
    <xf numFmtId="177" fontId="66" fillId="0" borderId="26" xfId="36" applyNumberFormat="1" applyFont="1" applyBorder="1" applyAlignment="1">
      <alignment horizontal="center"/>
    </xf>
    <xf numFmtId="177" fontId="66" fillId="0" borderId="0" xfId="36" applyNumberFormat="1" applyFont="1" applyAlignment="1">
      <alignment horizontal="center"/>
    </xf>
    <xf numFmtId="177" fontId="13" fillId="0" borderId="210" xfId="36" applyNumberFormat="1" applyFont="1" applyBorder="1" applyAlignment="1">
      <alignment horizontal="center"/>
    </xf>
    <xf numFmtId="167" fontId="66" fillId="0" borderId="6" xfId="36" applyNumberFormat="1" applyFont="1" applyBorder="1" applyAlignment="1">
      <alignment horizontal="center"/>
    </xf>
    <xf numFmtId="167" fontId="66" fillId="0" borderId="113" xfId="36" applyNumberFormat="1" applyFont="1" applyBorder="1" applyAlignment="1">
      <alignment horizontal="center"/>
    </xf>
    <xf numFmtId="0" fontId="66" fillId="0" borderId="206" xfId="36" applyFont="1" applyBorder="1" applyAlignment="1">
      <alignment horizontal="center"/>
    </xf>
    <xf numFmtId="177" fontId="66" fillId="0" borderId="207" xfId="36" applyNumberFormat="1" applyFont="1" applyBorder="1" applyAlignment="1">
      <alignment horizontal="center"/>
    </xf>
    <xf numFmtId="167" fontId="66" fillId="0" borderId="8" xfId="36" applyNumberFormat="1" applyFont="1" applyBorder="1" applyAlignment="1">
      <alignment horizontal="center"/>
    </xf>
    <xf numFmtId="167" fontId="66" fillId="0" borderId="113" xfId="37" applyNumberFormat="1" applyFont="1" applyBorder="1" applyAlignment="1">
      <alignment horizontal="center"/>
    </xf>
    <xf numFmtId="167" fontId="66" fillId="0" borderId="7" xfId="37" applyNumberFormat="1" applyFont="1" applyBorder="1" applyAlignment="1">
      <alignment horizontal="center"/>
    </xf>
    <xf numFmtId="167" fontId="0" fillId="0" borderId="8" xfId="36" applyNumberFormat="1" applyFont="1" applyBorder="1" applyAlignment="1">
      <alignment horizontal="center"/>
    </xf>
    <xf numFmtId="178" fontId="0" fillId="0" borderId="113" xfId="36" applyNumberFormat="1" applyFont="1" applyBorder="1" applyAlignment="1">
      <alignment horizontal="center"/>
    </xf>
    <xf numFmtId="0" fontId="69" fillId="0" borderId="6" xfId="36" applyFont="1" applyBorder="1" applyAlignment="1">
      <alignment horizontal="center"/>
    </xf>
    <xf numFmtId="177" fontId="69" fillId="0" borderId="151" xfId="36" applyNumberFormat="1" applyFont="1" applyBorder="1" applyAlignment="1">
      <alignment horizontal="center"/>
    </xf>
    <xf numFmtId="167" fontId="0" fillId="0" borderId="23" xfId="36" applyNumberFormat="1" applyFont="1" applyBorder="1" applyAlignment="1">
      <alignment horizontal="center"/>
    </xf>
    <xf numFmtId="0" fontId="69" fillId="0" borderId="151" xfId="36" applyFont="1" applyBorder="1" applyAlignment="1">
      <alignment horizontal="center"/>
    </xf>
    <xf numFmtId="0" fontId="69" fillId="0" borderId="49" xfId="36" applyFont="1" applyBorder="1" applyAlignment="1">
      <alignment horizontal="center"/>
    </xf>
    <xf numFmtId="177" fontId="69" fillId="0" borderId="120" xfId="36" applyNumberFormat="1" applyFont="1" applyBorder="1" applyAlignment="1">
      <alignment horizontal="center"/>
    </xf>
    <xf numFmtId="0" fontId="69" fillId="0" borderId="202" xfId="36" applyFont="1" applyBorder="1" applyAlignment="1">
      <alignment horizontal="center"/>
    </xf>
    <xf numFmtId="177" fontId="69" fillId="0" borderId="204" xfId="36" applyNumberFormat="1" applyFont="1" applyBorder="1" applyAlignment="1">
      <alignment horizontal="center"/>
    </xf>
    <xf numFmtId="167" fontId="67" fillId="0" borderId="6" xfId="36" applyNumberFormat="1" applyFont="1" applyBorder="1" applyAlignment="1">
      <alignment horizontal="center"/>
    </xf>
    <xf numFmtId="167" fontId="67" fillId="0" borderId="113" xfId="36" applyNumberFormat="1" applyFont="1" applyBorder="1" applyAlignment="1">
      <alignment horizontal="center"/>
    </xf>
    <xf numFmtId="0" fontId="67" fillId="0" borderId="206" xfId="36" applyFont="1" applyBorder="1" applyAlignment="1">
      <alignment horizontal="center"/>
    </xf>
    <xf numFmtId="177" fontId="67" fillId="0" borderId="207" xfId="36" applyNumberFormat="1" applyFont="1" applyBorder="1" applyAlignment="1">
      <alignment horizontal="center"/>
    </xf>
    <xf numFmtId="167" fontId="69" fillId="0" borderId="6" xfId="36" applyNumberFormat="1" applyFont="1" applyBorder="1" applyAlignment="1">
      <alignment horizontal="center"/>
    </xf>
    <xf numFmtId="167" fontId="69" fillId="0" borderId="113" xfId="36" applyNumberFormat="1" applyFont="1" applyBorder="1" applyAlignment="1">
      <alignment horizontal="center"/>
    </xf>
    <xf numFmtId="0" fontId="69" fillId="0" borderId="194" xfId="36" applyFont="1" applyBorder="1" applyAlignment="1">
      <alignment horizontal="center"/>
    </xf>
    <xf numFmtId="177" fontId="69" fillId="0" borderId="56" xfId="36" applyNumberFormat="1" applyFont="1" applyBorder="1" applyAlignment="1">
      <alignment horizontal="center"/>
    </xf>
    <xf numFmtId="167" fontId="67" fillId="0" borderId="8" xfId="36" applyNumberFormat="1" applyFont="1" applyBorder="1" applyAlignment="1">
      <alignment horizontal="center"/>
    </xf>
    <xf numFmtId="167" fontId="67" fillId="0" borderId="113" xfId="37" applyNumberFormat="1" applyFont="1" applyBorder="1" applyAlignment="1">
      <alignment horizontal="center"/>
    </xf>
    <xf numFmtId="167" fontId="67" fillId="0" borderId="7" xfId="37" applyNumberFormat="1" applyFont="1" applyBorder="1" applyAlignment="1">
      <alignment horizontal="center"/>
    </xf>
    <xf numFmtId="167" fontId="66" fillId="0" borderId="0" xfId="36" applyNumberFormat="1" applyFont="1" applyAlignment="1">
      <alignment horizontal="center"/>
    </xf>
    <xf numFmtId="177" fontId="66" fillId="0" borderId="208" xfId="36" applyNumberFormat="1" applyFont="1" applyBorder="1" applyAlignment="1">
      <alignment horizontal="center"/>
    </xf>
    <xf numFmtId="177" fontId="66" fillId="0" borderId="206" xfId="36" applyNumberFormat="1" applyFont="1" applyBorder="1" applyAlignment="1">
      <alignment horizontal="center"/>
    </xf>
    <xf numFmtId="167" fontId="66" fillId="0" borderId="30" xfId="37" applyNumberFormat="1" applyFont="1" applyBorder="1" applyAlignment="1">
      <alignment horizontal="center"/>
    </xf>
    <xf numFmtId="167" fontId="66" fillId="0" borderId="6" xfId="37" applyNumberFormat="1" applyFont="1" applyBorder="1" applyAlignment="1">
      <alignment horizontal="center"/>
    </xf>
    <xf numFmtId="167" fontId="0" fillId="0" borderId="6" xfId="36" applyNumberFormat="1" applyFont="1" applyBorder="1" applyAlignment="1">
      <alignment horizontal="center"/>
    </xf>
    <xf numFmtId="177" fontId="0" fillId="0" borderId="111" xfId="36" applyNumberFormat="1" applyFont="1" applyBorder="1" applyAlignment="1">
      <alignment horizontal="center"/>
    </xf>
    <xf numFmtId="177" fontId="69" fillId="0" borderId="46" xfId="36" applyNumberFormat="1" applyFont="1" applyBorder="1" applyAlignment="1">
      <alignment horizontal="center"/>
    </xf>
    <xf numFmtId="177" fontId="69" fillId="0" borderId="111" xfId="36" applyNumberFormat="1" applyFont="1" applyBorder="1" applyAlignment="1">
      <alignment horizontal="center"/>
    </xf>
    <xf numFmtId="177" fontId="69" fillId="0" borderId="205" xfId="36" applyNumberFormat="1" applyFont="1" applyBorder="1" applyAlignment="1">
      <alignment horizontal="center"/>
    </xf>
    <xf numFmtId="177" fontId="69" fillId="0" borderId="202" xfId="36" applyNumberFormat="1" applyFont="1" applyBorder="1" applyAlignment="1">
      <alignment horizontal="center"/>
    </xf>
    <xf numFmtId="167" fontId="67" fillId="0" borderId="0" xfId="36" applyNumberFormat="1" applyFont="1" applyAlignment="1">
      <alignment horizontal="center"/>
    </xf>
    <xf numFmtId="177" fontId="67" fillId="0" borderId="208" xfId="36" applyNumberFormat="1" applyFont="1" applyBorder="1" applyAlignment="1">
      <alignment horizontal="center"/>
    </xf>
    <xf numFmtId="177" fontId="67" fillId="0" borderId="206" xfId="36" applyNumberFormat="1" applyFont="1" applyBorder="1" applyAlignment="1">
      <alignment horizontal="center"/>
    </xf>
    <xf numFmtId="178" fontId="69" fillId="0" borderId="7" xfId="36" applyNumberFormat="1" applyFont="1" applyBorder="1" applyAlignment="1">
      <alignment horizontal="center"/>
    </xf>
    <xf numFmtId="177" fontId="69" fillId="0" borderId="48" xfId="36" applyNumberFormat="1" applyFont="1" applyBorder="1" applyAlignment="1">
      <alignment horizontal="center"/>
    </xf>
    <xf numFmtId="177" fontId="69" fillId="0" borderId="15" xfId="36" applyNumberFormat="1" applyFont="1" applyBorder="1" applyAlignment="1">
      <alignment horizontal="center"/>
    </xf>
    <xf numFmtId="167" fontId="67" fillId="0" borderId="30" xfId="37" applyNumberFormat="1" applyFont="1" applyBorder="1" applyAlignment="1">
      <alignment horizontal="center"/>
    </xf>
    <xf numFmtId="167" fontId="67" fillId="0" borderId="6" xfId="37" applyNumberFormat="1" applyFont="1" applyBorder="1" applyAlignment="1">
      <alignment horizontal="center"/>
    </xf>
    <xf numFmtId="0" fontId="19" fillId="0" borderId="51" xfId="36" applyFont="1" applyBorder="1" applyAlignment="1">
      <alignment horizontal="center"/>
    </xf>
    <xf numFmtId="0" fontId="68" fillId="9" borderId="0" xfId="30" applyFont="1" applyFill="1">
      <alignment vertical="center"/>
    </xf>
    <xf numFmtId="177" fontId="13" fillId="0" borderId="120" xfId="36" applyNumberFormat="1" applyFont="1" applyBorder="1" applyAlignment="1">
      <alignment horizontal="center"/>
    </xf>
    <xf numFmtId="0" fontId="0" fillId="0" borderId="196" xfId="36" applyFont="1" applyBorder="1" applyAlignment="1">
      <alignment horizontal="center"/>
    </xf>
    <xf numFmtId="0" fontId="0" fillId="0" borderId="211" xfId="36" applyFont="1" applyBorder="1" applyAlignment="1">
      <alignment horizontal="center"/>
    </xf>
    <xf numFmtId="3" fontId="19" fillId="0" borderId="212" xfId="36" applyNumberFormat="1" applyFont="1" applyBorder="1" applyAlignment="1">
      <alignment horizontal="center"/>
    </xf>
    <xf numFmtId="0" fontId="66" fillId="0" borderId="0" xfId="36" applyFont="1" applyAlignment="1">
      <alignment horizontal="center"/>
    </xf>
    <xf numFmtId="0" fontId="13" fillId="0" borderId="0" xfId="36" applyFont="1" applyAlignment="1">
      <alignment horizontal="center"/>
    </xf>
    <xf numFmtId="177" fontId="13" fillId="0" borderId="0" xfId="36" applyNumberFormat="1" applyFont="1" applyAlignment="1">
      <alignment horizontal="center"/>
    </xf>
    <xf numFmtId="3" fontId="66" fillId="0" borderId="0" xfId="37" applyNumberFormat="1" applyFont="1" applyAlignment="1">
      <alignment horizontal="center"/>
    </xf>
    <xf numFmtId="0" fontId="64" fillId="0" borderId="31" xfId="0" applyFont="1" applyBorder="1"/>
    <xf numFmtId="0" fontId="0" fillId="0" borderId="213" xfId="0" applyBorder="1"/>
    <xf numFmtId="0" fontId="64" fillId="0" borderId="30" xfId="0" applyFont="1" applyBorder="1"/>
    <xf numFmtId="0" fontId="0" fillId="0" borderId="214" xfId="0" applyBorder="1"/>
    <xf numFmtId="0" fontId="0" fillId="0" borderId="215" xfId="0" applyBorder="1"/>
    <xf numFmtId="0" fontId="64" fillId="0" borderId="33" xfId="0" applyFont="1" applyBorder="1"/>
    <xf numFmtId="0" fontId="0" fillId="0" borderId="56" xfId="0" applyBorder="1"/>
    <xf numFmtId="0" fontId="64" fillId="0" borderId="11" xfId="0" applyFont="1" applyBorder="1"/>
    <xf numFmtId="0" fontId="64" fillId="0" borderId="156" xfId="0" applyFont="1" applyBorder="1"/>
    <xf numFmtId="0" fontId="64" fillId="0" borderId="112" xfId="0" applyFont="1" applyBorder="1"/>
    <xf numFmtId="3" fontId="13" fillId="0" borderId="156" xfId="0" applyNumberFormat="1" applyFont="1" applyBorder="1"/>
    <xf numFmtId="166" fontId="0" fillId="0" borderId="11" xfId="0" applyNumberFormat="1" applyBorder="1"/>
    <xf numFmtId="3" fontId="13" fillId="0" borderId="112" xfId="0" applyNumberFormat="1" applyFont="1" applyBorder="1"/>
    <xf numFmtId="166" fontId="0" fillId="0" borderId="7" xfId="0" applyNumberFormat="1" applyBorder="1"/>
    <xf numFmtId="3" fontId="13" fillId="0" borderId="160" xfId="0" applyNumberFormat="1" applyFont="1" applyBorder="1"/>
    <xf numFmtId="166" fontId="13" fillId="0" borderId="53" xfId="0" applyNumberFormat="1" applyFont="1" applyBorder="1"/>
    <xf numFmtId="3" fontId="13" fillId="0" borderId="0" xfId="0" applyNumberFormat="1" applyFont="1"/>
    <xf numFmtId="0" fontId="64" fillId="0" borderId="160" xfId="0" applyFont="1" applyBorder="1"/>
    <xf numFmtId="0" fontId="64" fillId="0" borderId="17" xfId="0" applyFont="1" applyBorder="1"/>
    <xf numFmtId="0" fontId="0" fillId="0" borderId="31" xfId="0" applyBorder="1"/>
    <xf numFmtId="0" fontId="0" fillId="0" borderId="216" xfId="0" applyBorder="1"/>
    <xf numFmtId="0" fontId="0" fillId="0" borderId="217" xfId="0" applyBorder="1"/>
    <xf numFmtId="0" fontId="0" fillId="0" borderId="218" xfId="0" applyBorder="1"/>
    <xf numFmtId="172" fontId="0" fillId="0" borderId="0" xfId="0" applyNumberFormat="1"/>
    <xf numFmtId="166" fontId="0" fillId="0" borderId="17" xfId="0" applyNumberFormat="1" applyBorder="1"/>
    <xf numFmtId="172" fontId="13" fillId="0" borderId="0" xfId="0" applyNumberFormat="1" applyFont="1"/>
    <xf numFmtId="0" fontId="0" fillId="0" borderId="10" xfId="0" applyBorder="1"/>
    <xf numFmtId="3" fontId="0" fillId="0" borderId="10" xfId="0" applyNumberFormat="1" applyBorder="1"/>
    <xf numFmtId="0" fontId="0" fillId="0" borderId="30" xfId="0" applyBorder="1"/>
    <xf numFmtId="0" fontId="0" fillId="0" borderId="219" xfId="0" applyBorder="1"/>
    <xf numFmtId="3" fontId="0" fillId="0" borderId="219" xfId="0" applyNumberFormat="1" applyBorder="1"/>
    <xf numFmtId="0" fontId="0" fillId="0" borderId="220" xfId="0" applyBorder="1"/>
    <xf numFmtId="3" fontId="0" fillId="0" borderId="220" xfId="0" applyNumberFormat="1" applyBorder="1"/>
    <xf numFmtId="0" fontId="0" fillId="0" borderId="16" xfId="0" applyBorder="1"/>
    <xf numFmtId="3" fontId="0" fillId="0" borderId="16" xfId="0" applyNumberFormat="1" applyBorder="1"/>
    <xf numFmtId="0" fontId="0" fillId="0" borderId="59" xfId="0" applyBorder="1"/>
    <xf numFmtId="3" fontId="0" fillId="0" borderId="59" xfId="0" applyNumberFormat="1" applyBorder="1"/>
    <xf numFmtId="0" fontId="13" fillId="0" borderId="57" xfId="0" applyFont="1" applyBorder="1"/>
    <xf numFmtId="3" fontId="0" fillId="0" borderId="221" xfId="0" applyNumberFormat="1" applyBorder="1"/>
    <xf numFmtId="3" fontId="13" fillId="0" borderId="113" xfId="0" applyNumberFormat="1" applyFont="1" applyBorder="1"/>
    <xf numFmtId="3" fontId="13" fillId="0" borderId="158" xfId="0" applyNumberFormat="1" applyFont="1" applyBorder="1"/>
    <xf numFmtId="3" fontId="13" fillId="0" borderId="10" xfId="0" applyNumberFormat="1" applyFont="1" applyBorder="1"/>
    <xf numFmtId="3" fontId="13" fillId="0" borderId="57" xfId="0" applyNumberFormat="1" applyFont="1" applyBorder="1"/>
    <xf numFmtId="3" fontId="13" fillId="0" borderId="220" xfId="0" applyNumberFormat="1" applyFont="1" applyBorder="1"/>
    <xf numFmtId="3" fontId="13" fillId="0" borderId="16" xfId="0" applyNumberFormat="1" applyFont="1" applyBorder="1"/>
    <xf numFmtId="3" fontId="13" fillId="0" borderId="54" xfId="0" applyNumberFormat="1" applyFont="1" applyBorder="1"/>
    <xf numFmtId="166" fontId="13" fillId="0" borderId="158" xfId="0" applyNumberFormat="1" applyFont="1" applyBorder="1"/>
    <xf numFmtId="0" fontId="0" fillId="0" borderId="222" xfId="0" applyBorder="1"/>
    <xf numFmtId="0" fontId="0" fillId="0" borderId="223" xfId="0" applyBorder="1"/>
    <xf numFmtId="3" fontId="0" fillId="0" borderId="224" xfId="0" applyNumberFormat="1" applyBorder="1"/>
    <xf numFmtId="0" fontId="0" fillId="0" borderId="225" xfId="0" applyBorder="1"/>
    <xf numFmtId="0" fontId="0" fillId="0" borderId="226" xfId="0" applyBorder="1"/>
    <xf numFmtId="3" fontId="0" fillId="0" borderId="227" xfId="0" applyNumberFormat="1" applyBorder="1"/>
    <xf numFmtId="0" fontId="0" fillId="0" borderId="228" xfId="0" applyBorder="1"/>
    <xf numFmtId="0" fontId="0" fillId="0" borderId="158" xfId="0" applyBorder="1"/>
    <xf numFmtId="0" fontId="0" fillId="0" borderId="55" xfId="0" applyBorder="1"/>
    <xf numFmtId="0" fontId="0" fillId="0" borderId="54" xfId="0" applyBorder="1"/>
    <xf numFmtId="3" fontId="51" fillId="0" borderId="0" xfId="0" applyNumberFormat="1" applyFont="1"/>
    <xf numFmtId="0" fontId="0" fillId="0" borderId="0" xfId="0" applyAlignment="1">
      <alignment horizontal="left"/>
    </xf>
    <xf numFmtId="3" fontId="0" fillId="0" borderId="53" xfId="0" applyNumberFormat="1" applyBorder="1"/>
    <xf numFmtId="3" fontId="0" fillId="0" borderId="57" xfId="0" applyNumberFormat="1" applyBorder="1"/>
    <xf numFmtId="3" fontId="0" fillId="0" borderId="214" xfId="0" applyNumberFormat="1" applyBorder="1"/>
    <xf numFmtId="3" fontId="0" fillId="0" borderId="229" xfId="0" applyNumberFormat="1" applyBorder="1"/>
    <xf numFmtId="3" fontId="0" fillId="0" borderId="113" xfId="0" applyNumberFormat="1" applyBorder="1"/>
    <xf numFmtId="3" fontId="0" fillId="0" borderId="56" xfId="0" applyNumberFormat="1" applyBorder="1"/>
    <xf numFmtId="166" fontId="0" fillId="0" borderId="118" xfId="0" applyNumberFormat="1" applyBorder="1"/>
    <xf numFmtId="3" fontId="13" fillId="0" borderId="7" xfId="0" applyNumberFormat="1" applyFont="1" applyBorder="1" applyAlignment="1">
      <alignment horizontal="right"/>
    </xf>
    <xf numFmtId="166" fontId="0" fillId="0" borderId="7" xfId="0" applyNumberFormat="1" applyBorder="1" applyAlignment="1">
      <alignment horizontal="right"/>
    </xf>
    <xf numFmtId="3" fontId="13" fillId="0" borderId="118" xfId="0" applyNumberFormat="1" applyFont="1" applyBorder="1" applyAlignment="1">
      <alignment horizontal="right"/>
    </xf>
    <xf numFmtId="3" fontId="0" fillId="0" borderId="54" xfId="0" applyNumberFormat="1" applyBorder="1"/>
    <xf numFmtId="3" fontId="13" fillId="0" borderId="53" xfId="0" applyNumberFormat="1" applyFont="1" applyBorder="1" applyAlignment="1">
      <alignment horizontal="right"/>
    </xf>
    <xf numFmtId="166" fontId="0" fillId="0" borderId="53" xfId="0" applyNumberFormat="1" applyBorder="1"/>
    <xf numFmtId="3" fontId="13" fillId="0" borderId="11" xfId="0" applyNumberFormat="1" applyFont="1" applyBorder="1" applyAlignment="1">
      <alignment horizontal="right"/>
    </xf>
    <xf numFmtId="3" fontId="69" fillId="0" borderId="0" xfId="0" applyNumberFormat="1" applyFont="1"/>
    <xf numFmtId="166" fontId="0" fillId="0" borderId="19" xfId="0" applyNumberFormat="1" applyBorder="1"/>
    <xf numFmtId="166" fontId="0" fillId="0" borderId="14" xfId="0" applyNumberFormat="1" applyBorder="1"/>
    <xf numFmtId="166" fontId="0" fillId="0" borderId="22" xfId="0" applyNumberFormat="1" applyBorder="1"/>
    <xf numFmtId="3" fontId="69" fillId="0" borderId="0" xfId="0" applyNumberFormat="1" applyFont="1" applyAlignment="1">
      <alignment horizontal="right"/>
    </xf>
    <xf numFmtId="3" fontId="0" fillId="10" borderId="156" xfId="0" applyNumberFormat="1" applyFill="1" applyBorder="1"/>
    <xf numFmtId="3" fontId="0" fillId="10" borderId="112" xfId="0" applyNumberFormat="1" applyFill="1" applyBorder="1"/>
    <xf numFmtId="3" fontId="0" fillId="10" borderId="160" xfId="0" applyNumberFormat="1" applyFill="1" applyBorder="1"/>
    <xf numFmtId="0" fontId="0" fillId="10" borderId="156" xfId="0" applyFill="1" applyBorder="1"/>
    <xf numFmtId="0" fontId="0" fillId="10" borderId="112" xfId="0" applyFill="1" applyBorder="1"/>
    <xf numFmtId="0" fontId="0" fillId="10" borderId="160" xfId="0" applyFill="1" applyBorder="1"/>
    <xf numFmtId="0" fontId="0" fillId="10" borderId="17" xfId="0" applyFill="1" applyBorder="1"/>
    <xf numFmtId="0" fontId="0" fillId="0" borderId="230" xfId="0" applyBorder="1"/>
    <xf numFmtId="0" fontId="0" fillId="10" borderId="231" xfId="0" applyFill="1" applyBorder="1"/>
    <xf numFmtId="0" fontId="0" fillId="0" borderId="232" xfId="0" applyBorder="1"/>
    <xf numFmtId="0" fontId="0" fillId="10" borderId="114" xfId="0" applyFill="1" applyBorder="1"/>
    <xf numFmtId="9" fontId="0" fillId="0" borderId="231" xfId="2" applyFont="1" applyBorder="1"/>
    <xf numFmtId="1" fontId="13" fillId="0" borderId="0" xfId="0" applyNumberFormat="1" applyFont="1"/>
    <xf numFmtId="0" fontId="48" fillId="0" borderId="233" xfId="0" applyFont="1" applyBorder="1"/>
    <xf numFmtId="0" fontId="0" fillId="0" borderId="234" xfId="0" applyBorder="1"/>
    <xf numFmtId="0" fontId="48" fillId="0" borderId="235" xfId="0" applyFont="1" applyBorder="1"/>
    <xf numFmtId="0" fontId="0" fillId="0" borderId="236" xfId="0" applyBorder="1"/>
    <xf numFmtId="0" fontId="0" fillId="0" borderId="237" xfId="0" applyBorder="1"/>
    <xf numFmtId="0" fontId="0" fillId="0" borderId="238" xfId="0" applyBorder="1"/>
    <xf numFmtId="9" fontId="0" fillId="0" borderId="239" xfId="2" applyFont="1" applyBorder="1"/>
    <xf numFmtId="9" fontId="0" fillId="0" borderId="240" xfId="2" applyFont="1" applyBorder="1"/>
    <xf numFmtId="0" fontId="0" fillId="0" borderId="241" xfId="0" applyBorder="1"/>
    <xf numFmtId="0" fontId="0" fillId="0" borderId="242" xfId="0" applyBorder="1"/>
    <xf numFmtId="0" fontId="0" fillId="0" borderId="243" xfId="0" applyBorder="1"/>
    <xf numFmtId="9" fontId="0" fillId="0" borderId="56" xfId="2" applyFont="1" applyBorder="1"/>
    <xf numFmtId="0" fontId="0" fillId="0" borderId="244" xfId="0" applyBorder="1"/>
    <xf numFmtId="0" fontId="0" fillId="0" borderId="245" xfId="0" applyBorder="1"/>
    <xf numFmtId="0" fontId="0" fillId="0" borderId="246" xfId="0" applyBorder="1"/>
    <xf numFmtId="0" fontId="0" fillId="0" borderId="247" xfId="0" applyBorder="1"/>
    <xf numFmtId="0" fontId="0" fillId="0" borderId="248" xfId="0" applyBorder="1"/>
    <xf numFmtId="0" fontId="0" fillId="0" borderId="249" xfId="0" applyBorder="1"/>
    <xf numFmtId="0" fontId="0" fillId="0" borderId="250" xfId="0" applyBorder="1"/>
    <xf numFmtId="0" fontId="0" fillId="0" borderId="251" xfId="0" applyBorder="1"/>
    <xf numFmtId="0" fontId="0" fillId="0" borderId="252" xfId="0" applyBorder="1"/>
    <xf numFmtId="0" fontId="0" fillId="0" borderId="253" xfId="0" applyBorder="1"/>
    <xf numFmtId="0" fontId="0" fillId="0" borderId="254" xfId="0" applyBorder="1"/>
    <xf numFmtId="3" fontId="0" fillId="0" borderId="254" xfId="0" applyNumberFormat="1" applyBorder="1"/>
    <xf numFmtId="0" fontId="49" fillId="0" borderId="7" xfId="0" applyFont="1" applyBorder="1"/>
    <xf numFmtId="0" fontId="0" fillId="0" borderId="255" xfId="0" applyBorder="1"/>
    <xf numFmtId="3" fontId="0" fillId="0" borderId="256" xfId="0" applyNumberFormat="1" applyBorder="1"/>
    <xf numFmtId="0" fontId="13" fillId="0" borderId="17" xfId="0" applyFont="1" applyBorder="1"/>
    <xf numFmtId="3" fontId="0" fillId="0" borderId="215" xfId="0" applyNumberFormat="1" applyBorder="1"/>
    <xf numFmtId="3" fontId="51" fillId="0" borderId="215" xfId="0" applyNumberFormat="1" applyFont="1" applyBorder="1"/>
    <xf numFmtId="3" fontId="51" fillId="0" borderId="113" xfId="0" applyNumberFormat="1" applyFont="1" applyBorder="1"/>
    <xf numFmtId="169" fontId="49" fillId="0" borderId="7" xfId="0" applyNumberFormat="1" applyFont="1" applyBorder="1"/>
    <xf numFmtId="3" fontId="51" fillId="0" borderId="56" xfId="0" applyNumberFormat="1" applyFont="1" applyBorder="1"/>
    <xf numFmtId="0" fontId="0" fillId="0" borderId="257" xfId="0" applyBorder="1"/>
    <xf numFmtId="0" fontId="0" fillId="0" borderId="258" xfId="0" applyBorder="1"/>
    <xf numFmtId="0" fontId="0" fillId="0" borderId="259" xfId="0" applyBorder="1"/>
    <xf numFmtId="0" fontId="0" fillId="0" borderId="260" xfId="0" applyBorder="1"/>
    <xf numFmtId="0" fontId="0" fillId="0" borderId="261" xfId="0" applyBorder="1"/>
    <xf numFmtId="0" fontId="0" fillId="0" borderId="262" xfId="0" applyBorder="1"/>
    <xf numFmtId="4" fontId="0" fillId="0" borderId="30" xfId="0" applyNumberFormat="1" applyBorder="1"/>
    <xf numFmtId="4" fontId="0" fillId="0" borderId="7" xfId="0" applyNumberFormat="1" applyBorder="1"/>
    <xf numFmtId="4" fontId="0" fillId="0" borderId="113" xfId="0" applyNumberFormat="1" applyBorder="1"/>
    <xf numFmtId="4" fontId="0" fillId="0" borderId="33" xfId="0" applyNumberFormat="1" applyBorder="1"/>
    <xf numFmtId="4" fontId="0" fillId="0" borderId="17" xfId="0" applyNumberFormat="1" applyBorder="1"/>
    <xf numFmtId="4" fontId="0" fillId="0" borderId="56" xfId="0" applyNumberFormat="1" applyBorder="1"/>
    <xf numFmtId="0" fontId="49" fillId="0" borderId="0" xfId="0" applyFont="1"/>
    <xf numFmtId="4" fontId="13" fillId="0" borderId="7" xfId="0" applyNumberFormat="1" applyFont="1" applyBorder="1"/>
    <xf numFmtId="1" fontId="0" fillId="0" borderId="11" xfId="0" applyNumberFormat="1" applyBorder="1"/>
    <xf numFmtId="1" fontId="0" fillId="0" borderId="49" xfId="0" applyNumberFormat="1" applyBorder="1"/>
    <xf numFmtId="1" fontId="0" fillId="0" borderId="7" xfId="0" applyNumberFormat="1" applyBorder="1"/>
    <xf numFmtId="4" fontId="13" fillId="0" borderId="17" xfId="0" applyNumberFormat="1" applyFont="1" applyBorder="1"/>
    <xf numFmtId="164" fontId="0" fillId="0" borderId="48" xfId="1" applyFont="1" applyBorder="1" applyAlignment="1"/>
    <xf numFmtId="4" fontId="13" fillId="0" borderId="11" xfId="0" applyNumberFormat="1" applyFont="1" applyBorder="1"/>
    <xf numFmtId="169" fontId="0" fillId="0" borderId="49" xfId="0" applyNumberFormat="1" applyBorder="1"/>
    <xf numFmtId="3" fontId="0" fillId="0" borderId="49" xfId="0" applyNumberFormat="1" applyBorder="1"/>
    <xf numFmtId="9" fontId="0" fillId="0" borderId="156" xfId="2" applyFont="1" applyBorder="1"/>
    <xf numFmtId="9" fontId="0" fillId="0" borderId="160" xfId="2" applyFont="1" applyBorder="1"/>
    <xf numFmtId="0" fontId="0" fillId="0" borderId="231" xfId="0" applyBorder="1"/>
    <xf numFmtId="3" fontId="0" fillId="0" borderId="231" xfId="0" applyNumberFormat="1" applyBorder="1"/>
    <xf numFmtId="9" fontId="0" fillId="0" borderId="119" xfId="2" applyFont="1" applyBorder="1"/>
    <xf numFmtId="0" fontId="0" fillId="0" borderId="31" xfId="0" applyBorder="1" applyAlignment="1">
      <alignment horizontal="center"/>
    </xf>
    <xf numFmtId="0" fontId="13" fillId="0" borderId="30" xfId="0" applyFont="1" applyBorder="1"/>
    <xf numFmtId="0" fontId="0" fillId="0" borderId="19" xfId="0" applyBorder="1" applyAlignment="1">
      <alignment horizontal="center"/>
    </xf>
    <xf numFmtId="0" fontId="13" fillId="0" borderId="34" xfId="0" applyFont="1" applyBorder="1" applyAlignment="1">
      <alignment horizontal="left"/>
    </xf>
    <xf numFmtId="3" fontId="13" fillId="0" borderId="18" xfId="0" applyNumberFormat="1" applyFont="1" applyBorder="1"/>
    <xf numFmtId="9" fontId="13" fillId="0" borderId="143" xfId="0" applyNumberFormat="1" applyFont="1" applyBorder="1"/>
    <xf numFmtId="0" fontId="0" fillId="0" borderId="14" xfId="0" applyBorder="1" applyAlignment="1">
      <alignment horizontal="center"/>
    </xf>
    <xf numFmtId="0" fontId="13" fillId="0" borderId="32" xfId="0" applyFont="1" applyBorder="1" applyAlignment="1">
      <alignment horizontal="left"/>
    </xf>
    <xf numFmtId="0" fontId="13" fillId="0" borderId="13" xfId="0" applyFont="1" applyBorder="1"/>
    <xf numFmtId="9" fontId="13" fillId="0" borderId="58" xfId="0" applyNumberFormat="1" applyFont="1" applyBorder="1"/>
    <xf numFmtId="166" fontId="0" fillId="0" borderId="156" xfId="0" applyNumberFormat="1" applyBorder="1"/>
    <xf numFmtId="166" fontId="0" fillId="0" borderId="112" xfId="0" applyNumberFormat="1" applyBorder="1"/>
    <xf numFmtId="166" fontId="0" fillId="0" borderId="160" xfId="0" applyNumberFormat="1" applyBorder="1"/>
    <xf numFmtId="166" fontId="0" fillId="0" borderId="231" xfId="0" applyNumberFormat="1" applyBorder="1"/>
    <xf numFmtId="166" fontId="0" fillId="0" borderId="114" xfId="0" applyNumberFormat="1" applyBorder="1"/>
    <xf numFmtId="166" fontId="0" fillId="0" borderId="119" xfId="0" applyNumberFormat="1" applyBorder="1"/>
    <xf numFmtId="0" fontId="0" fillId="0" borderId="32" xfId="0" applyBorder="1"/>
    <xf numFmtId="0" fontId="0" fillId="0" borderId="13" xfId="0" applyBorder="1"/>
    <xf numFmtId="9" fontId="0" fillId="0" borderId="58" xfId="2" applyFont="1" applyBorder="1"/>
    <xf numFmtId="0" fontId="0" fillId="0" borderId="22" xfId="0" applyBorder="1" applyAlignment="1">
      <alignment horizontal="center"/>
    </xf>
    <xf numFmtId="0" fontId="0" fillId="0" borderId="35" xfId="0" applyBorder="1"/>
    <xf numFmtId="0" fontId="0" fillId="0" borderId="21" xfId="0" applyBorder="1"/>
    <xf numFmtId="9" fontId="0" fillId="0" borderId="148" xfId="2" applyFont="1" applyBorder="1"/>
    <xf numFmtId="0" fontId="0" fillId="0" borderId="34"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13" fillId="0" borderId="33" xfId="0" applyFont="1" applyBorder="1" applyAlignment="1">
      <alignment horizontal="left"/>
    </xf>
    <xf numFmtId="0" fontId="13" fillId="0" borderId="16" xfId="0" applyFont="1" applyBorder="1"/>
    <xf numFmtId="9" fontId="13" fillId="0" borderId="56" xfId="0" applyNumberFormat="1" applyFont="1" applyBorder="1"/>
    <xf numFmtId="0" fontId="0" fillId="0" borderId="34" xfId="0" applyBorder="1" applyAlignment="1">
      <alignment horizontal="left"/>
    </xf>
    <xf numFmtId="3" fontId="44" fillId="0" borderId="18" xfId="0" applyNumberFormat="1" applyFont="1" applyBorder="1"/>
    <xf numFmtId="9" fontId="0" fillId="0" borderId="143" xfId="0" applyNumberFormat="1" applyBorder="1"/>
    <xf numFmtId="0" fontId="0" fillId="0" borderId="32" xfId="0" applyBorder="1" applyAlignment="1">
      <alignment horizontal="left"/>
    </xf>
    <xf numFmtId="0" fontId="44" fillId="0" borderId="13" xfId="0" applyFont="1" applyBorder="1"/>
    <xf numFmtId="9" fontId="0" fillId="0" borderId="58" xfId="0" applyNumberFormat="1" applyBorder="1"/>
    <xf numFmtId="0" fontId="0" fillId="0" borderId="33" xfId="0" applyBorder="1" applyAlignment="1">
      <alignment horizontal="left"/>
    </xf>
    <xf numFmtId="9" fontId="0" fillId="0" borderId="56" xfId="0" applyNumberFormat="1" applyBorder="1"/>
    <xf numFmtId="3" fontId="0" fillId="0" borderId="248" xfId="0" applyNumberFormat="1" applyBorder="1"/>
    <xf numFmtId="9" fontId="0" fillId="0" borderId="251" xfId="2" applyFont="1" applyBorder="1"/>
    <xf numFmtId="3" fontId="0" fillId="10" borderId="248" xfId="0" applyNumberFormat="1" applyFill="1" applyBorder="1"/>
    <xf numFmtId="3" fontId="0" fillId="0" borderId="249" xfId="0" applyNumberFormat="1" applyBorder="1"/>
    <xf numFmtId="9" fontId="0" fillId="0" borderId="252" xfId="2" applyFont="1" applyBorder="1"/>
    <xf numFmtId="0" fontId="13" fillId="0" borderId="249" xfId="0" applyFont="1" applyBorder="1"/>
    <xf numFmtId="0" fontId="13" fillId="0" borderId="252" xfId="0" applyFont="1" applyBorder="1"/>
    <xf numFmtId="9" fontId="0" fillId="0" borderId="0" xfId="2" applyFont="1" applyBorder="1"/>
    <xf numFmtId="3" fontId="13" fillId="0" borderId="248" xfId="0" applyNumberFormat="1" applyFont="1" applyBorder="1"/>
    <xf numFmtId="9" fontId="13" fillId="0" borderId="251" xfId="0" applyNumberFormat="1" applyFont="1" applyBorder="1"/>
    <xf numFmtId="9" fontId="0" fillId="0" borderId="16" xfId="2" applyFont="1" applyBorder="1"/>
    <xf numFmtId="3" fontId="13" fillId="0" borderId="249" xfId="0" applyNumberFormat="1" applyFont="1" applyBorder="1"/>
    <xf numFmtId="9" fontId="13" fillId="0" borderId="252" xfId="0" applyNumberFormat="1" applyFont="1" applyBorder="1"/>
    <xf numFmtId="0" fontId="0" fillId="0" borderId="265" xfId="0" applyBorder="1" applyAlignment="1">
      <alignment horizontal="right"/>
    </xf>
    <xf numFmtId="0" fontId="0" fillId="0" borderId="266" xfId="0" applyBorder="1" applyAlignment="1">
      <alignment horizontal="right"/>
    </xf>
    <xf numFmtId="0" fontId="0" fillId="0" borderId="113" xfId="0" applyBorder="1" applyAlignment="1">
      <alignment horizontal="right"/>
    </xf>
    <xf numFmtId="0" fontId="0" fillId="0" borderId="34" xfId="0" applyBorder="1"/>
    <xf numFmtId="9" fontId="0" fillId="0" borderId="31" xfId="2" applyFont="1" applyBorder="1"/>
    <xf numFmtId="9" fontId="0" fillId="0" borderId="10" xfId="2" applyFont="1" applyBorder="1"/>
    <xf numFmtId="9" fontId="0" fillId="0" borderId="57" xfId="2" applyFont="1" applyBorder="1"/>
    <xf numFmtId="9" fontId="0" fillId="0" borderId="30" xfId="2" applyFont="1" applyBorder="1"/>
    <xf numFmtId="9" fontId="0" fillId="0" borderId="113" xfId="2" applyFont="1" applyBorder="1"/>
    <xf numFmtId="9" fontId="0" fillId="0" borderId="33" xfId="2" applyFont="1" applyBorder="1"/>
    <xf numFmtId="169" fontId="44" fillId="0" borderId="0" xfId="0" applyNumberFormat="1" applyFont="1"/>
    <xf numFmtId="9" fontId="0" fillId="0" borderId="0" xfId="2" applyFont="1"/>
    <xf numFmtId="9" fontId="0" fillId="0" borderId="267" xfId="0" applyNumberFormat="1" applyBorder="1"/>
    <xf numFmtId="9" fontId="0" fillId="0" borderId="268" xfId="0" applyNumberFormat="1" applyBorder="1"/>
    <xf numFmtId="9" fontId="0" fillId="0" borderId="269" xfId="0" applyNumberFormat="1" applyBorder="1"/>
    <xf numFmtId="9" fontId="0" fillId="0" borderId="270" xfId="0" applyNumberFormat="1" applyBorder="1"/>
    <xf numFmtId="9" fontId="0" fillId="0" borderId="271" xfId="0" applyNumberFormat="1" applyBorder="1"/>
    <xf numFmtId="9" fontId="0" fillId="0" borderId="272" xfId="0" applyNumberFormat="1" applyBorder="1"/>
    <xf numFmtId="3" fontId="44" fillId="0" borderId="0" xfId="0" applyNumberFormat="1" applyFont="1"/>
    <xf numFmtId="9" fontId="0" fillId="0" borderId="0" xfId="0" applyNumberFormat="1"/>
    <xf numFmtId="3" fontId="44" fillId="0" borderId="10" xfId="0" applyNumberFormat="1" applyFont="1" applyBorder="1"/>
    <xf numFmtId="0" fontId="70" fillId="4" borderId="0" xfId="28" applyFont="1" applyFill="1"/>
    <xf numFmtId="0" fontId="71" fillId="11" borderId="273" xfId="28" applyFont="1" applyFill="1" applyBorder="1" applyAlignment="1">
      <alignment horizontal="center" vertical="center"/>
    </xf>
    <xf numFmtId="0" fontId="72" fillId="12" borderId="193" xfId="28" applyFont="1" applyFill="1" applyBorder="1" applyAlignment="1">
      <alignment horizontal="center" vertical="center"/>
    </xf>
    <xf numFmtId="0" fontId="73" fillId="4" borderId="0" xfId="28" applyFont="1" applyFill="1"/>
    <xf numFmtId="0" fontId="74" fillId="4" borderId="6" xfId="28" applyFont="1" applyFill="1" applyBorder="1"/>
    <xf numFmtId="0" fontId="75" fillId="4" borderId="0" xfId="28" applyFont="1" applyFill="1"/>
    <xf numFmtId="0" fontId="76" fillId="4" borderId="6" xfId="3" applyFill="1" applyBorder="1"/>
    <xf numFmtId="0" fontId="77" fillId="4" borderId="0" xfId="28" applyFont="1" applyFill="1"/>
    <xf numFmtId="0" fontId="76" fillId="0" borderId="6" xfId="3" applyBorder="1"/>
    <xf numFmtId="0" fontId="76" fillId="4" borderId="6" xfId="27" applyFill="1" applyBorder="1"/>
    <xf numFmtId="0" fontId="72" fillId="12" borderId="6" xfId="28" applyFont="1" applyFill="1" applyBorder="1" applyAlignment="1">
      <alignment horizontal="center" vertical="center"/>
    </xf>
    <xf numFmtId="0" fontId="74" fillId="4" borderId="26" xfId="28" applyFont="1" applyFill="1" applyBorder="1"/>
    <xf numFmtId="178" fontId="13" fillId="0" borderId="7" xfId="36" quotePrefix="1" applyNumberFormat="1" applyFont="1" applyBorder="1" applyAlignment="1">
      <alignment horizontal="center"/>
    </xf>
    <xf numFmtId="178" fontId="13" fillId="0" borderId="113" xfId="36" quotePrefix="1" applyNumberFormat="1" applyFont="1" applyBorder="1" applyAlignment="1">
      <alignment horizontal="center"/>
    </xf>
    <xf numFmtId="178" fontId="13" fillId="0" borderId="30" xfId="36" quotePrefix="1" applyNumberFormat="1" applyFont="1" applyBorder="1" applyAlignment="1">
      <alignment horizontal="center"/>
    </xf>
    <xf numFmtId="172" fontId="7" fillId="0" borderId="32" xfId="22" quotePrefix="1" applyNumberFormat="1" applyFont="1" applyFill="1" applyBorder="1" applyAlignment="1">
      <alignment horizontal="right"/>
    </xf>
    <xf numFmtId="172" fontId="7" fillId="0" borderId="47" xfId="22" quotePrefix="1" applyNumberFormat="1" applyFont="1" applyFill="1" applyBorder="1" applyAlignment="1">
      <alignment horizontal="right"/>
    </xf>
    <xf numFmtId="3" fontId="7" fillId="0" borderId="78" xfId="22" quotePrefix="1" applyNumberFormat="1" applyFont="1" applyFill="1" applyBorder="1" applyAlignment="1">
      <alignment horizontal="right"/>
    </xf>
    <xf numFmtId="172" fontId="7" fillId="0" borderId="13" xfId="22" quotePrefix="1" applyNumberFormat="1" applyFont="1" applyFill="1" applyBorder="1" applyAlignment="1">
      <alignment horizontal="right"/>
    </xf>
    <xf numFmtId="172" fontId="7" fillId="0" borderId="79" xfId="22" quotePrefix="1" applyNumberFormat="1" applyFont="1" applyFill="1" applyBorder="1" applyAlignment="1">
      <alignment horizontal="right"/>
    </xf>
    <xf numFmtId="172" fontId="7" fillId="0" borderId="97" xfId="22" quotePrefix="1" applyNumberFormat="1" applyFont="1" applyFill="1" applyBorder="1" applyAlignment="1">
      <alignment horizontal="right"/>
    </xf>
    <xf numFmtId="38" fontId="7" fillId="0" borderId="32" xfId="22" quotePrefix="1" applyFont="1" applyFill="1" applyBorder="1" applyAlignment="1">
      <alignment horizontal="right"/>
    </xf>
    <xf numFmtId="38" fontId="7" fillId="0" borderId="67" xfId="22" quotePrefix="1" applyFont="1" applyFill="1" applyBorder="1" applyAlignment="1">
      <alignment horizontal="right"/>
    </xf>
    <xf numFmtId="38" fontId="7" fillId="0" borderId="14" xfId="22" quotePrefix="1" applyFont="1" applyFill="1" applyBorder="1" applyAlignment="1">
      <alignment horizontal="right"/>
    </xf>
    <xf numFmtId="38" fontId="7" fillId="0" borderId="30" xfId="22" quotePrefix="1" applyFont="1" applyFill="1" applyBorder="1" applyAlignment="1">
      <alignment horizontal="right"/>
    </xf>
    <xf numFmtId="38" fontId="7" fillId="0" borderId="70" xfId="22" quotePrefix="1" applyFont="1" applyFill="1" applyBorder="1" applyAlignment="1">
      <alignment horizontal="right"/>
    </xf>
    <xf numFmtId="38" fontId="7" fillId="0" borderId="7" xfId="22" quotePrefix="1" applyFont="1" applyFill="1" applyBorder="1" applyAlignment="1">
      <alignment horizontal="right"/>
    </xf>
    <xf numFmtId="38" fontId="7" fillId="0" borderId="35" xfId="22" quotePrefix="1" applyFont="1" applyFill="1" applyBorder="1" applyAlignment="1">
      <alignment horizontal="right"/>
    </xf>
    <xf numFmtId="38" fontId="7" fillId="0" borderId="69" xfId="22" quotePrefix="1" applyFont="1" applyFill="1" applyBorder="1" applyAlignment="1">
      <alignment horizontal="right"/>
    </xf>
    <xf numFmtId="38" fontId="7" fillId="0" borderId="22" xfId="22" quotePrefix="1" applyFont="1" applyFill="1" applyBorder="1" applyAlignment="1">
      <alignment horizontal="right"/>
    </xf>
    <xf numFmtId="38" fontId="7" fillId="0" borderId="33" xfId="22" quotePrefix="1" applyFont="1" applyFill="1" applyBorder="1" applyAlignment="1">
      <alignment horizontal="right"/>
    </xf>
    <xf numFmtId="38" fontId="7" fillId="0" borderId="71" xfId="22" quotePrefix="1" applyFont="1" applyFill="1" applyBorder="1" applyAlignment="1">
      <alignment horizontal="right"/>
    </xf>
    <xf numFmtId="38" fontId="7" fillId="0" borderId="17" xfId="22" quotePrefix="1" applyFont="1" applyFill="1" applyBorder="1" applyAlignment="1">
      <alignment horizontal="right"/>
    </xf>
    <xf numFmtId="0" fontId="24" fillId="0" borderId="0" xfId="29" quotePrefix="1" applyFont="1"/>
    <xf numFmtId="0" fontId="13" fillId="0" borderId="10" xfId="62" applyFont="1" applyBorder="1"/>
    <xf numFmtId="0" fontId="13" fillId="0" borderId="0" xfId="62" applyFont="1"/>
    <xf numFmtId="175" fontId="40" fillId="0" borderId="0" xfId="62" applyNumberFormat="1" applyFont="1"/>
    <xf numFmtId="0" fontId="13" fillId="0" borderId="16" xfId="62" applyFont="1" applyBorder="1"/>
    <xf numFmtId="0" fontId="40" fillId="0" borderId="30" xfId="62" applyFont="1" applyBorder="1"/>
    <xf numFmtId="0" fontId="13" fillId="0" borderId="113" xfId="62" applyFont="1" applyBorder="1"/>
    <xf numFmtId="1" fontId="0" fillId="0" borderId="17" xfId="0" applyNumberFormat="1" applyBorder="1"/>
    <xf numFmtId="0" fontId="0" fillId="0" borderId="263" xfId="0" applyBorder="1" applyAlignment="1">
      <alignment horizontal="center"/>
    </xf>
    <xf numFmtId="0" fontId="0" fillId="0" borderId="264" xfId="0" applyBorder="1" applyAlignment="1">
      <alignment horizontal="center"/>
    </xf>
    <xf numFmtId="0" fontId="0" fillId="0" borderId="10" xfId="0" applyBorder="1" applyAlignment="1">
      <alignment horizontal="center"/>
    </xf>
    <xf numFmtId="0" fontId="0" fillId="0" borderId="57" xfId="0" applyBorder="1" applyAlignment="1">
      <alignment horizontal="center"/>
    </xf>
    <xf numFmtId="0" fontId="13" fillId="0" borderId="263" xfId="0" applyFont="1" applyBorder="1" applyAlignment="1">
      <alignment horizontal="center"/>
    </xf>
    <xf numFmtId="0" fontId="13" fillId="0" borderId="264" xfId="0" applyFont="1" applyBorder="1" applyAlignment="1">
      <alignment horizontal="center"/>
    </xf>
    <xf numFmtId="0" fontId="13" fillId="0" borderId="55" xfId="0" applyFont="1" applyBorder="1" applyAlignment="1">
      <alignment horizontal="center"/>
    </xf>
    <xf numFmtId="0" fontId="13" fillId="0" borderId="59" xfId="0" applyFont="1" applyBorder="1" applyAlignment="1">
      <alignment horizontal="center"/>
    </xf>
    <xf numFmtId="0" fontId="13" fillId="0" borderId="54" xfId="0" applyFont="1" applyBorder="1" applyAlignment="1">
      <alignment horizontal="center"/>
    </xf>
    <xf numFmtId="0" fontId="13" fillId="0" borderId="31" xfId="0" applyFont="1" applyBorder="1" applyAlignment="1">
      <alignment horizontal="center"/>
    </xf>
    <xf numFmtId="0" fontId="13" fillId="0" borderId="10" xfId="0" applyFont="1" applyBorder="1" applyAlignment="1">
      <alignment horizontal="center"/>
    </xf>
    <xf numFmtId="0" fontId="13" fillId="0" borderId="57" xfId="0" applyFont="1" applyBorder="1" applyAlignment="1">
      <alignment horizontal="center"/>
    </xf>
    <xf numFmtId="0" fontId="0" fillId="0" borderId="31" xfId="0" applyBorder="1" applyAlignment="1">
      <alignment horizontal="center"/>
    </xf>
    <xf numFmtId="0" fontId="0" fillId="8" borderId="7" xfId="0" applyFill="1" applyBorder="1" applyAlignment="1">
      <alignment horizontal="center" vertical="center"/>
    </xf>
    <xf numFmtId="0" fontId="0" fillId="8" borderId="28" xfId="0" applyFill="1" applyBorder="1" applyAlignment="1">
      <alignment horizontal="center" vertical="center"/>
    </xf>
    <xf numFmtId="0" fontId="63" fillId="8" borderId="162" xfId="0" applyFont="1" applyFill="1" applyBorder="1" applyAlignment="1">
      <alignment horizontal="center"/>
    </xf>
    <xf numFmtId="0" fontId="0" fillId="8" borderId="163" xfId="0" applyFill="1" applyBorder="1" applyAlignment="1">
      <alignment horizontal="center"/>
    </xf>
    <xf numFmtId="0" fontId="0" fillId="8" borderId="164" xfId="0" applyFill="1" applyBorder="1" applyAlignment="1">
      <alignment horizontal="center"/>
    </xf>
    <xf numFmtId="0" fontId="0" fillId="8" borderId="175" xfId="0" applyFill="1" applyBorder="1" applyAlignment="1">
      <alignment horizontal="center" vertical="center" wrapText="1"/>
    </xf>
    <xf numFmtId="0" fontId="0" fillId="8" borderId="86" xfId="0" applyFill="1" applyBorder="1" applyAlignment="1">
      <alignment horizontal="center" vertical="center" wrapText="1"/>
    </xf>
    <xf numFmtId="0" fontId="0" fillId="8" borderId="106" xfId="0" applyFill="1" applyBorder="1" applyAlignment="1">
      <alignment horizontal="center" vertical="center" wrapText="1"/>
    </xf>
    <xf numFmtId="0" fontId="0" fillId="8" borderId="185" xfId="0" applyFill="1" applyBorder="1" applyAlignment="1">
      <alignment horizontal="center" vertical="center" wrapText="1"/>
    </xf>
    <xf numFmtId="0" fontId="0" fillId="8" borderId="49" xfId="0" applyFill="1" applyBorder="1" applyAlignment="1">
      <alignment horizontal="center" vertical="center" wrapText="1"/>
    </xf>
    <xf numFmtId="0" fontId="0" fillId="8" borderId="51" xfId="0" applyFill="1" applyBorder="1" applyAlignment="1">
      <alignment horizontal="center" vertical="center" wrapText="1"/>
    </xf>
    <xf numFmtId="0" fontId="0" fillId="8" borderId="122" xfId="0" applyFill="1" applyBorder="1" applyAlignment="1">
      <alignment horizontal="center" vertical="center" wrapText="1"/>
    </xf>
    <xf numFmtId="0" fontId="0" fillId="8" borderId="7" xfId="0" applyFill="1" applyBorder="1" applyAlignment="1">
      <alignment horizontal="center" vertical="center" wrapText="1"/>
    </xf>
    <xf numFmtId="0" fontId="0" fillId="8" borderId="28" xfId="0" applyFill="1" applyBorder="1" applyAlignment="1">
      <alignment horizontal="center" vertical="center" wrapText="1"/>
    </xf>
    <xf numFmtId="0" fontId="0" fillId="0" borderId="72" xfId="0" applyBorder="1" applyAlignment="1">
      <alignment horizontal="center" wrapText="1"/>
    </xf>
    <xf numFmtId="0" fontId="0" fillId="0" borderId="71" xfId="0" applyBorder="1" applyAlignment="1">
      <alignment horizontal="center" wrapText="1"/>
    </xf>
    <xf numFmtId="0" fontId="0" fillId="8" borderId="113" xfId="0" applyFill="1" applyBorder="1" applyAlignment="1">
      <alignment horizontal="center" wrapText="1"/>
    </xf>
    <xf numFmtId="0" fontId="0" fillId="8" borderId="153" xfId="0" applyFill="1" applyBorder="1" applyAlignment="1">
      <alignment horizontal="center" wrapText="1"/>
    </xf>
    <xf numFmtId="0" fontId="0" fillId="8" borderId="161" xfId="0" applyFill="1" applyBorder="1" applyAlignment="1">
      <alignment horizontal="center" vertical="center" wrapText="1"/>
    </xf>
    <xf numFmtId="0" fontId="0" fillId="8" borderId="5" xfId="0" applyFill="1" applyBorder="1" applyAlignment="1">
      <alignment horizontal="center" vertical="center" wrapText="1"/>
    </xf>
    <xf numFmtId="0" fontId="0" fillId="8" borderId="104" xfId="0" applyFill="1" applyBorder="1" applyAlignment="1">
      <alignment horizontal="center" vertical="center" wrapText="1"/>
    </xf>
    <xf numFmtId="0" fontId="0" fillId="0" borderId="72" xfId="0" applyBorder="1" applyAlignment="1">
      <alignment horizontal="center" vertical="top" wrapText="1"/>
    </xf>
    <xf numFmtId="0" fontId="0" fillId="0" borderId="71" xfId="0" applyBorder="1" applyAlignment="1">
      <alignment horizontal="center" vertical="top" wrapText="1"/>
    </xf>
    <xf numFmtId="0" fontId="0" fillId="8" borderId="7" xfId="0" applyFill="1" applyBorder="1" applyAlignment="1">
      <alignment horizontal="center" wrapText="1"/>
    </xf>
    <xf numFmtId="0" fontId="0" fillId="8" borderId="28" xfId="0" applyFill="1" applyBorder="1" applyAlignment="1">
      <alignment horizontal="center" wrapText="1"/>
    </xf>
    <xf numFmtId="0" fontId="0" fillId="8" borderId="30" xfId="0" applyFill="1" applyBorder="1" applyAlignment="1">
      <alignment horizontal="center" wrapText="1"/>
    </xf>
    <xf numFmtId="0" fontId="0" fillId="8" borderId="37" xfId="0" applyFill="1" applyBorder="1" applyAlignment="1">
      <alignment horizontal="center" wrapText="1"/>
    </xf>
    <xf numFmtId="0" fontId="0" fillId="8" borderId="186" xfId="0" applyFill="1" applyBorder="1" applyAlignment="1">
      <alignment horizontal="center" wrapText="1"/>
    </xf>
    <xf numFmtId="0" fontId="0" fillId="8" borderId="91" xfId="0" applyFill="1" applyBorder="1" applyAlignment="1">
      <alignment horizontal="center" wrapText="1"/>
    </xf>
    <xf numFmtId="0" fontId="0" fillId="8" borderId="106" xfId="0" applyFill="1" applyBorder="1" applyAlignment="1">
      <alignment horizontal="center" wrapText="1"/>
    </xf>
    <xf numFmtId="0" fontId="36" fillId="0" borderId="54" xfId="62" applyBorder="1" applyAlignment="1">
      <alignment horizontal="center"/>
    </xf>
    <xf numFmtId="0" fontId="36" fillId="0" borderId="55" xfId="62" applyBorder="1" applyAlignment="1">
      <alignment horizontal="center"/>
    </xf>
    <xf numFmtId="0" fontId="34" fillId="0" borderId="53" xfId="62" applyFont="1" applyBorder="1" applyAlignment="1">
      <alignment horizontal="center"/>
    </xf>
    <xf numFmtId="0" fontId="34" fillId="0" borderId="54" xfId="62" applyFont="1" applyBorder="1" applyAlignment="1">
      <alignment horizontal="center"/>
    </xf>
    <xf numFmtId="0" fontId="2" fillId="0" borderId="8" xfId="29" applyFont="1" applyBorder="1" applyAlignment="1">
      <alignment vertical="center"/>
    </xf>
    <xf numFmtId="0" fontId="6" fillId="0" borderId="6" xfId="29" applyBorder="1" applyAlignment="1">
      <alignment vertical="center"/>
    </xf>
    <xf numFmtId="0" fontId="6" fillId="0" borderId="15" xfId="29" applyBorder="1" applyAlignment="1">
      <alignment vertical="center"/>
    </xf>
    <xf numFmtId="0" fontId="2" fillId="0" borderId="6" xfId="29" applyFont="1" applyBorder="1" applyAlignment="1">
      <alignment vertical="center"/>
    </xf>
    <xf numFmtId="0" fontId="2" fillId="0" borderId="15" xfId="29" applyFont="1" applyBorder="1" applyAlignment="1">
      <alignment vertical="center"/>
    </xf>
    <xf numFmtId="0" fontId="6" fillId="0" borderId="26" xfId="29" applyBorder="1" applyAlignment="1">
      <alignment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17" xfId="0" applyBorder="1" applyAlignment="1">
      <alignment horizontal="center" vertical="center"/>
    </xf>
    <xf numFmtId="0" fontId="13" fillId="0" borderId="11" xfId="0" applyFont="1" applyBorder="1" applyAlignment="1">
      <alignment horizontal="center" vertical="center"/>
    </xf>
    <xf numFmtId="0" fontId="13" fillId="0" borderId="7" xfId="0" applyFont="1" applyBorder="1" applyAlignment="1">
      <alignment horizontal="center" vertical="center"/>
    </xf>
    <xf numFmtId="0" fontId="13" fillId="0" borderId="17" xfId="0" applyFont="1" applyBorder="1" applyAlignment="1">
      <alignment horizontal="center" vertical="center"/>
    </xf>
    <xf numFmtId="0" fontId="36" fillId="0" borderId="53" xfId="62" applyBorder="1" applyAlignment="1">
      <alignment horizontal="center"/>
    </xf>
  </cellXfs>
  <cellStyles count="81">
    <cellStyle name="20% - アクセント 1 2" xfId="4" xr:uid="{00000000-0005-0000-0000-000031000000}"/>
    <cellStyle name="20% - アクセント 2 2" xfId="5" xr:uid="{00000000-0005-0000-0000-000032000000}"/>
    <cellStyle name="20% - アクセント 3 2" xfId="6" xr:uid="{00000000-0005-0000-0000-000033000000}"/>
    <cellStyle name="20% - アクセント 4 2" xfId="7" xr:uid="{00000000-0005-0000-0000-000034000000}"/>
    <cellStyle name="20% - アクセント 5 2" xfId="8" xr:uid="{00000000-0005-0000-0000-000035000000}"/>
    <cellStyle name="20% - アクセント 6 2" xfId="9" xr:uid="{00000000-0005-0000-0000-000036000000}"/>
    <cellStyle name="40% - アクセント 1 2" xfId="10" xr:uid="{00000000-0005-0000-0000-000037000000}"/>
    <cellStyle name="40% - アクセント 2 2" xfId="11" xr:uid="{00000000-0005-0000-0000-000038000000}"/>
    <cellStyle name="40% - アクセント 3 2" xfId="12" xr:uid="{00000000-0005-0000-0000-000039000000}"/>
    <cellStyle name="40% - アクセント 4 2" xfId="13" xr:uid="{00000000-0005-0000-0000-00003A000000}"/>
    <cellStyle name="40% - アクセント 5 2" xfId="14" xr:uid="{00000000-0005-0000-0000-00003B000000}"/>
    <cellStyle name="40% - アクセント 6 2" xfId="15" xr:uid="{00000000-0005-0000-0000-00003C000000}"/>
    <cellStyle name="60% - アクセント 1 2" xfId="16" xr:uid="{00000000-0005-0000-0000-00003D000000}"/>
    <cellStyle name="60% - アクセント 2 2" xfId="17" xr:uid="{00000000-0005-0000-0000-00003E000000}"/>
    <cellStyle name="60% - アクセント 3 2" xfId="18" xr:uid="{00000000-0005-0000-0000-00003F000000}"/>
    <cellStyle name="60% - アクセント 4 2" xfId="19" xr:uid="{00000000-0005-0000-0000-000040000000}"/>
    <cellStyle name="60% - アクセント 5 2" xfId="20" xr:uid="{00000000-0005-0000-0000-000041000000}"/>
    <cellStyle name="60% - アクセント 6 2" xfId="21" xr:uid="{00000000-0005-0000-0000-000042000000}"/>
    <cellStyle name="Comma" xfId="1" builtinId="3"/>
    <cellStyle name="Comma [0] 2" xfId="22" xr:uid="{00000000-0005-0000-0000-000043000000}"/>
    <cellStyle name="Comma [0] 2 2" xfId="23" xr:uid="{00000000-0005-0000-0000-000044000000}"/>
    <cellStyle name="Comma [0] 3" xfId="24" xr:uid="{00000000-0005-0000-0000-000045000000}"/>
    <cellStyle name="Comma [0] 4" xfId="25" xr:uid="{00000000-0005-0000-0000-000046000000}"/>
    <cellStyle name="Comma 2" xfId="26" xr:uid="{00000000-0005-0000-0000-000047000000}"/>
    <cellStyle name="Hyperlink" xfId="3" builtinId="8"/>
    <cellStyle name="Hyperlink 2" xfId="27" xr:uid="{00000000-0005-0000-0000-000048000000}"/>
    <cellStyle name="Normal" xfId="0" builtinId="0"/>
    <cellStyle name="Normal 2" xfId="28" xr:uid="{00000000-0005-0000-0000-000049000000}"/>
    <cellStyle name="Normal 2 2" xfId="29" xr:uid="{00000000-0005-0000-0000-00004A000000}"/>
    <cellStyle name="Normal 2 3" xfId="30" xr:uid="{00000000-0005-0000-0000-00004B000000}"/>
    <cellStyle name="Normal 2 4" xfId="31" xr:uid="{00000000-0005-0000-0000-00004C000000}"/>
    <cellStyle name="Normal 3" xfId="32" xr:uid="{00000000-0005-0000-0000-00004D000000}"/>
    <cellStyle name="Normal 3 2" xfId="33" xr:uid="{00000000-0005-0000-0000-00004E000000}"/>
    <cellStyle name="Normal 5" xfId="34" xr:uid="{00000000-0005-0000-0000-00004F000000}"/>
    <cellStyle name="Normal 5 2" xfId="35" xr:uid="{00000000-0005-0000-0000-000050000000}"/>
    <cellStyle name="Normal_anpfstab" xfId="36" xr:uid="{00000000-0005-0000-0000-000051000000}"/>
    <cellStyle name="Normal_triwebstat" xfId="37" xr:uid="{00000000-0005-0000-0000-000052000000}"/>
    <cellStyle name="Percent" xfId="2" builtinId="5"/>
    <cellStyle name="Percent 2" xfId="38" xr:uid="{00000000-0005-0000-0000-000053000000}"/>
    <cellStyle name="Percent 2 2" xfId="39" xr:uid="{00000000-0005-0000-0000-000054000000}"/>
    <cellStyle name="Percent 3" xfId="40" xr:uid="{00000000-0005-0000-0000-000055000000}"/>
    <cellStyle name="Percent 3 2" xfId="41" xr:uid="{00000000-0005-0000-0000-000056000000}"/>
    <cellStyle name="アクセント 1 2" xfId="42" xr:uid="{00000000-0005-0000-0000-000057000000}"/>
    <cellStyle name="アクセント 2 2" xfId="43" xr:uid="{00000000-0005-0000-0000-000058000000}"/>
    <cellStyle name="アクセント 3 2" xfId="44" xr:uid="{00000000-0005-0000-0000-000059000000}"/>
    <cellStyle name="アクセント 4 2" xfId="45" xr:uid="{00000000-0005-0000-0000-00005A000000}"/>
    <cellStyle name="アクセント 5 2" xfId="46" xr:uid="{00000000-0005-0000-0000-00005B000000}"/>
    <cellStyle name="アクセント 6 2" xfId="47" xr:uid="{00000000-0005-0000-0000-00005C000000}"/>
    <cellStyle name="タイトル 2" xfId="48" xr:uid="{00000000-0005-0000-0000-00005D000000}"/>
    <cellStyle name="チェック セル 2" xfId="49" xr:uid="{00000000-0005-0000-0000-00005E000000}"/>
    <cellStyle name="どちらでもない 2" xfId="50" xr:uid="{00000000-0005-0000-0000-00005F000000}"/>
    <cellStyle name="パーセント 2" xfId="51" xr:uid="{00000000-0005-0000-0000-000060000000}"/>
    <cellStyle name="パーセント 2 2" xfId="52" xr:uid="{00000000-0005-0000-0000-000061000000}"/>
    <cellStyle name="パーセント 2 3" xfId="53" xr:uid="{00000000-0005-0000-0000-000062000000}"/>
    <cellStyle name="パーセント 3" xfId="54" xr:uid="{00000000-0005-0000-0000-000063000000}"/>
    <cellStyle name="パーセント 4" xfId="55" xr:uid="{00000000-0005-0000-0000-000064000000}"/>
    <cellStyle name="メモ 2" xfId="56" xr:uid="{00000000-0005-0000-0000-000065000000}"/>
    <cellStyle name="リンク セル 2" xfId="57" xr:uid="{00000000-0005-0000-0000-000066000000}"/>
    <cellStyle name="나쁨 2" xfId="65" xr:uid="{00000000-0005-0000-0000-00006E000000}"/>
    <cellStyle name="백분율 2" xfId="67" xr:uid="{00000000-0005-0000-0000-000070000000}"/>
    <cellStyle name="백분율 2 2" xfId="68" xr:uid="{00000000-0005-0000-0000-000071000000}"/>
    <cellStyle name="백분율 3" xfId="69" xr:uid="{00000000-0005-0000-0000-000072000000}"/>
    <cellStyle name="쉼표 [0] 2" xfId="70" xr:uid="{00000000-0005-0000-0000-000073000000}"/>
    <cellStyle name="쉼표 2" xfId="71" xr:uid="{00000000-0005-0000-0000-000074000000}"/>
    <cellStyle name="쉼표 3" xfId="72" xr:uid="{00000000-0005-0000-0000-000075000000}"/>
    <cellStyle name="쉼표 4" xfId="73" xr:uid="{00000000-0005-0000-0000-000076000000}"/>
    <cellStyle name="통화 2" xfId="74" xr:uid="{00000000-0005-0000-0000-000077000000}"/>
    <cellStyle name="표준 2" xfId="75" xr:uid="{00000000-0005-0000-0000-000078000000}"/>
    <cellStyle name="표준 3" xfId="76" xr:uid="{00000000-0005-0000-0000-000079000000}"/>
    <cellStyle name="표준 4" xfId="77" xr:uid="{00000000-0005-0000-0000-00007A000000}"/>
    <cellStyle name="표준 4 2" xfId="78" xr:uid="{00000000-0005-0000-0000-00007B000000}"/>
    <cellStyle name="표준 5" xfId="79" xr:uid="{00000000-0005-0000-0000-00007C000000}"/>
    <cellStyle name="표준 9" xfId="80" xr:uid="{00000000-0005-0000-0000-00007D000000}"/>
    <cellStyle name="入力 2" xfId="66" xr:uid="{00000000-0005-0000-0000-00006F000000}"/>
    <cellStyle name="常规 2" xfId="62" xr:uid="{00000000-0005-0000-0000-00006B000000}"/>
    <cellStyle name="常规 3" xfId="63" xr:uid="{00000000-0005-0000-0000-00006C000000}"/>
    <cellStyle name="標準 5" xfId="59" xr:uid="{00000000-0005-0000-0000-000068000000}"/>
    <cellStyle name="標準 5 2" xfId="60" xr:uid="{00000000-0005-0000-0000-000069000000}"/>
    <cellStyle name="標準_Sheet" xfId="61" xr:uid="{00000000-0005-0000-0000-00006A000000}"/>
    <cellStyle name="百分比 2" xfId="58" xr:uid="{00000000-0005-0000-0000-000067000000}"/>
    <cellStyle name="超链接 2" xfId="64" xr:uid="{00000000-0005-0000-0000-00006D000000}"/>
  </cellStyles>
  <dxfs count="0"/>
  <tableStyles count="0" defaultTableStyle="TableStyleMedium2" defaultPivotStyle="PivotStyleLight16"/>
  <colors>
    <mruColors>
      <color rgb="FFCC99FF"/>
      <color rgb="FFA9D18E"/>
      <color rgb="FF008000"/>
      <color rgb="FF767171"/>
      <color rgb="FFFFE699"/>
      <color rgb="FF7F6000"/>
      <color rgb="FF7F7F7F"/>
      <color rgb="FFC55A11"/>
      <color rgb="FFFFC000"/>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35"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1.xml"/><Relationship Id="rId1" Type="http://schemas.microsoft.com/office/2011/relationships/chartStyle" Target="style1.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2.xml"/><Relationship Id="rId1" Type="http://schemas.microsoft.com/office/2011/relationships/chartStyle" Target="style2.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3.xml"/><Relationship Id="rId1" Type="http://schemas.microsoft.com/office/2011/relationships/chartStyle" Target="style3.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4.xml"/><Relationship Id="rId1" Type="http://schemas.microsoft.com/office/2011/relationships/chartStyle" Target="style4.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5.xml"/><Relationship Id="rId1" Type="http://schemas.microsoft.com/office/2011/relationships/chartStyle" Target="style5.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6.xml"/><Relationship Id="rId1" Type="http://schemas.microsoft.com/office/2011/relationships/chartStyle" Target="style6.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7.xml"/><Relationship Id="rId1" Type="http://schemas.microsoft.com/office/2011/relationships/chartStyle" Target="style7.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2.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8.xml"/><Relationship Id="rId1" Type="http://schemas.microsoft.com/office/2011/relationships/chartStyle" Target="style8.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9.xml"/><Relationship Id="rId1" Type="http://schemas.microsoft.com/office/2011/relationships/chartStyle" Target="style9.xml"/></Relationships>
</file>

<file path=xl/charts/_rels/chart2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22.xml"/><Relationship Id="rId1" Type="http://schemas.microsoft.com/office/2011/relationships/chartStyle" Target="style22.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23.xml"/><Relationship Id="rId1" Type="http://schemas.microsoft.com/office/2011/relationships/chartStyle" Target="style23.xml"/></Relationships>
</file>

<file path=xl/charts/_rels/chart42.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24.xml"/><Relationship Id="rId1" Type="http://schemas.microsoft.com/office/2011/relationships/chartStyle" Target="style24.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25.xml"/><Relationship Id="rId1" Type="http://schemas.microsoft.com/office/2011/relationships/chartStyle" Target="style25.xml"/></Relationships>
</file>

<file path=xl/charts/_rels/chart44.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26.xml"/><Relationship Id="rId1" Type="http://schemas.microsoft.com/office/2011/relationships/chartStyle" Target="style26.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27.xml"/><Relationship Id="rId1" Type="http://schemas.microsoft.com/office/2011/relationships/chartStyle" Target="style27.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28.xml"/><Relationship Id="rId1" Type="http://schemas.microsoft.com/office/2011/relationships/chartStyle" Target="style28.xml"/></Relationships>
</file>

<file path=xl/charts/_rels/chart47.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29.xml"/><Relationship Id="rId1" Type="http://schemas.microsoft.com/office/2011/relationships/chartStyle" Target="style29.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30.xml"/><Relationship Id="rId1" Type="http://schemas.microsoft.com/office/2011/relationships/chartStyle" Target="style30.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31.xml"/><Relationship Id="rId1" Type="http://schemas.microsoft.com/office/2011/relationships/chartStyle" Target="style31.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50.xml"/><Relationship Id="rId2" Type="http://schemas.microsoft.com/office/2011/relationships/chartColorStyle" Target="colors32.xml"/><Relationship Id="rId1" Type="http://schemas.microsoft.com/office/2011/relationships/chartStyle" Target="style32.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51.xml"/><Relationship Id="rId2" Type="http://schemas.microsoft.com/office/2011/relationships/chartColorStyle" Target="colors33.xml"/><Relationship Id="rId1" Type="http://schemas.microsoft.com/office/2011/relationships/chartStyle" Target="style33.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53.xml"/><Relationship Id="rId2" Type="http://schemas.microsoft.com/office/2011/relationships/chartColorStyle" Target="colors34.xml"/><Relationship Id="rId1" Type="http://schemas.microsoft.com/office/2011/relationships/chartStyle" Target="style34.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35.xml"/><Relationship Id="rId1" Type="http://schemas.microsoft.com/office/2011/relationships/chartStyle" Target="style35.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55.xml"/><Relationship Id="rId2" Type="http://schemas.microsoft.com/office/2011/relationships/chartColorStyle" Target="colors36.xml"/><Relationship Id="rId1" Type="http://schemas.microsoft.com/office/2011/relationships/chartStyle" Target="style36.xml"/></Relationships>
</file>

<file path=xl/charts/_rels/chart55.xml.rels><?xml version="1.0" encoding="UTF-8" standalone="yes"?>
<Relationships xmlns="http://schemas.openxmlformats.org/package/2006/relationships"><Relationship Id="rId1" Type="http://schemas.openxmlformats.org/officeDocument/2006/relationships/chartUserShapes" Target="../drawings/drawing56.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57.xml"/><Relationship Id="rId2" Type="http://schemas.microsoft.com/office/2011/relationships/chartColorStyle" Target="colors37.xml"/><Relationship Id="rId1" Type="http://schemas.microsoft.com/office/2011/relationships/chartStyle" Target="style37.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58.xml"/><Relationship Id="rId2" Type="http://schemas.microsoft.com/office/2011/relationships/chartColorStyle" Target="colors38.xml"/><Relationship Id="rId1" Type="http://schemas.microsoft.com/office/2011/relationships/chartStyle" Target="style38.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60.xml"/><Relationship Id="rId2" Type="http://schemas.microsoft.com/office/2011/relationships/chartColorStyle" Target="colors39.xml"/><Relationship Id="rId1" Type="http://schemas.microsoft.com/office/2011/relationships/chartStyle" Target="style39.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61.xml"/><Relationship Id="rId2" Type="http://schemas.microsoft.com/office/2011/relationships/chartColorStyle" Target="colors40.xml"/><Relationship Id="rId1" Type="http://schemas.microsoft.com/office/2011/relationships/chartStyle" Target="style4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63.xml"/><Relationship Id="rId2" Type="http://schemas.microsoft.com/office/2011/relationships/chartColorStyle" Target="colors41.xml"/><Relationship Id="rId1" Type="http://schemas.microsoft.com/office/2011/relationships/chartStyle" Target="style41.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64.xml"/><Relationship Id="rId2" Type="http://schemas.microsoft.com/office/2011/relationships/chartColorStyle" Target="colors42.xml"/><Relationship Id="rId1" Type="http://schemas.microsoft.com/office/2011/relationships/chartStyle" Target="style42.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66.xml"/><Relationship Id="rId2" Type="http://schemas.microsoft.com/office/2011/relationships/chartColorStyle" Target="colors43.xml"/><Relationship Id="rId1" Type="http://schemas.microsoft.com/office/2011/relationships/chartStyle" Target="style43.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68.xml"/><Relationship Id="rId2" Type="http://schemas.microsoft.com/office/2011/relationships/chartColorStyle" Target="colors44.xml"/><Relationship Id="rId1" Type="http://schemas.microsoft.com/office/2011/relationships/chartStyle" Target="style44.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69.xml"/><Relationship Id="rId2" Type="http://schemas.microsoft.com/office/2011/relationships/chartColorStyle" Target="colors45.xml"/><Relationship Id="rId1" Type="http://schemas.microsoft.com/office/2011/relationships/chartStyle" Target="style45.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70.xml"/><Relationship Id="rId2" Type="http://schemas.microsoft.com/office/2011/relationships/chartColorStyle" Target="colors46.xml"/><Relationship Id="rId1" Type="http://schemas.microsoft.com/office/2011/relationships/chartStyle" Target="style46.xml"/></Relationships>
</file>

<file path=xl/charts/_rels/chart66.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72.xml"/><Relationship Id="rId2" Type="http://schemas.microsoft.com/office/2011/relationships/chartColorStyle" Target="colors47.xml"/><Relationship Id="rId1" Type="http://schemas.microsoft.com/office/2011/relationships/chartStyle" Target="style47.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74.xml"/><Relationship Id="rId2" Type="http://schemas.microsoft.com/office/2011/relationships/chartColorStyle" Target="colors48.xml"/><Relationship Id="rId1" Type="http://schemas.microsoft.com/office/2011/relationships/chartStyle" Target="style48.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75.xml"/><Relationship Id="rId2" Type="http://schemas.microsoft.com/office/2011/relationships/chartColorStyle" Target="colors49.xml"/><Relationship Id="rId1" Type="http://schemas.microsoft.com/office/2011/relationships/chartStyle" Target="style49.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0.xml.rels><?xml version="1.0" encoding="UTF-8" standalone="yes"?>
<Relationships xmlns="http://schemas.openxmlformats.org/package/2006/relationships"><Relationship Id="rId1" Type="http://schemas.openxmlformats.org/officeDocument/2006/relationships/chartUserShapes" Target="../drawings/drawing76.xml"/></Relationships>
</file>

<file path=xl/charts/_rels/chart71.xml.rels><?xml version="1.0" encoding="UTF-8" standalone="yes"?>
<Relationships xmlns="http://schemas.openxmlformats.org/package/2006/relationships"><Relationship Id="rId3" Type="http://schemas.openxmlformats.org/officeDocument/2006/relationships/chartUserShapes" Target="../drawings/drawing78.xml"/><Relationship Id="rId2" Type="http://schemas.microsoft.com/office/2011/relationships/chartColorStyle" Target="colors50.xml"/><Relationship Id="rId1" Type="http://schemas.microsoft.com/office/2011/relationships/chartStyle" Target="style50.xml"/></Relationships>
</file>

<file path=xl/charts/_rels/chart72.xml.rels><?xml version="1.0" encoding="UTF-8" standalone="yes"?>
<Relationships xmlns="http://schemas.openxmlformats.org/package/2006/relationships"><Relationship Id="rId1" Type="http://schemas.openxmlformats.org/officeDocument/2006/relationships/chartUserShapes" Target="../drawings/drawing80.xml"/></Relationships>
</file>

<file path=xl/charts/_rels/chart73.xml.rels><?xml version="1.0" encoding="UTF-8" standalone="yes"?>
<Relationships xmlns="http://schemas.openxmlformats.org/package/2006/relationships"><Relationship Id="rId3" Type="http://schemas.openxmlformats.org/officeDocument/2006/relationships/chartUserShapes" Target="../drawings/drawing81.xml"/><Relationship Id="rId2" Type="http://schemas.microsoft.com/office/2011/relationships/chartColorStyle" Target="colors51.xml"/><Relationship Id="rId1" Type="http://schemas.microsoft.com/office/2011/relationships/chartStyle" Target="style51.xml"/></Relationships>
</file>

<file path=xl/charts/_rels/chart74.xml.rels><?xml version="1.0" encoding="UTF-8" standalone="yes"?>
<Relationships xmlns="http://schemas.openxmlformats.org/package/2006/relationships"><Relationship Id="rId3" Type="http://schemas.openxmlformats.org/officeDocument/2006/relationships/chartUserShapes" Target="../drawings/drawing82.xml"/><Relationship Id="rId2" Type="http://schemas.microsoft.com/office/2011/relationships/chartColorStyle" Target="colors52.xml"/><Relationship Id="rId1" Type="http://schemas.microsoft.com/office/2011/relationships/chartStyle" Target="style52.xml"/></Relationships>
</file>

<file path=xl/charts/_rels/chart75.xml.rels><?xml version="1.0" encoding="UTF-8" standalone="yes"?>
<Relationships xmlns="http://schemas.openxmlformats.org/package/2006/relationships"><Relationship Id="rId3" Type="http://schemas.openxmlformats.org/officeDocument/2006/relationships/chartUserShapes" Target="../drawings/drawing83.xml"/><Relationship Id="rId2" Type="http://schemas.microsoft.com/office/2011/relationships/chartColorStyle" Target="colors53.xml"/><Relationship Id="rId1" Type="http://schemas.microsoft.com/office/2011/relationships/chartStyle" Target="style53.xml"/></Relationships>
</file>

<file path=xl/charts/_rels/chart76.xml.rels><?xml version="1.0" encoding="UTF-8" standalone="yes"?>
<Relationships xmlns="http://schemas.openxmlformats.org/package/2006/relationships"><Relationship Id="rId3" Type="http://schemas.openxmlformats.org/officeDocument/2006/relationships/chartUserShapes" Target="../drawings/drawing84.xml"/><Relationship Id="rId2" Type="http://schemas.microsoft.com/office/2011/relationships/chartColorStyle" Target="colors54.xml"/><Relationship Id="rId1" Type="http://schemas.microsoft.com/office/2011/relationships/chartStyle" Target="style54.xml"/></Relationships>
</file>

<file path=xl/charts/_rels/chart77.xml.rels><?xml version="1.0" encoding="UTF-8" standalone="yes"?>
<Relationships xmlns="http://schemas.openxmlformats.org/package/2006/relationships"><Relationship Id="rId3" Type="http://schemas.openxmlformats.org/officeDocument/2006/relationships/chartUserShapes" Target="../drawings/drawing86.xml"/><Relationship Id="rId2" Type="http://schemas.microsoft.com/office/2011/relationships/chartColorStyle" Target="colors55.xml"/><Relationship Id="rId1" Type="http://schemas.microsoft.com/office/2011/relationships/chartStyle" Target="style55.xml"/></Relationships>
</file>

<file path=xl/charts/_rels/chart78.xml.rels><?xml version="1.0" encoding="UTF-8" standalone="yes"?>
<Relationships xmlns="http://schemas.openxmlformats.org/package/2006/relationships"><Relationship Id="rId3" Type="http://schemas.openxmlformats.org/officeDocument/2006/relationships/chartUserShapes" Target="../drawings/drawing87.xml"/><Relationship Id="rId2" Type="http://schemas.microsoft.com/office/2011/relationships/chartColorStyle" Target="colors56.xml"/><Relationship Id="rId1" Type="http://schemas.microsoft.com/office/2011/relationships/chartStyle" Target="style56.xml"/></Relationships>
</file>

<file path=xl/charts/_rels/chart79.xml.rels><?xml version="1.0" encoding="UTF-8" standalone="yes"?>
<Relationships xmlns="http://schemas.openxmlformats.org/package/2006/relationships"><Relationship Id="rId3" Type="http://schemas.openxmlformats.org/officeDocument/2006/relationships/chartUserShapes" Target="../drawings/drawing88.xml"/><Relationship Id="rId2" Type="http://schemas.microsoft.com/office/2011/relationships/chartColorStyle" Target="colors57.xml"/><Relationship Id="rId1" Type="http://schemas.microsoft.com/office/2011/relationships/chartStyle" Target="style57.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80.xml.rels><?xml version="1.0" encoding="UTF-8" standalone="yes"?>
<Relationships xmlns="http://schemas.openxmlformats.org/package/2006/relationships"><Relationship Id="rId3" Type="http://schemas.openxmlformats.org/officeDocument/2006/relationships/chartUserShapes" Target="../drawings/drawing89.xml"/><Relationship Id="rId2" Type="http://schemas.microsoft.com/office/2011/relationships/chartColorStyle" Target="colors58.xml"/><Relationship Id="rId1" Type="http://schemas.microsoft.com/office/2011/relationships/chartStyle" Target="style58.xml"/></Relationships>
</file>

<file path=xl/charts/_rels/chart81.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59.xml"/><Relationship Id="rId1" Type="http://schemas.microsoft.com/office/2011/relationships/chartStyle" Target="style59.xml"/></Relationships>
</file>

<file path=xl/charts/_rels/chart82.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60.xml"/><Relationship Id="rId1" Type="http://schemas.microsoft.com/office/2011/relationships/chartStyle" Target="style60.xml"/></Relationships>
</file>

<file path=xl/charts/_rels/chart83.xml.rels><?xml version="1.0" encoding="UTF-8" standalone="yes"?>
<Relationships xmlns="http://schemas.openxmlformats.org/package/2006/relationships"><Relationship Id="rId3" Type="http://schemas.openxmlformats.org/officeDocument/2006/relationships/chartUserShapes" Target="../drawings/drawing93.xml"/><Relationship Id="rId2" Type="http://schemas.microsoft.com/office/2011/relationships/chartColorStyle" Target="colors61.xml"/><Relationship Id="rId1" Type="http://schemas.microsoft.com/office/2011/relationships/chartStyle" Target="style61.xml"/></Relationships>
</file>

<file path=xl/charts/_rels/chart84.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62.xml"/><Relationship Id="rId1" Type="http://schemas.microsoft.com/office/2011/relationships/chartStyle" Target="style62.xml"/></Relationships>
</file>

<file path=xl/charts/_rels/chart85.xml.rels><?xml version="1.0" encoding="UTF-8" standalone="yes"?>
<Relationships xmlns="http://schemas.openxmlformats.org/package/2006/relationships"><Relationship Id="rId3" Type="http://schemas.openxmlformats.org/officeDocument/2006/relationships/chartUserShapes" Target="../drawings/drawing95.xml"/><Relationship Id="rId2" Type="http://schemas.microsoft.com/office/2011/relationships/chartColorStyle" Target="colors63.xml"/><Relationship Id="rId1" Type="http://schemas.microsoft.com/office/2011/relationships/chartStyle" Target="style63.xml"/></Relationships>
</file>

<file path=xl/charts/_rels/chart86.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64.xml"/><Relationship Id="rId1" Type="http://schemas.microsoft.com/office/2011/relationships/chartStyle" Target="style64.xml"/></Relationships>
</file>

<file path=xl/charts/_rels/chart87.xml.rels><?xml version="1.0" encoding="UTF-8" standalone="yes"?>
<Relationships xmlns="http://schemas.openxmlformats.org/package/2006/relationships"><Relationship Id="rId3" Type="http://schemas.openxmlformats.org/officeDocument/2006/relationships/chartUserShapes" Target="../drawings/drawing98.xml"/><Relationship Id="rId2" Type="http://schemas.microsoft.com/office/2011/relationships/chartColorStyle" Target="colors65.xml"/><Relationship Id="rId1" Type="http://schemas.microsoft.com/office/2011/relationships/chartStyle" Target="style65.xml"/></Relationships>
</file>

<file path=xl/charts/_rels/chart88.xml.rels><?xml version="1.0" encoding="UTF-8" standalone="yes"?>
<Relationships xmlns="http://schemas.openxmlformats.org/package/2006/relationships"><Relationship Id="rId3" Type="http://schemas.openxmlformats.org/officeDocument/2006/relationships/chartUserShapes" Target="../drawings/drawing99.xml"/><Relationship Id="rId2" Type="http://schemas.microsoft.com/office/2011/relationships/chartColorStyle" Target="colors66.xml"/><Relationship Id="rId1" Type="http://schemas.microsoft.com/office/2011/relationships/chartStyle" Target="style66.xml"/></Relationships>
</file>

<file path=xl/charts/_rels/chart89.xml.rels><?xml version="1.0" encoding="UTF-8" standalone="yes"?>
<Relationships xmlns="http://schemas.openxmlformats.org/package/2006/relationships"><Relationship Id="rId3" Type="http://schemas.openxmlformats.org/officeDocument/2006/relationships/chartUserShapes" Target="../drawings/drawing100.xml"/><Relationship Id="rId2" Type="http://schemas.microsoft.com/office/2011/relationships/chartColorStyle" Target="colors67.xml"/><Relationship Id="rId1" Type="http://schemas.microsoft.com/office/2011/relationships/chartStyle" Target="style6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2014</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EC15-4EA5-85DC-82DEB0392ADD}"/>
              </c:ext>
            </c:extLst>
          </c:dPt>
          <c:dPt>
            <c:idx val="1"/>
            <c:bubble3D val="0"/>
            <c:spPr>
              <a:solidFill>
                <a:srgbClr val="FF0000"/>
              </a:solidFill>
              <a:ln>
                <a:solidFill>
                  <a:schemeClr val="bg1"/>
                </a:solidFill>
              </a:ln>
            </c:spPr>
            <c:extLst>
              <c:ext xmlns:c16="http://schemas.microsoft.com/office/drawing/2014/chart" uri="{C3380CC4-5D6E-409C-BE32-E72D297353CC}">
                <c16:uniqueId val="{00000003-EC15-4EA5-85DC-82DEB0392ADD}"/>
              </c:ext>
            </c:extLst>
          </c:dPt>
          <c:dPt>
            <c:idx val="2"/>
            <c:bubble3D val="0"/>
            <c:spPr>
              <a:solidFill>
                <a:srgbClr val="7030A0"/>
              </a:solidFill>
              <a:ln>
                <a:solidFill>
                  <a:schemeClr val="bg1"/>
                </a:solidFill>
              </a:ln>
            </c:spPr>
            <c:extLst>
              <c:ext xmlns:c16="http://schemas.microsoft.com/office/drawing/2014/chart" uri="{C3380CC4-5D6E-409C-BE32-E72D297353CC}">
                <c16:uniqueId val="{00000005-EC15-4EA5-85DC-82DEB0392ADD}"/>
              </c:ext>
            </c:extLst>
          </c:dPt>
          <c:dPt>
            <c:idx val="3"/>
            <c:bubble3D val="0"/>
            <c:spPr>
              <a:solidFill>
                <a:srgbClr val="FFC000"/>
              </a:solidFill>
              <a:ln>
                <a:solidFill>
                  <a:schemeClr val="bg1"/>
                </a:solidFill>
              </a:ln>
            </c:spPr>
            <c:extLst>
              <c:ext xmlns:c16="http://schemas.microsoft.com/office/drawing/2014/chart" uri="{C3380CC4-5D6E-409C-BE32-E72D297353CC}">
                <c16:uniqueId val="{00000007-EC15-4EA5-85DC-82DEB0392ADD}"/>
              </c:ext>
            </c:extLst>
          </c:dPt>
          <c:dPt>
            <c:idx val="4"/>
            <c:bubble3D val="0"/>
            <c:spPr>
              <a:solidFill>
                <a:srgbClr val="008000"/>
              </a:solidFill>
              <a:ln>
                <a:solidFill>
                  <a:schemeClr val="bg1"/>
                </a:solidFill>
              </a:ln>
            </c:spPr>
            <c:extLst>
              <c:ext xmlns:c16="http://schemas.microsoft.com/office/drawing/2014/chart" uri="{C3380CC4-5D6E-409C-BE32-E72D297353CC}">
                <c16:uniqueId val="{00000009-EC15-4EA5-85DC-82DEB0392ADD}"/>
              </c:ext>
            </c:extLst>
          </c:dPt>
          <c:dPt>
            <c:idx val="5"/>
            <c:bubble3D val="0"/>
            <c:spPr>
              <a:solidFill>
                <a:schemeClr val="accent2"/>
              </a:solidFill>
              <a:ln>
                <a:solidFill>
                  <a:schemeClr val="bg1"/>
                </a:solidFill>
              </a:ln>
            </c:spPr>
            <c:extLst>
              <c:ext xmlns:c16="http://schemas.microsoft.com/office/drawing/2014/chart" uri="{C3380CC4-5D6E-409C-BE32-E72D297353CC}">
                <c16:uniqueId val="{0000000B-EC15-4EA5-85DC-82DEB0392ADD}"/>
              </c:ext>
            </c:extLst>
          </c:dPt>
          <c:dLbls>
            <c:dLbl>
              <c:idx val="0"/>
              <c:layout>
                <c:manualLayout>
                  <c:x val="-0.20629953074047599"/>
                  <c:y val="0.232157938202662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319191919191899"/>
                      <c:h val="0.28706765691402503"/>
                    </c:manualLayout>
                  </c15:layout>
                </c:ext>
                <c:ext xmlns:c16="http://schemas.microsoft.com/office/drawing/2014/chart" uri="{C3380CC4-5D6E-409C-BE32-E72D297353CC}">
                  <c16:uniqueId val="{00000001-EC15-4EA5-85DC-82DEB0392ADD}"/>
                </c:ext>
              </c:extLst>
            </c:dLbl>
            <c:dLbl>
              <c:idx val="1"/>
              <c:layout>
                <c:manualLayout>
                  <c:x val="-0.20870468464169301"/>
                  <c:y val="-0.1674124455004679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0327272727272699"/>
                      <c:h val="0.232109444050799"/>
                    </c:manualLayout>
                  </c15:layout>
                </c:ext>
                <c:ext xmlns:c16="http://schemas.microsoft.com/office/drawing/2014/chart" uri="{C3380CC4-5D6E-409C-BE32-E72D297353CC}">
                  <c16:uniqueId val="{00000003-EC15-4EA5-85DC-82DEB0392ADD}"/>
                </c:ext>
              </c:extLst>
            </c:dLbl>
            <c:dLbl>
              <c:idx val="3"/>
              <c:layout>
                <c:manualLayout>
                  <c:x val="0.167276863119383"/>
                  <c:y val="-6.8563480778110406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741414141414099"/>
                      <c:h val="0.28706765691402503"/>
                    </c:manualLayout>
                  </c15:layout>
                </c:ext>
                <c:ext xmlns:c16="http://schemas.microsoft.com/office/drawing/2014/chart" uri="{C3380CC4-5D6E-409C-BE32-E72D297353CC}">
                  <c16:uniqueId val="{00000007-EC15-4EA5-85DC-82DEB0392ADD}"/>
                </c:ext>
              </c:extLst>
            </c:dLbl>
            <c:dLbl>
              <c:idx val="5"/>
              <c:layout>
                <c:manualLayout>
                  <c:x val="0.143008669370874"/>
                  <c:y val="0.13515851787694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010101010101001"/>
                      <c:h val="0.232109444050799"/>
                    </c:manualLayout>
                  </c15:layout>
                </c:ext>
                <c:ext xmlns:c16="http://schemas.microsoft.com/office/drawing/2014/chart" uri="{C3380CC4-5D6E-409C-BE32-E72D297353CC}">
                  <c16:uniqueId val="{0000000B-EC15-4EA5-85DC-82DEB0392ADD}"/>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Patents-in-Force'!$N$8:$N$13</c:f>
              <c:numCache>
                <c:formatCode>#,##0</c:formatCode>
                <c:ptCount val="6"/>
                <c:pt idx="0">
                  <c:v>2484819</c:v>
                </c:pt>
                <c:pt idx="1">
                  <c:v>1920490</c:v>
                </c:pt>
                <c:pt idx="2">
                  <c:v>885904</c:v>
                </c:pt>
                <c:pt idx="3">
                  <c:v>1196497</c:v>
                </c:pt>
                <c:pt idx="4">
                  <c:v>2527750</c:v>
                </c:pt>
                <c:pt idx="5">
                  <c:v>1017525</c:v>
                </c:pt>
              </c:numCache>
            </c:numRef>
          </c:val>
          <c:extLst>
            <c:ext xmlns:c16="http://schemas.microsoft.com/office/drawing/2014/chart" uri="{C3380CC4-5D6E-409C-BE32-E72D297353CC}">
              <c16:uniqueId val="{0000000C-EC15-4EA5-85DC-82DEB0392AD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EC15-4EA5-85DC-82DEB0392AD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EC15-4EA5-85DC-82DEB0392AD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EC15-4EA5-85DC-82DEB0392AD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EC15-4EA5-85DC-82DEB0392AD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EC15-4EA5-85DC-82DEB0392AD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EC15-4EA5-85DC-82DEB0392ADD}"/>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EC15-4EA5-85DC-82DEB0392ADD}"/>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583c5101-c6b1-4e75-aa18-464955c02d72}"/>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2012</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3CBC-48D0-884A-B01969626949}"/>
              </c:ext>
            </c:extLst>
          </c:dPt>
          <c:dPt>
            <c:idx val="1"/>
            <c:bubble3D val="0"/>
            <c:spPr>
              <a:solidFill>
                <a:srgbClr val="FF0000"/>
              </a:solidFill>
              <a:ln>
                <a:solidFill>
                  <a:schemeClr val="bg1"/>
                </a:solidFill>
              </a:ln>
            </c:spPr>
            <c:extLst>
              <c:ext xmlns:c16="http://schemas.microsoft.com/office/drawing/2014/chart" uri="{C3380CC4-5D6E-409C-BE32-E72D297353CC}">
                <c16:uniqueId val="{00000003-3CBC-48D0-884A-B01969626949}"/>
              </c:ext>
            </c:extLst>
          </c:dPt>
          <c:dPt>
            <c:idx val="2"/>
            <c:bubble3D val="0"/>
            <c:spPr>
              <a:solidFill>
                <a:srgbClr val="7030A0"/>
              </a:solidFill>
              <a:ln>
                <a:solidFill>
                  <a:schemeClr val="bg1"/>
                </a:solidFill>
              </a:ln>
            </c:spPr>
            <c:extLst>
              <c:ext xmlns:c16="http://schemas.microsoft.com/office/drawing/2014/chart" uri="{C3380CC4-5D6E-409C-BE32-E72D297353CC}">
                <c16:uniqueId val="{00000005-3CBC-48D0-884A-B01969626949}"/>
              </c:ext>
            </c:extLst>
          </c:dPt>
          <c:dPt>
            <c:idx val="3"/>
            <c:bubble3D val="0"/>
            <c:spPr>
              <a:solidFill>
                <a:srgbClr val="FFC000"/>
              </a:solidFill>
              <a:ln>
                <a:solidFill>
                  <a:schemeClr val="bg1"/>
                </a:solidFill>
              </a:ln>
            </c:spPr>
            <c:extLst>
              <c:ext xmlns:c16="http://schemas.microsoft.com/office/drawing/2014/chart" uri="{C3380CC4-5D6E-409C-BE32-E72D297353CC}">
                <c16:uniqueId val="{00000007-3CBC-48D0-884A-B01969626949}"/>
              </c:ext>
            </c:extLst>
          </c:dPt>
          <c:dPt>
            <c:idx val="4"/>
            <c:bubble3D val="0"/>
            <c:spPr>
              <a:solidFill>
                <a:srgbClr val="008000"/>
              </a:solidFill>
              <a:ln>
                <a:solidFill>
                  <a:schemeClr val="bg1"/>
                </a:solidFill>
              </a:ln>
            </c:spPr>
            <c:extLst>
              <c:ext xmlns:c16="http://schemas.microsoft.com/office/drawing/2014/chart" uri="{C3380CC4-5D6E-409C-BE32-E72D297353CC}">
                <c16:uniqueId val="{00000009-3CBC-48D0-884A-B01969626949}"/>
              </c:ext>
            </c:extLst>
          </c:dPt>
          <c:dPt>
            <c:idx val="5"/>
            <c:bubble3D val="0"/>
            <c:spPr>
              <a:solidFill>
                <a:schemeClr val="accent2"/>
              </a:solidFill>
              <a:ln>
                <a:solidFill>
                  <a:schemeClr val="bg1"/>
                </a:solidFill>
              </a:ln>
            </c:spPr>
            <c:extLst>
              <c:ext xmlns:c16="http://schemas.microsoft.com/office/drawing/2014/chart" uri="{C3380CC4-5D6E-409C-BE32-E72D297353CC}">
                <c16:uniqueId val="{0000000B-3CBC-48D0-884A-B01969626949}"/>
              </c:ext>
            </c:extLst>
          </c:dPt>
          <c:dLbls>
            <c:dLbl>
              <c:idx val="3"/>
              <c:layout>
                <c:manualLayout>
                  <c:x val="0.17378668575518999"/>
                  <c:y val="-8.3699939454809705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408096715183299"/>
                      <c:h val="0.232109444050799"/>
                    </c:manualLayout>
                  </c15:layout>
                </c:ext>
                <c:ext xmlns:c16="http://schemas.microsoft.com/office/drawing/2014/chart" uri="{C3380CC4-5D6E-409C-BE32-E72D297353CC}">
                  <c16:uniqueId val="{00000007-3CBC-48D0-884A-B01969626949}"/>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Patents-in-Force'!$J$8:$J$13</c:f>
              <c:numCache>
                <c:formatCode>#,##0</c:formatCode>
                <c:ptCount val="6"/>
                <c:pt idx="0">
                  <c:v>2135765</c:v>
                </c:pt>
                <c:pt idx="1">
                  <c:v>1694435</c:v>
                </c:pt>
                <c:pt idx="2">
                  <c:v>738312</c:v>
                </c:pt>
                <c:pt idx="3">
                  <c:v>875385</c:v>
                </c:pt>
                <c:pt idx="4">
                  <c:v>2239231</c:v>
                </c:pt>
                <c:pt idx="5">
                  <c:v>858959</c:v>
                </c:pt>
              </c:numCache>
            </c:numRef>
          </c:val>
          <c:extLst>
            <c:ext xmlns:c16="http://schemas.microsoft.com/office/drawing/2014/chart" uri="{C3380CC4-5D6E-409C-BE32-E72D297353CC}">
              <c16:uniqueId val="{0000000C-3CBC-48D0-884A-B01969626949}"/>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3CBC-48D0-884A-B0196962694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3CBC-48D0-884A-B0196962694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3CBC-48D0-884A-B0196962694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3CBC-48D0-884A-B0196962694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3CBC-48D0-884A-B0196962694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3CBC-48D0-884A-B01969626949}"/>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3CBC-48D0-884A-B01969626949}"/>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e7113ee2-2c58-4989-b230-7e0f7bf901cb}"/>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2011</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6EE1-4C61-A0FB-689B3C71ACA9}"/>
              </c:ext>
            </c:extLst>
          </c:dPt>
          <c:dPt>
            <c:idx val="1"/>
            <c:bubble3D val="0"/>
            <c:spPr>
              <a:solidFill>
                <a:srgbClr val="FF0000"/>
              </a:solidFill>
              <a:ln>
                <a:solidFill>
                  <a:schemeClr val="bg1"/>
                </a:solidFill>
              </a:ln>
            </c:spPr>
            <c:extLst>
              <c:ext xmlns:c16="http://schemas.microsoft.com/office/drawing/2014/chart" uri="{C3380CC4-5D6E-409C-BE32-E72D297353CC}">
                <c16:uniqueId val="{00000003-6EE1-4C61-A0FB-689B3C71ACA9}"/>
              </c:ext>
            </c:extLst>
          </c:dPt>
          <c:dPt>
            <c:idx val="2"/>
            <c:bubble3D val="0"/>
            <c:spPr>
              <a:solidFill>
                <a:srgbClr val="7030A0"/>
              </a:solidFill>
              <a:ln>
                <a:solidFill>
                  <a:schemeClr val="bg1"/>
                </a:solidFill>
              </a:ln>
            </c:spPr>
            <c:extLst>
              <c:ext xmlns:c16="http://schemas.microsoft.com/office/drawing/2014/chart" uri="{C3380CC4-5D6E-409C-BE32-E72D297353CC}">
                <c16:uniqueId val="{00000005-6EE1-4C61-A0FB-689B3C71ACA9}"/>
              </c:ext>
            </c:extLst>
          </c:dPt>
          <c:dPt>
            <c:idx val="3"/>
            <c:bubble3D val="0"/>
            <c:spPr>
              <a:solidFill>
                <a:srgbClr val="FFC000"/>
              </a:solidFill>
              <a:ln>
                <a:solidFill>
                  <a:schemeClr val="bg1"/>
                </a:solidFill>
              </a:ln>
            </c:spPr>
            <c:extLst>
              <c:ext xmlns:c16="http://schemas.microsoft.com/office/drawing/2014/chart" uri="{C3380CC4-5D6E-409C-BE32-E72D297353CC}">
                <c16:uniqueId val="{00000007-6EE1-4C61-A0FB-689B3C71ACA9}"/>
              </c:ext>
            </c:extLst>
          </c:dPt>
          <c:dPt>
            <c:idx val="4"/>
            <c:bubble3D val="0"/>
            <c:spPr>
              <a:solidFill>
                <a:srgbClr val="008000"/>
              </a:solidFill>
              <a:ln>
                <a:solidFill>
                  <a:schemeClr val="bg1"/>
                </a:solidFill>
              </a:ln>
            </c:spPr>
            <c:extLst>
              <c:ext xmlns:c16="http://schemas.microsoft.com/office/drawing/2014/chart" uri="{C3380CC4-5D6E-409C-BE32-E72D297353CC}">
                <c16:uniqueId val="{00000009-6EE1-4C61-A0FB-689B3C71ACA9}"/>
              </c:ext>
            </c:extLst>
          </c:dPt>
          <c:dPt>
            <c:idx val="5"/>
            <c:bubble3D val="0"/>
            <c:spPr>
              <a:solidFill>
                <a:schemeClr val="accent2"/>
              </a:solidFill>
              <a:ln>
                <a:solidFill>
                  <a:schemeClr val="bg1"/>
                </a:solidFill>
              </a:ln>
            </c:spPr>
            <c:extLst>
              <c:ext xmlns:c16="http://schemas.microsoft.com/office/drawing/2014/chart" uri="{C3380CC4-5D6E-409C-BE32-E72D297353CC}">
                <c16:uniqueId val="{0000000B-6EE1-4C61-A0FB-689B3C71ACA9}"/>
              </c:ext>
            </c:extLst>
          </c:dPt>
          <c:dLbls>
            <c:dLbl>
              <c:idx val="0"/>
              <c:layout>
                <c:manualLayout>
                  <c:x val="-0.21466412153026301"/>
                  <c:y val="0.216924330112097"/>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8949494949495"/>
                      <c:h val="0.28706765691402503"/>
                    </c:manualLayout>
                  </c15:layout>
                </c:ext>
                <c:ext xmlns:c16="http://schemas.microsoft.com/office/drawing/2014/chart" uri="{C3380CC4-5D6E-409C-BE32-E72D297353CC}">
                  <c16:uniqueId val="{00000001-6EE1-4C61-A0FB-689B3C71ACA9}"/>
                </c:ext>
              </c:extLst>
            </c:dLbl>
            <c:dLbl>
              <c:idx val="3"/>
              <c:layout>
                <c:manualLayout>
                  <c:x val="0.160552612741589"/>
                  <c:y val="-0.108648166711616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197717330788197"/>
                      <c:h val="0.232109444050799"/>
                    </c:manualLayout>
                  </c15:layout>
                </c:ext>
                <c:ext xmlns:c16="http://schemas.microsoft.com/office/drawing/2014/chart" uri="{C3380CC4-5D6E-409C-BE32-E72D297353CC}">
                  <c16:uniqueId val="{00000007-6EE1-4C61-A0FB-689B3C71ACA9}"/>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Patents-in-Force'!$H$8:$H$13</c:f>
              <c:numCache>
                <c:formatCode>#,##0</c:formatCode>
                <c:ptCount val="6"/>
                <c:pt idx="0">
                  <c:v>2005741</c:v>
                </c:pt>
                <c:pt idx="1">
                  <c:v>1542096</c:v>
                </c:pt>
                <c:pt idx="2">
                  <c:v>678005</c:v>
                </c:pt>
                <c:pt idx="3">
                  <c:v>696939</c:v>
                </c:pt>
                <c:pt idx="4">
                  <c:v>2113628</c:v>
                </c:pt>
                <c:pt idx="5">
                  <c:v>852403</c:v>
                </c:pt>
              </c:numCache>
            </c:numRef>
          </c:val>
          <c:extLst>
            <c:ext xmlns:c16="http://schemas.microsoft.com/office/drawing/2014/chart" uri="{C3380CC4-5D6E-409C-BE32-E72D297353CC}">
              <c16:uniqueId val="{0000000C-6EE1-4C61-A0FB-689B3C71ACA9}"/>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6EE1-4C61-A0FB-689B3C71ACA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6EE1-4C61-A0FB-689B3C71ACA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6EE1-4C61-A0FB-689B3C71ACA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6EE1-4C61-A0FB-689B3C71ACA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6EE1-4C61-A0FB-689B3C71ACA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6EE1-4C61-A0FB-689B3C71ACA9}"/>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6EE1-4C61-A0FB-689B3C71ACA9}"/>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230ffaea-4847-4127-abe6-c4f4e7ae3d20}"/>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2010</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CDAF-4B85-9B52-8BA456837176}"/>
              </c:ext>
            </c:extLst>
          </c:dPt>
          <c:dPt>
            <c:idx val="1"/>
            <c:bubble3D val="0"/>
            <c:spPr>
              <a:solidFill>
                <a:srgbClr val="FF0000"/>
              </a:solidFill>
              <a:ln>
                <a:solidFill>
                  <a:schemeClr val="bg1"/>
                </a:solidFill>
              </a:ln>
            </c:spPr>
            <c:extLst>
              <c:ext xmlns:c16="http://schemas.microsoft.com/office/drawing/2014/chart" uri="{C3380CC4-5D6E-409C-BE32-E72D297353CC}">
                <c16:uniqueId val="{00000003-CDAF-4B85-9B52-8BA456837176}"/>
              </c:ext>
            </c:extLst>
          </c:dPt>
          <c:dPt>
            <c:idx val="2"/>
            <c:bubble3D val="0"/>
            <c:spPr>
              <a:solidFill>
                <a:srgbClr val="7030A0"/>
              </a:solidFill>
              <a:ln>
                <a:solidFill>
                  <a:schemeClr val="bg1"/>
                </a:solidFill>
              </a:ln>
            </c:spPr>
            <c:extLst>
              <c:ext xmlns:c16="http://schemas.microsoft.com/office/drawing/2014/chart" uri="{C3380CC4-5D6E-409C-BE32-E72D297353CC}">
                <c16:uniqueId val="{00000005-CDAF-4B85-9B52-8BA456837176}"/>
              </c:ext>
            </c:extLst>
          </c:dPt>
          <c:dPt>
            <c:idx val="3"/>
            <c:bubble3D val="0"/>
            <c:spPr>
              <a:solidFill>
                <a:srgbClr val="FFC000"/>
              </a:solidFill>
              <a:ln>
                <a:solidFill>
                  <a:schemeClr val="bg1"/>
                </a:solidFill>
              </a:ln>
            </c:spPr>
            <c:extLst>
              <c:ext xmlns:c16="http://schemas.microsoft.com/office/drawing/2014/chart" uri="{C3380CC4-5D6E-409C-BE32-E72D297353CC}">
                <c16:uniqueId val="{00000007-CDAF-4B85-9B52-8BA456837176}"/>
              </c:ext>
            </c:extLst>
          </c:dPt>
          <c:dPt>
            <c:idx val="4"/>
            <c:bubble3D val="0"/>
            <c:spPr>
              <a:solidFill>
                <a:srgbClr val="008000"/>
              </a:solidFill>
              <a:ln>
                <a:solidFill>
                  <a:schemeClr val="bg1"/>
                </a:solidFill>
              </a:ln>
            </c:spPr>
            <c:extLst>
              <c:ext xmlns:c16="http://schemas.microsoft.com/office/drawing/2014/chart" uri="{C3380CC4-5D6E-409C-BE32-E72D297353CC}">
                <c16:uniqueId val="{00000009-CDAF-4B85-9B52-8BA456837176}"/>
              </c:ext>
            </c:extLst>
          </c:dPt>
          <c:dPt>
            <c:idx val="5"/>
            <c:bubble3D val="0"/>
            <c:spPr>
              <a:solidFill>
                <a:schemeClr val="accent2"/>
              </a:solidFill>
              <a:ln>
                <a:solidFill>
                  <a:schemeClr val="bg1"/>
                </a:solidFill>
              </a:ln>
            </c:spPr>
            <c:extLst>
              <c:ext xmlns:c16="http://schemas.microsoft.com/office/drawing/2014/chart" uri="{C3380CC4-5D6E-409C-BE32-E72D297353CC}">
                <c16:uniqueId val="{0000000B-CDAF-4B85-9B52-8BA456837176}"/>
              </c:ext>
            </c:extLst>
          </c:dPt>
          <c:dLbls>
            <c:dLbl>
              <c:idx val="0"/>
              <c:layout>
                <c:manualLayout>
                  <c:x val="-0.204562793287203"/>
                  <c:y val="0.235751016524423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531313131313099"/>
                      <c:h val="0.28706765691402503"/>
                    </c:manualLayout>
                  </c15:layout>
                </c:ext>
                <c:ext xmlns:c16="http://schemas.microsoft.com/office/drawing/2014/chart" uri="{C3380CC4-5D6E-409C-BE32-E72D297353CC}">
                  <c16:uniqueId val="{00000001-CDAF-4B85-9B52-8BA456837176}"/>
                </c:ext>
              </c:extLst>
            </c:dLbl>
            <c:dLbl>
              <c:idx val="3"/>
              <c:layout>
                <c:manualLayout>
                  <c:x val="0.15881810228266899"/>
                  <c:y val="-9.4063510261265901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387894694981299"/>
                      <c:h val="0.232109444050799"/>
                    </c:manualLayout>
                  </c15:layout>
                </c:ext>
                <c:ext xmlns:c16="http://schemas.microsoft.com/office/drawing/2014/chart" uri="{C3380CC4-5D6E-409C-BE32-E72D297353CC}">
                  <c16:uniqueId val="{00000007-CDAF-4B85-9B52-8BA456837176}"/>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Patents-in-Force'!$F$8:$F$13</c:f>
              <c:numCache>
                <c:formatCode>#,##0</c:formatCode>
                <c:ptCount val="6"/>
                <c:pt idx="0">
                  <c:v>1930762</c:v>
                </c:pt>
                <c:pt idx="1">
                  <c:v>1423432</c:v>
                </c:pt>
                <c:pt idx="2">
                  <c:v>640412</c:v>
                </c:pt>
                <c:pt idx="3">
                  <c:v>564760</c:v>
                </c:pt>
                <c:pt idx="4">
                  <c:v>2017318</c:v>
                </c:pt>
                <c:pt idx="5">
                  <c:v>823976</c:v>
                </c:pt>
              </c:numCache>
            </c:numRef>
          </c:val>
          <c:extLst>
            <c:ext xmlns:c16="http://schemas.microsoft.com/office/drawing/2014/chart" uri="{C3380CC4-5D6E-409C-BE32-E72D297353CC}">
              <c16:uniqueId val="{0000000C-CDAF-4B85-9B52-8BA45683717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CDAF-4B85-9B52-8BA45683717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CDAF-4B85-9B52-8BA45683717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CDAF-4B85-9B52-8BA45683717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CDAF-4B85-9B52-8BA45683717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CDAF-4B85-9B52-8BA45683717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CDAF-4B85-9B52-8BA456837176}"/>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CDAF-4B85-9B52-8BA456837176}"/>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extLst>
      <c:ext uri="{0b15fc19-7d7d-44ad-8c2d-2c3a37ce22c3}">
        <chartProps xmlns="https://web.wps.cn/et/2018/main" chartId="{f978238b-e4e1-4edb-8691-b88c1638a473}"/>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2009</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8A26-4066-B2D4-FDCE54BD97B2}"/>
              </c:ext>
            </c:extLst>
          </c:dPt>
          <c:dPt>
            <c:idx val="1"/>
            <c:bubble3D val="0"/>
            <c:spPr>
              <a:solidFill>
                <a:srgbClr val="FF0000"/>
              </a:solidFill>
              <a:ln>
                <a:solidFill>
                  <a:schemeClr val="bg1"/>
                </a:solidFill>
              </a:ln>
            </c:spPr>
            <c:extLst>
              <c:ext xmlns:c16="http://schemas.microsoft.com/office/drawing/2014/chart" uri="{C3380CC4-5D6E-409C-BE32-E72D297353CC}">
                <c16:uniqueId val="{00000003-8A26-4066-B2D4-FDCE54BD97B2}"/>
              </c:ext>
            </c:extLst>
          </c:dPt>
          <c:dPt>
            <c:idx val="2"/>
            <c:bubble3D val="0"/>
            <c:spPr>
              <a:solidFill>
                <a:srgbClr val="7030A0"/>
              </a:solidFill>
              <a:ln>
                <a:solidFill>
                  <a:schemeClr val="bg1"/>
                </a:solidFill>
              </a:ln>
            </c:spPr>
            <c:extLst>
              <c:ext xmlns:c16="http://schemas.microsoft.com/office/drawing/2014/chart" uri="{C3380CC4-5D6E-409C-BE32-E72D297353CC}">
                <c16:uniqueId val="{00000005-8A26-4066-B2D4-FDCE54BD97B2}"/>
              </c:ext>
            </c:extLst>
          </c:dPt>
          <c:dPt>
            <c:idx val="3"/>
            <c:bubble3D val="0"/>
            <c:extLst>
              <c:ext xmlns:c16="http://schemas.microsoft.com/office/drawing/2014/chart" uri="{C3380CC4-5D6E-409C-BE32-E72D297353CC}">
                <c16:uniqueId val="{00000007-8A26-4066-B2D4-FDCE54BD97B2}"/>
              </c:ext>
            </c:extLst>
          </c:dPt>
          <c:dPt>
            <c:idx val="4"/>
            <c:bubble3D val="0"/>
            <c:spPr>
              <a:solidFill>
                <a:srgbClr val="008000"/>
              </a:solidFill>
              <a:ln>
                <a:solidFill>
                  <a:schemeClr val="bg1"/>
                </a:solidFill>
              </a:ln>
            </c:spPr>
            <c:extLst>
              <c:ext xmlns:c16="http://schemas.microsoft.com/office/drawing/2014/chart" uri="{C3380CC4-5D6E-409C-BE32-E72D297353CC}">
                <c16:uniqueId val="{00000009-8A26-4066-B2D4-FDCE54BD97B2}"/>
              </c:ext>
            </c:extLst>
          </c:dPt>
          <c:dPt>
            <c:idx val="5"/>
            <c:bubble3D val="0"/>
            <c:spPr>
              <a:solidFill>
                <a:schemeClr val="accent2"/>
              </a:solidFill>
              <a:ln>
                <a:solidFill>
                  <a:schemeClr val="bg1"/>
                </a:solidFill>
              </a:ln>
            </c:spPr>
            <c:extLst>
              <c:ext xmlns:c16="http://schemas.microsoft.com/office/drawing/2014/chart" uri="{C3380CC4-5D6E-409C-BE32-E72D297353CC}">
                <c16:uniqueId val="{0000000B-8A26-4066-B2D4-FDCE54BD97B2}"/>
              </c:ext>
            </c:extLst>
          </c:dPt>
          <c:dLbls>
            <c:dLbl>
              <c:idx val="0"/>
              <c:spPr>
                <a:noFill/>
                <a:ln>
                  <a:noFill/>
                </a:ln>
                <a:effectLst/>
              </c:spPr>
              <c:txPr>
                <a:bodyPr rot="0" spcFirstLastPara="0" vertOverflow="ellipsis" vert="horz" wrap="square" lIns="38100" tIns="19050" rIns="38100" bIns="19050" anchor="ctr" anchorCtr="1">
                  <a:no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8A26-4066-B2D4-FDCE54BD97B2}"/>
                </c:ext>
              </c:extLst>
            </c:dLbl>
            <c:dLbl>
              <c:idx val="1"/>
              <c:layout>
                <c:manualLayout>
                  <c:x val="-0.206704684641693"/>
                  <c:y val="-0.1810855407839039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367676767676799"/>
                      <c:h val="0.232109444050799"/>
                    </c:manualLayout>
                  </c15:layout>
                </c:ext>
                <c:ext xmlns:c16="http://schemas.microsoft.com/office/drawing/2014/chart" uri="{C3380CC4-5D6E-409C-BE32-E72D297353CC}">
                  <c16:uniqueId val="{00000003-8A26-4066-B2D4-FDCE54BD97B2}"/>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Patents-in-Force'!$D$8:$D$13</c:f>
              <c:numCache>
                <c:formatCode>#,##0</c:formatCode>
                <c:ptCount val="6"/>
                <c:pt idx="0">
                  <c:v>1790613</c:v>
                </c:pt>
                <c:pt idx="1">
                  <c:v>1347998</c:v>
                </c:pt>
                <c:pt idx="2">
                  <c:v>640412</c:v>
                </c:pt>
                <c:pt idx="4">
                  <c:v>2017318</c:v>
                </c:pt>
                <c:pt idx="5">
                  <c:v>1129086</c:v>
                </c:pt>
              </c:numCache>
            </c:numRef>
          </c:val>
          <c:extLst>
            <c:ext xmlns:c16="http://schemas.microsoft.com/office/drawing/2014/chart" uri="{C3380CC4-5D6E-409C-BE32-E72D297353CC}">
              <c16:uniqueId val="{0000000C-8A26-4066-B2D4-FDCE54BD97B2}"/>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8A26-4066-B2D4-FDCE54BD97B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8A26-4066-B2D4-FDCE54BD97B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8A26-4066-B2D4-FDCE54BD97B2}"/>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8A26-4066-B2D4-FDCE54BD97B2}"/>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8A26-4066-B2D4-FDCE54BD97B2}"/>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8A26-4066-B2D4-FDCE54BD97B2}"/>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8A26-4066-B2D4-FDCE54BD97B2}"/>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extLst>
      <c:ext uri="{0b15fc19-7d7d-44ad-8c2d-2c3a37ce22c3}">
        <chartProps xmlns="https://web.wps.cn/et/2018/main" chartId="{cf62a2fb-dd36-4aba-be85-797c5a91b1a9}"/>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r>
              <a:rPr lang="en-US" sz="1300" b="1"/>
              <a:t>Fig. 2.2 PATENTS IN FORCE END OF 2020 - JURISDISCTION &amp; ORIGIN</a:t>
            </a:r>
          </a:p>
        </c:rich>
      </c:tx>
      <c:layout>
        <c:manualLayout>
          <c:xMode val="edge"/>
          <c:yMode val="edge"/>
          <c:x val="1.42341367634389E-2"/>
          <c:y val="2.11081794195251E-2"/>
        </c:manualLayout>
      </c:layout>
      <c:overlay val="0"/>
      <c:spPr>
        <a:noFill/>
        <a:ln>
          <a:noFill/>
        </a:ln>
        <a:effectLst/>
      </c:spPr>
      <c:txPr>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01E-2"/>
          <c:y val="0.105083553210202"/>
          <c:w val="0.850679042032088"/>
          <c:h val="0.78963761108808805"/>
        </c:manualLayout>
      </c:layout>
      <c:barChart>
        <c:barDir val="col"/>
        <c:grouping val="stacked"/>
        <c:varyColors val="0"/>
        <c:ser>
          <c:idx val="5"/>
          <c:order val="0"/>
          <c:tx>
            <c:strRef>
              <c:f>'Ch2. Patents-in-Force'!$A$144</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Patents-in-Force'!$B$138:$G$138</c:f>
              <c:strCache>
                <c:ptCount val="6"/>
                <c:pt idx="0">
                  <c:v>EPC States</c:v>
                </c:pt>
                <c:pt idx="1">
                  <c:v>Japan</c:v>
                </c:pt>
                <c:pt idx="2">
                  <c:v>R. Korea</c:v>
                </c:pt>
                <c:pt idx="3">
                  <c:v>P.R. China</c:v>
                </c:pt>
                <c:pt idx="4">
                  <c:v>U.S.</c:v>
                </c:pt>
                <c:pt idx="5">
                  <c:v>Others</c:v>
                </c:pt>
              </c:strCache>
            </c:strRef>
          </c:cat>
          <c:val>
            <c:numRef>
              <c:f>'Ch2. Patents-in-Force'!$B$144:$G$144</c:f>
              <c:numCache>
                <c:formatCode>0%</c:formatCode>
                <c:ptCount val="6"/>
                <c:pt idx="0">
                  <c:v>4.3505294441731998E-2</c:v>
                </c:pt>
                <c:pt idx="1">
                  <c:v>1.33302926867546E-2</c:v>
                </c:pt>
                <c:pt idx="2">
                  <c:v>1.17933366827115E-2</c:v>
                </c:pt>
                <c:pt idx="3">
                  <c:v>1.02703080994321E-2</c:v>
                </c:pt>
                <c:pt idx="4">
                  <c:v>9.9785665671297694E-2</c:v>
                </c:pt>
                <c:pt idx="5">
                  <c:v>0.27984791797220199</c:v>
                </c:pt>
              </c:numCache>
            </c:numRef>
          </c:val>
          <c:extLst>
            <c:ext xmlns:c16="http://schemas.microsoft.com/office/drawing/2014/chart" uri="{C3380CC4-5D6E-409C-BE32-E72D297353CC}">
              <c16:uniqueId val="{00000000-BBA5-4B20-970D-3EFB17F85DF6}"/>
            </c:ext>
          </c:extLst>
        </c:ser>
        <c:ser>
          <c:idx val="4"/>
          <c:order val="1"/>
          <c:tx>
            <c:strRef>
              <c:f>'Ch2. Patents-in-Force'!$A$143</c:f>
              <c:strCache>
                <c:ptCount val="1"/>
                <c:pt idx="0">
                  <c:v>U.S.</c:v>
                </c:pt>
              </c:strCache>
            </c:strRef>
          </c:tx>
          <c:spPr>
            <a:solidFill>
              <a:srgbClr val="00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Patents-in-Force'!$B$138:$G$138</c:f>
              <c:strCache>
                <c:ptCount val="6"/>
                <c:pt idx="0">
                  <c:v>EPC States</c:v>
                </c:pt>
                <c:pt idx="1">
                  <c:v>Japan</c:v>
                </c:pt>
                <c:pt idx="2">
                  <c:v>R. Korea</c:v>
                </c:pt>
                <c:pt idx="3">
                  <c:v>P.R. China</c:v>
                </c:pt>
                <c:pt idx="4">
                  <c:v>U.S.</c:v>
                </c:pt>
                <c:pt idx="5">
                  <c:v>Others</c:v>
                </c:pt>
              </c:strCache>
            </c:strRef>
          </c:cat>
          <c:val>
            <c:numRef>
              <c:f>'Ch2. Patents-in-Force'!$B$143:$G$143</c:f>
              <c:numCache>
                <c:formatCode>0%</c:formatCode>
                <c:ptCount val="6"/>
                <c:pt idx="0">
                  <c:v>0.20063196239244299</c:v>
                </c:pt>
                <c:pt idx="1">
                  <c:v>7.1394381669805398E-2</c:v>
                </c:pt>
                <c:pt idx="2">
                  <c:v>6.20075661904897E-2</c:v>
                </c:pt>
                <c:pt idx="3">
                  <c:v>6.0538405490927601E-2</c:v>
                </c:pt>
                <c:pt idx="4">
                  <c:v>0.48373110762498001</c:v>
                </c:pt>
                <c:pt idx="5">
                  <c:v>0.29152528824069301</c:v>
                </c:pt>
              </c:numCache>
            </c:numRef>
          </c:val>
          <c:extLst>
            <c:ext xmlns:c16="http://schemas.microsoft.com/office/drawing/2014/chart" uri="{C3380CC4-5D6E-409C-BE32-E72D297353CC}">
              <c16:uniqueId val="{00000001-BBA5-4B20-970D-3EFB17F85DF6}"/>
            </c:ext>
          </c:extLst>
        </c:ser>
        <c:ser>
          <c:idx val="3"/>
          <c:order val="2"/>
          <c:tx>
            <c:strRef>
              <c:f>'Ch2. Patents-in-Force'!$A$142</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Patents-in-Force'!$B$138:$G$138</c:f>
              <c:strCache>
                <c:ptCount val="6"/>
                <c:pt idx="0">
                  <c:v>EPC States</c:v>
                </c:pt>
                <c:pt idx="1">
                  <c:v>Japan</c:v>
                </c:pt>
                <c:pt idx="2">
                  <c:v>R. Korea</c:v>
                </c:pt>
                <c:pt idx="3">
                  <c:v>P.R. China</c:v>
                </c:pt>
                <c:pt idx="4">
                  <c:v>U.S.</c:v>
                </c:pt>
                <c:pt idx="5">
                  <c:v>Others</c:v>
                </c:pt>
              </c:strCache>
            </c:strRef>
          </c:cat>
          <c:val>
            <c:numRef>
              <c:f>'Ch2. Patents-in-Force'!$B$142:$G$142</c:f>
              <c:numCache>
                <c:formatCode>0%</c:formatCode>
                <c:ptCount val="6"/>
                <c:pt idx="0">
                  <c:v>2.6386263566447E-2</c:v>
                </c:pt>
                <c:pt idx="1">
                  <c:v>1.06143086942875E-2</c:v>
                </c:pt>
                <c:pt idx="2">
                  <c:v>1.00399281129841E-2</c:v>
                </c:pt>
                <c:pt idx="3">
                  <c:v>0.74533658355364096</c:v>
                </c:pt>
                <c:pt idx="4">
                  <c:v>3.13548694985556E-2</c:v>
                </c:pt>
                <c:pt idx="5">
                  <c:v>2.4244764418458301E-2</c:v>
                </c:pt>
              </c:numCache>
            </c:numRef>
          </c:val>
          <c:extLst>
            <c:ext xmlns:c16="http://schemas.microsoft.com/office/drawing/2014/chart" uri="{C3380CC4-5D6E-409C-BE32-E72D297353CC}">
              <c16:uniqueId val="{00000002-BBA5-4B20-970D-3EFB17F85DF6}"/>
            </c:ext>
          </c:extLst>
        </c:ser>
        <c:ser>
          <c:idx val="2"/>
          <c:order val="3"/>
          <c:tx>
            <c:strRef>
              <c:f>'Ch2. Patents-in-Force'!$A$141</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Patents-in-Force'!$B$138:$G$138</c:f>
              <c:strCache>
                <c:ptCount val="6"/>
                <c:pt idx="0">
                  <c:v>EPC States</c:v>
                </c:pt>
                <c:pt idx="1">
                  <c:v>Japan</c:v>
                </c:pt>
                <c:pt idx="2">
                  <c:v>R. Korea</c:v>
                </c:pt>
                <c:pt idx="3">
                  <c:v>P.R. China</c:v>
                </c:pt>
                <c:pt idx="4">
                  <c:v>U.S.</c:v>
                </c:pt>
                <c:pt idx="5">
                  <c:v>Others</c:v>
                </c:pt>
              </c:strCache>
            </c:strRef>
          </c:cat>
          <c:val>
            <c:numRef>
              <c:f>'Ch2. Patents-in-Force'!$B$141:$G$141</c:f>
              <c:numCache>
                <c:formatCode>0%</c:formatCode>
                <c:ptCount val="6"/>
                <c:pt idx="0">
                  <c:v>2.7488712357728699E-2</c:v>
                </c:pt>
                <c:pt idx="1">
                  <c:v>1.9707313245448801E-2</c:v>
                </c:pt>
                <c:pt idx="2">
                  <c:v>0.76040579144559095</c:v>
                </c:pt>
                <c:pt idx="3">
                  <c:v>2.15419753264064E-2</c:v>
                </c:pt>
                <c:pt idx="4">
                  <c:v>5.7545646462737E-2</c:v>
                </c:pt>
                <c:pt idx="5">
                  <c:v>1.9367119505869002E-2</c:v>
                </c:pt>
              </c:numCache>
            </c:numRef>
          </c:val>
          <c:extLst>
            <c:ext xmlns:c16="http://schemas.microsoft.com/office/drawing/2014/chart" uri="{C3380CC4-5D6E-409C-BE32-E72D297353CC}">
              <c16:uniqueId val="{00000003-BBA5-4B20-970D-3EFB17F85DF6}"/>
            </c:ext>
          </c:extLst>
        </c:ser>
        <c:ser>
          <c:idx val="1"/>
          <c:order val="4"/>
          <c:tx>
            <c:strRef>
              <c:f>'Ch2. Patents-in-Force'!$A$140</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Patents-in-Force'!$B$138:$G$138</c:f>
              <c:strCache>
                <c:ptCount val="6"/>
                <c:pt idx="0">
                  <c:v>EPC States</c:v>
                </c:pt>
                <c:pt idx="1">
                  <c:v>Japan</c:v>
                </c:pt>
                <c:pt idx="2">
                  <c:v>R. Korea</c:v>
                </c:pt>
                <c:pt idx="3">
                  <c:v>P.R. China</c:v>
                </c:pt>
                <c:pt idx="4">
                  <c:v>U.S.</c:v>
                </c:pt>
                <c:pt idx="5">
                  <c:v>Others</c:v>
                </c:pt>
              </c:strCache>
            </c:strRef>
          </c:cat>
          <c:val>
            <c:numRef>
              <c:f>'Ch2. Patents-in-Force'!$B$140:$G$140</c:f>
              <c:numCache>
                <c:formatCode>0%</c:formatCode>
                <c:ptCount val="6"/>
                <c:pt idx="0">
                  <c:v>8.6166255324676505E-2</c:v>
                </c:pt>
                <c:pt idx="1">
                  <c:v>0.81744791666666705</c:v>
                </c:pt>
                <c:pt idx="2">
                  <c:v>0.10213171809421</c:v>
                </c:pt>
                <c:pt idx="3">
                  <c:v>9.3684962346019002E-2</c:v>
                </c:pt>
                <c:pt idx="4">
                  <c:v>0.17166217660587199</c:v>
                </c:pt>
                <c:pt idx="5">
                  <c:v>9.6148273553514907E-2</c:v>
                </c:pt>
              </c:numCache>
            </c:numRef>
          </c:val>
          <c:extLst>
            <c:ext xmlns:c16="http://schemas.microsoft.com/office/drawing/2014/chart" uri="{C3380CC4-5D6E-409C-BE32-E72D297353CC}">
              <c16:uniqueId val="{00000004-BBA5-4B20-970D-3EFB17F85DF6}"/>
            </c:ext>
          </c:extLst>
        </c:ser>
        <c:ser>
          <c:idx val="0"/>
          <c:order val="5"/>
          <c:tx>
            <c:strRef>
              <c:f>'Ch2. Patents-in-Force'!$A$139</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Patents-in-Force'!$B$138:$G$138</c:f>
              <c:strCache>
                <c:ptCount val="6"/>
                <c:pt idx="0">
                  <c:v>EPC States</c:v>
                </c:pt>
                <c:pt idx="1">
                  <c:v>Japan</c:v>
                </c:pt>
                <c:pt idx="2">
                  <c:v>R. Korea</c:v>
                </c:pt>
                <c:pt idx="3">
                  <c:v>P.R. China</c:v>
                </c:pt>
                <c:pt idx="4">
                  <c:v>U.S.</c:v>
                </c:pt>
                <c:pt idx="5">
                  <c:v>Others</c:v>
                </c:pt>
              </c:strCache>
            </c:strRef>
          </c:cat>
          <c:val>
            <c:numRef>
              <c:f>'Ch2. Patents-in-Force'!$B$139:$G$139</c:f>
              <c:numCache>
                <c:formatCode>0%</c:formatCode>
                <c:ptCount val="6"/>
                <c:pt idx="0">
                  <c:v>0.61582151191697299</c:v>
                </c:pt>
                <c:pt idx="1">
                  <c:v>6.7505787037036996E-2</c:v>
                </c:pt>
                <c:pt idx="2">
                  <c:v>6.3621659474013895E-2</c:v>
                </c:pt>
                <c:pt idx="3">
                  <c:v>6.8627765183573802E-2</c:v>
                </c:pt>
                <c:pt idx="4">
                  <c:v>0.15592053413655699</c:v>
                </c:pt>
                <c:pt idx="5">
                  <c:v>0.28886663630926301</c:v>
                </c:pt>
              </c:numCache>
            </c:numRef>
          </c:val>
          <c:extLst>
            <c:ext xmlns:c16="http://schemas.microsoft.com/office/drawing/2014/chart" uri="{C3380CC4-5D6E-409C-BE32-E72D297353CC}">
              <c16:uniqueId val="{00000005-BBA5-4B20-970D-3EFB17F85DF6}"/>
            </c:ext>
          </c:extLst>
        </c:ser>
        <c:ser>
          <c:idx val="6"/>
          <c:order val="6"/>
          <c:spPr>
            <a:noFill/>
            <a:ln>
              <a:noFill/>
            </a:ln>
            <a:effectLst/>
          </c:spPr>
          <c:invertIfNegative val="0"/>
          <c:dLbls>
            <c:dLbl>
              <c:idx val="0"/>
              <c:tx>
                <c:rich>
                  <a:bodyPr/>
                  <a:lstStyle/>
                  <a:p>
                    <a:r>
                      <a:rPr lang="en-US"/>
                      <a:t>4,852,303</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BA5-4B20-970D-3EFB17F85DF6}"/>
                </c:ext>
              </c:extLst>
            </c:dLbl>
            <c:dLbl>
              <c:idx val="1"/>
              <c:tx>
                <c:rich>
                  <a:bodyPr/>
                  <a:lstStyle/>
                  <a:p>
                    <a:r>
                      <a:rPr lang="en-US"/>
                      <a:t>2,039,040</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BA5-4B20-970D-3EFB17F85DF6}"/>
                </c:ext>
              </c:extLst>
            </c:dLbl>
            <c:dLbl>
              <c:idx val="2"/>
              <c:tx>
                <c:rich>
                  <a:bodyPr/>
                  <a:lstStyle/>
                  <a:p>
                    <a:r>
                      <a:rPr lang="en-US"/>
                      <a:t>1,096,721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BA5-4B20-970D-3EFB17F85DF6}"/>
                </c:ext>
              </c:extLst>
            </c:dLbl>
            <c:dLbl>
              <c:idx val="3"/>
              <c:tx>
                <c:rich>
                  <a:bodyPr/>
                  <a:lstStyle/>
                  <a:p>
                    <a:r>
                      <a:rPr lang="en-US"/>
                      <a:t>3,057,844</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BA5-4B20-970D-3EFB17F85DF6}"/>
                </c:ext>
              </c:extLst>
            </c:dLbl>
            <c:dLbl>
              <c:idx val="4"/>
              <c:tx>
                <c:rich>
                  <a:bodyPr/>
                  <a:lstStyle/>
                  <a:p>
                    <a:r>
                      <a:rPr lang="en-US"/>
                      <a:t>3,348,531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BA5-4B20-970D-3EFB17F85DF6}"/>
                </c:ext>
              </c:extLst>
            </c:dLbl>
            <c:dLbl>
              <c:idx val="5"/>
              <c:tx>
                <c:rich>
                  <a:bodyPr/>
                  <a:lstStyle/>
                  <a:p>
                    <a:r>
                      <a:rPr lang="en-US"/>
                      <a:t>1,447,062</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BA5-4B20-970D-3EFB17F85DF6}"/>
                </c:ext>
              </c:extLst>
            </c:dLbl>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Patents-in-Force'!$B$138:$G$138</c:f>
              <c:strCache>
                <c:ptCount val="6"/>
                <c:pt idx="0">
                  <c:v>EPC States</c:v>
                </c:pt>
                <c:pt idx="1">
                  <c:v>Japan</c:v>
                </c:pt>
                <c:pt idx="2">
                  <c:v>R. Korea</c:v>
                </c:pt>
                <c:pt idx="3">
                  <c:v>P.R. China</c:v>
                </c:pt>
                <c:pt idx="4">
                  <c:v>U.S.</c:v>
                </c:pt>
                <c:pt idx="5">
                  <c:v>Others</c:v>
                </c:pt>
              </c:strCache>
            </c:strRef>
          </c:cat>
          <c:val>
            <c:numRef>
              <c:f>'Ch2. Patents-in-Force'!$B$145:$G$145</c:f>
              <c:numCache>
                <c:formatCode>#,##0</c:formatCode>
                <c:ptCount val="6"/>
                <c:pt idx="0">
                  <c:v>4904251</c:v>
                </c:pt>
                <c:pt idx="1">
                  <c:v>2020424</c:v>
                </c:pt>
                <c:pt idx="2">
                  <c:v>1153320</c:v>
                </c:pt>
                <c:pt idx="3">
                  <c:v>3596901</c:v>
                </c:pt>
                <c:pt idx="4">
                  <c:v>3327540</c:v>
                </c:pt>
                <c:pt idx="5">
                  <c:v>1442111</c:v>
                </c:pt>
              </c:numCache>
            </c:numRef>
          </c:val>
          <c:extLst>
            <c:ext xmlns:c16="http://schemas.microsoft.com/office/drawing/2014/chart" uri="{C3380CC4-5D6E-409C-BE32-E72D297353CC}">
              <c16:uniqueId val="{0000000C-BBA5-4B20-970D-3EFB17F85DF6}"/>
            </c:ext>
          </c:extLst>
        </c:ser>
        <c:dLbls>
          <c:showLegendKey val="0"/>
          <c:showVal val="0"/>
          <c:showCatName val="0"/>
          <c:showSerName val="0"/>
          <c:showPercent val="0"/>
          <c:showBubbleSize val="0"/>
        </c:dLbls>
        <c:gapWidth val="30"/>
        <c:overlap val="100"/>
        <c:axId val="1481870752"/>
        <c:axId val="1481871296"/>
      </c:barChart>
      <c:catAx>
        <c:axId val="148187075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crossAx val="1481871296"/>
        <c:crosses val="autoZero"/>
        <c:auto val="1"/>
        <c:lblAlgn val="ctr"/>
        <c:lblOffset val="100"/>
        <c:noMultiLvlLbl val="0"/>
      </c:catAx>
      <c:valAx>
        <c:axId val="1481871296"/>
        <c:scaling>
          <c:orientation val="minMax"/>
          <c:max val="1.1000000000000001"/>
          <c:min val="0"/>
        </c:scaling>
        <c:delete val="1"/>
        <c:axPos val="l"/>
        <c:numFmt formatCode="0%" sourceLinked="1"/>
        <c:majorTickMark val="out"/>
        <c:minorTickMark val="none"/>
        <c:tickLblPos val="nextTo"/>
        <c:crossAx val="1481870752"/>
        <c:crosses val="autoZero"/>
        <c:crossBetween val="between"/>
      </c:valAx>
      <c:spPr>
        <a:noFill/>
        <a:ln>
          <a:noFill/>
        </a:ln>
        <a:effectLst/>
      </c:spPr>
    </c:plotArea>
    <c:legend>
      <c:legendPos val="r"/>
      <c:legendEntry>
        <c:idx val="0"/>
        <c:delete val="1"/>
      </c:legendEntry>
      <c:layout>
        <c:manualLayout>
          <c:xMode val="edge"/>
          <c:yMode val="edge"/>
          <c:x val="0.85997794323316801"/>
          <c:y val="0.33600457837507203"/>
          <c:w val="0.13615030916819201"/>
          <c:h val="0.4110986126734160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legend>
    <c:plotVisOnly val="1"/>
    <c:dispBlanksAs val="gap"/>
    <c:showDLblsOverMax val="0"/>
    <c:extLst>
      <c:ext uri="{0b15fc19-7d7d-44ad-8c2d-2c3a37ce22c3}">
        <chartProps xmlns="https://web.wps.cn/et/2018/main" chartId="{fe224378-dcb5-4d95-90d3-89e34f4b79e0}"/>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r>
              <a:rPr lang="en-US" sz="1300" b="1"/>
              <a:t>Fig. 2.2 PATENTS IN FORCE END OF 2019 - JURISDISCTION &amp; ORIGIN</a:t>
            </a:r>
          </a:p>
        </c:rich>
      </c:tx>
      <c:layout>
        <c:manualLayout>
          <c:xMode val="edge"/>
          <c:yMode val="edge"/>
          <c:x val="1.42341367634389E-2"/>
          <c:y val="2.11081794195251E-2"/>
        </c:manualLayout>
      </c:layout>
      <c:overlay val="0"/>
      <c:spPr>
        <a:noFill/>
        <a:ln>
          <a:noFill/>
        </a:ln>
        <a:effectLst/>
      </c:spPr>
      <c:txPr>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01E-2"/>
          <c:y val="0.105083553210202"/>
          <c:w val="0.84912827095834298"/>
          <c:h val="0.79297929864030103"/>
        </c:manualLayout>
      </c:layout>
      <c:barChart>
        <c:barDir val="col"/>
        <c:grouping val="stacked"/>
        <c:varyColors val="0"/>
        <c:ser>
          <c:idx val="5"/>
          <c:order val="0"/>
          <c:tx>
            <c:strRef>
              <c:f>'Ch2. Patents-in-Force'!$A$166</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Patents-in-Force'!$B$160:$G$160</c:f>
              <c:strCache>
                <c:ptCount val="6"/>
                <c:pt idx="0">
                  <c:v>EPC States</c:v>
                </c:pt>
                <c:pt idx="1">
                  <c:v>Japan</c:v>
                </c:pt>
                <c:pt idx="2">
                  <c:v>R. Korea</c:v>
                </c:pt>
                <c:pt idx="3">
                  <c:v>P.R. China</c:v>
                </c:pt>
                <c:pt idx="4">
                  <c:v>U.S.</c:v>
                </c:pt>
                <c:pt idx="5">
                  <c:v>Others</c:v>
                </c:pt>
              </c:strCache>
            </c:strRef>
          </c:cat>
          <c:val>
            <c:numRef>
              <c:f>'Ch2. Patents-in-Force'!$B$166:$G$166</c:f>
              <c:numCache>
                <c:formatCode>0%</c:formatCode>
                <c:ptCount val="6"/>
                <c:pt idx="0">
                  <c:v>0.08</c:v>
                </c:pt>
                <c:pt idx="1">
                  <c:v>1.2797735407003E-2</c:v>
                </c:pt>
                <c:pt idx="2">
                  <c:v>1.11556476181662E-2</c:v>
                </c:pt>
                <c:pt idx="3">
                  <c:v>1.0432517193453301E-2</c:v>
                </c:pt>
                <c:pt idx="4">
                  <c:v>9.7829200552974699E-2</c:v>
                </c:pt>
                <c:pt idx="5">
                  <c:v>0.35</c:v>
                </c:pt>
              </c:numCache>
            </c:numRef>
          </c:val>
          <c:extLst>
            <c:ext xmlns:c16="http://schemas.microsoft.com/office/drawing/2014/chart" uri="{C3380CC4-5D6E-409C-BE32-E72D297353CC}">
              <c16:uniqueId val="{00000000-BC44-47F4-86E8-FDFD377E4026}"/>
            </c:ext>
          </c:extLst>
        </c:ser>
        <c:ser>
          <c:idx val="4"/>
          <c:order val="1"/>
          <c:tx>
            <c:strRef>
              <c:f>'Ch2. Patents-in-Force'!$A$165</c:f>
              <c:strCache>
                <c:ptCount val="1"/>
                <c:pt idx="0">
                  <c:v>U.S.</c:v>
                </c:pt>
              </c:strCache>
            </c:strRef>
          </c:tx>
          <c:spPr>
            <a:solidFill>
              <a:srgbClr val="00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Patents-in-Force'!$B$160:$G$160</c:f>
              <c:strCache>
                <c:ptCount val="6"/>
                <c:pt idx="0">
                  <c:v>EPC States</c:v>
                </c:pt>
                <c:pt idx="1">
                  <c:v>Japan</c:v>
                </c:pt>
                <c:pt idx="2">
                  <c:v>R. Korea</c:v>
                </c:pt>
                <c:pt idx="3">
                  <c:v>P.R. China</c:v>
                </c:pt>
                <c:pt idx="4">
                  <c:v>U.S.</c:v>
                </c:pt>
                <c:pt idx="5">
                  <c:v>Others</c:v>
                </c:pt>
              </c:strCache>
            </c:strRef>
          </c:cat>
          <c:val>
            <c:numRef>
              <c:f>'Ch2. Patents-in-Force'!$B$165:$G$165</c:f>
              <c:numCache>
                <c:formatCode>0%</c:formatCode>
                <c:ptCount val="6"/>
                <c:pt idx="0">
                  <c:v>0.17</c:v>
                </c:pt>
                <c:pt idx="1">
                  <c:v>7.1207700161499299E-2</c:v>
                </c:pt>
                <c:pt idx="2">
                  <c:v>6.3075397942330705E-2</c:v>
                </c:pt>
                <c:pt idx="3">
                  <c:v>6.6628750209676305E-2</c:v>
                </c:pt>
                <c:pt idx="4">
                  <c:v>0.49051279177193002</c:v>
                </c:pt>
                <c:pt idx="5">
                  <c:v>0.3</c:v>
                </c:pt>
              </c:numCache>
            </c:numRef>
          </c:val>
          <c:extLst>
            <c:ext xmlns:c16="http://schemas.microsoft.com/office/drawing/2014/chart" uri="{C3380CC4-5D6E-409C-BE32-E72D297353CC}">
              <c16:uniqueId val="{00000001-BC44-47F4-86E8-FDFD377E4026}"/>
            </c:ext>
          </c:extLst>
        </c:ser>
        <c:ser>
          <c:idx val="2"/>
          <c:order val="2"/>
          <c:tx>
            <c:strRef>
              <c:f>'Ch2. Patents-in-Force'!$A$163</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Patents-in-Force'!$B$160:$G$160</c:f>
              <c:strCache>
                <c:ptCount val="6"/>
                <c:pt idx="0">
                  <c:v>EPC States</c:v>
                </c:pt>
                <c:pt idx="1">
                  <c:v>Japan</c:v>
                </c:pt>
                <c:pt idx="2">
                  <c:v>R. Korea</c:v>
                </c:pt>
                <c:pt idx="3">
                  <c:v>P.R. China</c:v>
                </c:pt>
                <c:pt idx="4">
                  <c:v>U.S.</c:v>
                </c:pt>
                <c:pt idx="5">
                  <c:v>Others</c:v>
                </c:pt>
              </c:strCache>
            </c:strRef>
          </c:cat>
          <c:val>
            <c:numRef>
              <c:f>'Ch2. Patents-in-Force'!$B$163:$G$163</c:f>
              <c:numCache>
                <c:formatCode>0%</c:formatCode>
                <c:ptCount val="6"/>
                <c:pt idx="0">
                  <c:v>0.02</c:v>
                </c:pt>
                <c:pt idx="1">
                  <c:v>1.90741518852863E-2</c:v>
                </c:pt>
                <c:pt idx="2">
                  <c:v>0.75513200817877302</c:v>
                </c:pt>
                <c:pt idx="3">
                  <c:v>2.2703071457669401E-2</c:v>
                </c:pt>
                <c:pt idx="4">
                  <c:v>5.5722199495629302E-2</c:v>
                </c:pt>
                <c:pt idx="5">
                  <c:v>0.01</c:v>
                </c:pt>
              </c:numCache>
            </c:numRef>
          </c:val>
          <c:extLst>
            <c:ext xmlns:c16="http://schemas.microsoft.com/office/drawing/2014/chart" uri="{C3380CC4-5D6E-409C-BE32-E72D297353CC}">
              <c16:uniqueId val="{00000002-BC44-47F4-86E8-FDFD377E4026}"/>
            </c:ext>
          </c:extLst>
        </c:ser>
        <c:ser>
          <c:idx val="3"/>
          <c:order val="3"/>
          <c:tx>
            <c:strRef>
              <c:f>'Ch2. Patents-in-Force'!$A$164</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Patents-in-Force'!$B$160:$G$160</c:f>
              <c:strCache>
                <c:ptCount val="6"/>
                <c:pt idx="0">
                  <c:v>EPC States</c:v>
                </c:pt>
                <c:pt idx="1">
                  <c:v>Japan</c:v>
                </c:pt>
                <c:pt idx="2">
                  <c:v>R. Korea</c:v>
                </c:pt>
                <c:pt idx="3">
                  <c:v>P.R. China</c:v>
                </c:pt>
                <c:pt idx="4">
                  <c:v>U.S.</c:v>
                </c:pt>
                <c:pt idx="5">
                  <c:v>Others</c:v>
                </c:pt>
              </c:strCache>
            </c:strRef>
          </c:cat>
          <c:val>
            <c:numRef>
              <c:f>'Ch2. Patents-in-Force'!$B$164:$G$164</c:f>
              <c:numCache>
                <c:formatCode>0%</c:formatCode>
                <c:ptCount val="6"/>
                <c:pt idx="0">
                  <c:v>0.02</c:v>
                </c:pt>
                <c:pt idx="1">
                  <c:v>8.6509477919585308E-3</c:v>
                </c:pt>
                <c:pt idx="2">
                  <c:v>8.8695604052747897E-3</c:v>
                </c:pt>
                <c:pt idx="3">
                  <c:v>0.72118224461431502</c:v>
                </c:pt>
                <c:pt idx="4">
                  <c:v>2.6927978841595201E-2</c:v>
                </c:pt>
                <c:pt idx="5">
                  <c:v>2.0339442052282001E-2</c:v>
                </c:pt>
              </c:numCache>
            </c:numRef>
          </c:val>
          <c:extLst>
            <c:ext xmlns:c16="http://schemas.microsoft.com/office/drawing/2014/chart" uri="{C3380CC4-5D6E-409C-BE32-E72D297353CC}">
              <c16:uniqueId val="{00000003-BC44-47F4-86E8-FDFD377E4026}"/>
            </c:ext>
          </c:extLst>
        </c:ser>
        <c:ser>
          <c:idx val="1"/>
          <c:order val="4"/>
          <c:tx>
            <c:strRef>
              <c:f>'Ch2. Patents-in-Force'!$A$162</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Patents-in-Force'!$B$160:$G$160</c:f>
              <c:strCache>
                <c:ptCount val="6"/>
                <c:pt idx="0">
                  <c:v>EPC States</c:v>
                </c:pt>
                <c:pt idx="1">
                  <c:v>Japan</c:v>
                </c:pt>
                <c:pt idx="2">
                  <c:v>R. Korea</c:v>
                </c:pt>
                <c:pt idx="3">
                  <c:v>P.R. China</c:v>
                </c:pt>
                <c:pt idx="4">
                  <c:v>U.S.</c:v>
                </c:pt>
                <c:pt idx="5">
                  <c:v>Others</c:v>
                </c:pt>
              </c:strCache>
            </c:strRef>
          </c:cat>
          <c:val>
            <c:numRef>
              <c:f>'Ch2. Patents-in-Force'!$B$162:$G$162</c:f>
              <c:numCache>
                <c:formatCode>0%</c:formatCode>
                <c:ptCount val="6"/>
                <c:pt idx="0">
                  <c:v>0.08</c:v>
                </c:pt>
                <c:pt idx="1">
                  <c:v>0.82064133281464002</c:v>
                </c:pt>
                <c:pt idx="2">
                  <c:v>0.106947090820444</c:v>
                </c:pt>
                <c:pt idx="3">
                  <c:v>0.10361976108887901</c:v>
                </c:pt>
                <c:pt idx="4">
                  <c:v>0.17448754194174099</c:v>
                </c:pt>
                <c:pt idx="5">
                  <c:v>8.4281751604554297E-2</c:v>
                </c:pt>
              </c:numCache>
            </c:numRef>
          </c:val>
          <c:extLst>
            <c:ext xmlns:c16="http://schemas.microsoft.com/office/drawing/2014/chart" uri="{C3380CC4-5D6E-409C-BE32-E72D297353CC}">
              <c16:uniqueId val="{00000004-BC44-47F4-86E8-FDFD377E4026}"/>
            </c:ext>
          </c:extLst>
        </c:ser>
        <c:ser>
          <c:idx val="0"/>
          <c:order val="5"/>
          <c:tx>
            <c:strRef>
              <c:f>'Ch2. Patents-in-Force'!$A$161</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Patents-in-Force'!$B$160:$G$160</c:f>
              <c:strCache>
                <c:ptCount val="6"/>
                <c:pt idx="0">
                  <c:v>EPC States</c:v>
                </c:pt>
                <c:pt idx="1">
                  <c:v>Japan</c:v>
                </c:pt>
                <c:pt idx="2">
                  <c:v>R. Korea</c:v>
                </c:pt>
                <c:pt idx="3">
                  <c:v>P.R. China</c:v>
                </c:pt>
                <c:pt idx="4">
                  <c:v>U.S.</c:v>
                </c:pt>
                <c:pt idx="5">
                  <c:v>Others</c:v>
                </c:pt>
              </c:strCache>
            </c:strRef>
          </c:cat>
          <c:val>
            <c:numRef>
              <c:f>'Ch2. Patents-in-Force'!$B$161:$G$161</c:f>
              <c:numCache>
                <c:formatCode>0%</c:formatCode>
                <c:ptCount val="6"/>
                <c:pt idx="0">
                  <c:v>0.62</c:v>
                </c:pt>
                <c:pt idx="1">
                  <c:v>6.7628131939612798E-2</c:v>
                </c:pt>
                <c:pt idx="2">
                  <c:v>5.48202950350117E-2</c:v>
                </c:pt>
                <c:pt idx="3">
                  <c:v>7.5433655436006802E-2</c:v>
                </c:pt>
                <c:pt idx="4">
                  <c:v>0.15452028739613</c:v>
                </c:pt>
                <c:pt idx="5">
                  <c:v>0.24</c:v>
                </c:pt>
              </c:numCache>
            </c:numRef>
          </c:val>
          <c:extLst>
            <c:ext xmlns:c16="http://schemas.microsoft.com/office/drawing/2014/chart" uri="{C3380CC4-5D6E-409C-BE32-E72D297353CC}">
              <c16:uniqueId val="{00000005-BC44-47F4-86E8-FDFD377E4026}"/>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Patents-in-Force'!$B$160:$G$160</c:f>
              <c:strCache>
                <c:ptCount val="6"/>
                <c:pt idx="0">
                  <c:v>EPC States</c:v>
                </c:pt>
                <c:pt idx="1">
                  <c:v>Japan</c:v>
                </c:pt>
                <c:pt idx="2">
                  <c:v>R. Korea</c:v>
                </c:pt>
                <c:pt idx="3">
                  <c:v>P.R. China</c:v>
                </c:pt>
                <c:pt idx="4">
                  <c:v>U.S.</c:v>
                </c:pt>
                <c:pt idx="5">
                  <c:v>Others</c:v>
                </c:pt>
              </c:strCache>
            </c:strRef>
          </c:cat>
          <c:val>
            <c:numRef>
              <c:f>'Ch2. Patents-in-Force'!$B$167:$G$167</c:f>
              <c:numCache>
                <c:formatCode>#,##0</c:formatCode>
                <c:ptCount val="6"/>
                <c:pt idx="0">
                  <c:v>4631346</c:v>
                </c:pt>
                <c:pt idx="1">
                  <c:v>2053879</c:v>
                </c:pt>
                <c:pt idx="2">
                  <c:v>1048079</c:v>
                </c:pt>
                <c:pt idx="3">
                  <c:v>2670784</c:v>
                </c:pt>
                <c:pt idx="4">
                  <c:v>3131427</c:v>
                </c:pt>
                <c:pt idx="5">
                  <c:v>1340117</c:v>
                </c:pt>
              </c:numCache>
            </c:numRef>
          </c:val>
          <c:extLst>
            <c:ext xmlns:c16="http://schemas.microsoft.com/office/drawing/2014/chart" uri="{C3380CC4-5D6E-409C-BE32-E72D297353CC}">
              <c16:uniqueId val="{00000006-BC44-47F4-86E8-FDFD377E4026}"/>
            </c:ext>
          </c:extLst>
        </c:ser>
        <c:dLbls>
          <c:showLegendKey val="0"/>
          <c:showVal val="0"/>
          <c:showCatName val="0"/>
          <c:showSerName val="0"/>
          <c:showPercent val="0"/>
          <c:showBubbleSize val="0"/>
        </c:dLbls>
        <c:gapWidth val="30"/>
        <c:overlap val="100"/>
        <c:axId val="1481440064"/>
        <c:axId val="1784874400"/>
      </c:barChart>
      <c:catAx>
        <c:axId val="148144006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crossAx val="1784874400"/>
        <c:crosses val="autoZero"/>
        <c:auto val="1"/>
        <c:lblAlgn val="ctr"/>
        <c:lblOffset val="100"/>
        <c:noMultiLvlLbl val="0"/>
      </c:catAx>
      <c:valAx>
        <c:axId val="1784874400"/>
        <c:scaling>
          <c:orientation val="minMax"/>
          <c:max val="1.1000000000000001"/>
          <c:min val="0"/>
        </c:scaling>
        <c:delete val="1"/>
        <c:axPos val="l"/>
        <c:numFmt formatCode="0%" sourceLinked="1"/>
        <c:majorTickMark val="out"/>
        <c:minorTickMark val="none"/>
        <c:tickLblPos val="nextTo"/>
        <c:crossAx val="1481440064"/>
        <c:crosses val="autoZero"/>
        <c:crossBetween val="between"/>
      </c:valAx>
      <c:spPr>
        <a:noFill/>
        <a:ln>
          <a:noFill/>
        </a:ln>
        <a:effectLst/>
      </c:spPr>
    </c:plotArea>
    <c:legend>
      <c:legendPos val="r"/>
      <c:legendEntry>
        <c:idx val="0"/>
        <c:delete val="1"/>
      </c:legendEntry>
      <c:layout>
        <c:manualLayout>
          <c:xMode val="edge"/>
          <c:yMode val="edge"/>
          <c:x val="0.85855544734966804"/>
          <c:y val="0.33600457837507203"/>
          <c:w val="0.135657933985768"/>
          <c:h val="0.4110986126734160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legend>
    <c:plotVisOnly val="1"/>
    <c:dispBlanksAs val="gap"/>
    <c:showDLblsOverMax val="0"/>
    <c:extLst>
      <c:ext uri="{0b15fc19-7d7d-44ad-8c2d-2c3a37ce22c3}">
        <chartProps xmlns="https://web.wps.cn/et/2018/main" chartId="{960c6c00-c7a0-4897-badd-a7b922b66272}"/>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2021</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dPt>
            <c:idx val="0"/>
            <c:bubble3D val="0"/>
            <c:spPr>
              <a:solidFill>
                <a:schemeClr val="accent1"/>
              </a:solidFill>
            </c:spPr>
            <c:extLst>
              <c:ext xmlns:c16="http://schemas.microsoft.com/office/drawing/2014/chart" uri="{C3380CC4-5D6E-409C-BE32-E72D297353CC}">
                <c16:uniqueId val="{00000001-113E-4FF0-B944-81E1C3E2F4A2}"/>
              </c:ext>
            </c:extLst>
          </c:dPt>
          <c:dPt>
            <c:idx val="1"/>
            <c:bubble3D val="0"/>
            <c:spPr>
              <a:solidFill>
                <a:srgbClr val="FF0000"/>
              </a:solidFill>
            </c:spPr>
            <c:extLst>
              <c:ext xmlns:c16="http://schemas.microsoft.com/office/drawing/2014/chart" uri="{C3380CC4-5D6E-409C-BE32-E72D297353CC}">
                <c16:uniqueId val="{00000003-113E-4FF0-B944-81E1C3E2F4A2}"/>
              </c:ext>
            </c:extLst>
          </c:dPt>
          <c:dPt>
            <c:idx val="2"/>
            <c:bubble3D val="0"/>
            <c:spPr>
              <a:solidFill>
                <a:srgbClr val="7030A0"/>
              </a:solidFill>
            </c:spPr>
            <c:extLst>
              <c:ext xmlns:c16="http://schemas.microsoft.com/office/drawing/2014/chart" uri="{C3380CC4-5D6E-409C-BE32-E72D297353CC}">
                <c16:uniqueId val="{00000005-113E-4FF0-B944-81E1C3E2F4A2}"/>
              </c:ext>
            </c:extLst>
          </c:dPt>
          <c:dPt>
            <c:idx val="3"/>
            <c:bubble3D val="0"/>
            <c:spPr>
              <a:solidFill>
                <a:srgbClr val="FFC000"/>
              </a:solidFill>
            </c:spPr>
            <c:extLst>
              <c:ext xmlns:c16="http://schemas.microsoft.com/office/drawing/2014/chart" uri="{C3380CC4-5D6E-409C-BE32-E72D297353CC}">
                <c16:uniqueId val="{00000007-113E-4FF0-B944-81E1C3E2F4A2}"/>
              </c:ext>
            </c:extLst>
          </c:dPt>
          <c:dPt>
            <c:idx val="4"/>
            <c:bubble3D val="0"/>
            <c:spPr>
              <a:solidFill>
                <a:srgbClr val="008000"/>
              </a:solidFill>
            </c:spPr>
            <c:extLst>
              <c:ext xmlns:c16="http://schemas.microsoft.com/office/drawing/2014/chart" uri="{C3380CC4-5D6E-409C-BE32-E72D297353CC}">
                <c16:uniqueId val="{00000009-113E-4FF0-B944-81E1C3E2F4A2}"/>
              </c:ext>
            </c:extLst>
          </c:dPt>
          <c:dPt>
            <c:idx val="5"/>
            <c:bubble3D val="0"/>
            <c:spPr>
              <a:solidFill>
                <a:schemeClr val="accent2"/>
              </a:solidFill>
            </c:spPr>
            <c:extLst>
              <c:ext xmlns:c16="http://schemas.microsoft.com/office/drawing/2014/chart" uri="{C3380CC4-5D6E-409C-BE32-E72D297353CC}">
                <c16:uniqueId val="{0000000B-113E-4FF0-B944-81E1C3E2F4A2}"/>
              </c:ext>
            </c:extLst>
          </c:dPt>
          <c:dLbls>
            <c:dLbl>
              <c:idx val="0"/>
              <c:layout>
                <c:manualLayout>
                  <c:x val="-0.237995386940269"/>
                  <c:y val="0.224998848062506"/>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886868686868701"/>
                      <c:h val="0.28706765691402503"/>
                    </c:manualLayout>
                  </c15:layout>
                </c:ext>
                <c:ext xmlns:c16="http://schemas.microsoft.com/office/drawing/2014/chart" uri="{C3380CC4-5D6E-409C-BE32-E72D297353CC}">
                  <c16:uniqueId val="{00000001-113E-4FF0-B944-81E1C3E2F4A2}"/>
                </c:ext>
              </c:extLst>
            </c:dLbl>
            <c:dLbl>
              <c:idx val="2"/>
              <c:layout>
                <c:manualLayout>
                  <c:x val="-0.119759166467828"/>
                  <c:y val="-1.5949259328357598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06545454545455"/>
                      <c:h val="0.232109444050799"/>
                    </c:manualLayout>
                  </c15:layout>
                </c:ext>
                <c:ext xmlns:c16="http://schemas.microsoft.com/office/drawing/2014/chart" uri="{C3380CC4-5D6E-409C-BE32-E72D297353CC}">
                  <c16:uniqueId val="{00000005-113E-4FF0-B944-81E1C3E2F4A2}"/>
                </c:ext>
              </c:extLst>
            </c:dLbl>
            <c:dLbl>
              <c:idx val="3"/>
              <c:layout>
                <c:manualLayout>
                  <c:x val="0.19057679153742099"/>
                  <c:y val="-0.10319491072403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26747474747475"/>
                      <c:h val="0.28706765691402503"/>
                    </c:manualLayout>
                  </c15:layout>
                </c:ext>
                <c:ext xmlns:c16="http://schemas.microsoft.com/office/drawing/2014/chart" uri="{C3380CC4-5D6E-409C-BE32-E72D297353CC}">
                  <c16:uniqueId val="{00000007-113E-4FF0-B944-81E1C3E2F4A2}"/>
                </c:ext>
              </c:extLst>
            </c:dLbl>
            <c:dLbl>
              <c:idx val="4"/>
              <c:spPr>
                <a:noFill/>
                <a:ln>
                  <a:noFill/>
                </a:ln>
                <a:effectLst/>
              </c:spPr>
              <c:txPr>
                <a:bodyPr rot="0" spcFirstLastPara="0" vertOverflow="ellipsis" vert="horz" wrap="square" lIns="38100" tIns="19050" rIns="38100" bIns="19050" anchor="ctr" anchorCtr="1">
                  <a:noAutofit/>
                </a:bodyPr>
                <a:lstStyle/>
                <a:p>
                  <a:pPr>
                    <a:defRPr lang="zh-CN" sz="1100" b="1" i="0" u="none" strike="noStrike" kern="1200" baseline="0">
                      <a:solidFill>
                        <a:schemeClr val="bg1"/>
                      </a:solidFill>
                      <a:latin typeface="+mn-lt"/>
                      <a:ea typeface="+mn-ea"/>
                      <a:cs typeface="+mn-cs"/>
                    </a:defRPr>
                  </a:pPr>
                  <a:endParaRPr lang="zh-CN"/>
                </a:p>
              </c:txPr>
              <c:dLblPos val="bestFit"/>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113E-4FF0-B944-81E1C3E2F4A2}"/>
                </c:ext>
              </c:extLst>
            </c:dLbl>
            <c:dLbl>
              <c:idx val="5"/>
              <c:layout>
                <c:manualLayout>
                  <c:x val="0.12524473077229001"/>
                  <c:y val="0.1278811728947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058585858585899"/>
                      <c:h val="0.232109444050799"/>
                    </c:manualLayout>
                  </c15:layout>
                </c:ext>
                <c:ext xmlns:c16="http://schemas.microsoft.com/office/drawing/2014/chart" uri="{C3380CC4-5D6E-409C-BE32-E72D297353CC}">
                  <c16:uniqueId val="{0000000B-113E-4FF0-B944-81E1C3E2F4A2}"/>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bestFit"/>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Patents-in-Force'!$AB$8:$AB$13</c:f>
              <c:numCache>
                <c:formatCode>#,##0</c:formatCode>
                <c:ptCount val="6"/>
                <c:pt idx="0">
                  <c:v>4904251</c:v>
                </c:pt>
                <c:pt idx="1">
                  <c:v>2020424</c:v>
                </c:pt>
                <c:pt idx="2">
                  <c:v>1153320</c:v>
                </c:pt>
                <c:pt idx="3">
                  <c:v>3596901</c:v>
                </c:pt>
                <c:pt idx="4">
                  <c:v>3327540</c:v>
                </c:pt>
                <c:pt idx="5">
                  <c:v>1442111</c:v>
                </c:pt>
              </c:numCache>
            </c:numRef>
          </c:val>
          <c:extLst>
            <c:ext xmlns:c16="http://schemas.microsoft.com/office/drawing/2014/chart" uri="{C3380CC4-5D6E-409C-BE32-E72D297353CC}">
              <c16:uniqueId val="{0000000C-113E-4FF0-B944-81E1C3E2F4A2}"/>
            </c:ext>
          </c:extLst>
        </c:ser>
        <c:ser>
          <c:idx val="1"/>
          <c:order val="1"/>
          <c:dPt>
            <c:idx val="0"/>
            <c:bubble3D val="0"/>
            <c:extLst>
              <c:ext xmlns:c16="http://schemas.microsoft.com/office/drawing/2014/chart" uri="{C3380CC4-5D6E-409C-BE32-E72D297353CC}">
                <c16:uniqueId val="{0000000D-113E-4FF0-B944-81E1C3E2F4A2}"/>
              </c:ext>
            </c:extLst>
          </c:dPt>
          <c:dPt>
            <c:idx val="1"/>
            <c:bubble3D val="0"/>
            <c:extLst>
              <c:ext xmlns:c16="http://schemas.microsoft.com/office/drawing/2014/chart" uri="{C3380CC4-5D6E-409C-BE32-E72D297353CC}">
                <c16:uniqueId val="{0000000E-113E-4FF0-B944-81E1C3E2F4A2}"/>
              </c:ext>
            </c:extLst>
          </c:dPt>
          <c:dPt>
            <c:idx val="2"/>
            <c:bubble3D val="0"/>
            <c:extLst>
              <c:ext xmlns:c16="http://schemas.microsoft.com/office/drawing/2014/chart" uri="{C3380CC4-5D6E-409C-BE32-E72D297353CC}">
                <c16:uniqueId val="{0000000F-113E-4FF0-B944-81E1C3E2F4A2}"/>
              </c:ext>
            </c:extLst>
          </c:dPt>
          <c:dPt>
            <c:idx val="3"/>
            <c:bubble3D val="0"/>
            <c:extLst>
              <c:ext xmlns:c16="http://schemas.microsoft.com/office/drawing/2014/chart" uri="{C3380CC4-5D6E-409C-BE32-E72D297353CC}">
                <c16:uniqueId val="{00000010-113E-4FF0-B944-81E1C3E2F4A2}"/>
              </c:ext>
            </c:extLst>
          </c:dPt>
          <c:dPt>
            <c:idx val="4"/>
            <c:bubble3D val="0"/>
            <c:extLst>
              <c:ext xmlns:c16="http://schemas.microsoft.com/office/drawing/2014/chart" uri="{C3380CC4-5D6E-409C-BE32-E72D297353CC}">
                <c16:uniqueId val="{00000011-113E-4FF0-B944-81E1C3E2F4A2}"/>
              </c:ext>
            </c:extLst>
          </c:dPt>
          <c:dPt>
            <c:idx val="5"/>
            <c:bubble3D val="0"/>
            <c:extLst>
              <c:ext xmlns:c16="http://schemas.microsoft.com/office/drawing/2014/chart" uri="{C3380CC4-5D6E-409C-BE32-E72D297353CC}">
                <c16:uniqueId val="{00000012-113E-4FF0-B944-81E1C3E2F4A2}"/>
              </c:ext>
            </c:extLst>
          </c:dPt>
          <c:cat>
            <c:strRef>
              <c:f>'Ch2. Patents-in-Force'!$A$8:$A$13</c:f>
              <c:strCache>
                <c:ptCount val="6"/>
                <c:pt idx="0">
                  <c:v>EPC States</c:v>
                </c:pt>
                <c:pt idx="1">
                  <c:v>Japan</c:v>
                </c:pt>
                <c:pt idx="2">
                  <c:v>R. Korea</c:v>
                </c:pt>
                <c:pt idx="3">
                  <c:v>P.R. China</c:v>
                </c:pt>
                <c:pt idx="4">
                  <c:v>U.S.</c:v>
                </c:pt>
                <c:pt idx="5">
                  <c:v>Others</c:v>
                </c:pt>
              </c:strCache>
            </c:strRef>
          </c:cat>
          <c:val>
            <c:numRef>
              <c:f>'Ch2. Patents-in-Force'!$AC$8:$AC$13</c:f>
              <c:numCache>
                <c:formatCode>0%</c:formatCode>
                <c:ptCount val="6"/>
                <c:pt idx="0">
                  <c:v>0.3</c:v>
                </c:pt>
                <c:pt idx="1">
                  <c:v>0.12</c:v>
                </c:pt>
                <c:pt idx="2">
                  <c:v>7.0000000000000007E-2</c:v>
                </c:pt>
                <c:pt idx="3">
                  <c:v>0.22</c:v>
                </c:pt>
                <c:pt idx="4">
                  <c:v>0.2</c:v>
                </c:pt>
                <c:pt idx="5">
                  <c:v>0.09</c:v>
                </c:pt>
              </c:numCache>
            </c:numRef>
          </c:val>
          <c:extLst>
            <c:ext xmlns:c16="http://schemas.microsoft.com/office/drawing/2014/chart" uri="{C3380CC4-5D6E-409C-BE32-E72D297353CC}">
              <c16:uniqueId val="{00000013-113E-4FF0-B944-81E1C3E2F4A2}"/>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d9ccfc9c-ea3b-44d5-a1c6-2169ebb4c83c}"/>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r>
              <a:rPr lang="en-US" sz="1300" b="1"/>
              <a:t>Fig. 2.2 PATENTS IN FORCE END OF 2022 - JURISDISCTION &amp; ORIGIN</a:t>
            </a:r>
          </a:p>
        </c:rich>
      </c:tx>
      <c:layout>
        <c:manualLayout>
          <c:xMode val="edge"/>
          <c:yMode val="edge"/>
          <c:x val="1.42341367634389E-2"/>
          <c:y val="2.11081794195251E-2"/>
        </c:manualLayout>
      </c:layout>
      <c:overlay val="0"/>
      <c:spPr>
        <a:noFill/>
        <a:ln>
          <a:noFill/>
        </a:ln>
        <a:effectLst/>
      </c:spPr>
      <c:txPr>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01E-2"/>
          <c:y val="0.105083553210202"/>
          <c:w val="0.850679042032088"/>
          <c:h val="0.78963761108808805"/>
        </c:manualLayout>
      </c:layout>
      <c:barChart>
        <c:barDir val="col"/>
        <c:grouping val="stacked"/>
        <c:varyColors val="0"/>
        <c:ser>
          <c:idx val="5"/>
          <c:order val="0"/>
          <c:tx>
            <c:strRef>
              <c:f>'Ch2. Patents-in-Force'!$A$99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Patents-in-Force'!$B$99:$G$99</c:f>
              <c:numCache>
                <c:formatCode>0%</c:formatCode>
                <c:ptCount val="6"/>
                <c:pt idx="0">
                  <c:v>8.1287231281466199E-2</c:v>
                </c:pt>
                <c:pt idx="1">
                  <c:v>2.3051680372241E-2</c:v>
                </c:pt>
                <c:pt idx="2">
                  <c:v>1.8035722227804599E-2</c:v>
                </c:pt>
                <c:pt idx="3">
                  <c:v>1.39675627013799E-2</c:v>
                </c:pt>
                <c:pt idx="4">
                  <c:v>0.113802245122054</c:v>
                </c:pt>
                <c:pt idx="5">
                  <c:v>0.29756382187435099</c:v>
                </c:pt>
              </c:numCache>
            </c:numRef>
          </c:val>
          <c:extLst>
            <c:ext xmlns:c16="http://schemas.microsoft.com/office/drawing/2014/chart" uri="{C3380CC4-5D6E-409C-BE32-E72D297353CC}">
              <c16:uniqueId val="{00000000-5E8C-4355-A348-DE90E96D06D4}"/>
            </c:ext>
          </c:extLst>
        </c:ser>
        <c:ser>
          <c:idx val="4"/>
          <c:order val="1"/>
          <c:tx>
            <c:strRef>
              <c:f>'Ch2. Patents-in-Force'!$A$98</c:f>
              <c:strCache>
                <c:ptCount val="1"/>
                <c:pt idx="0">
                  <c:v>U.S.</c:v>
                </c:pt>
              </c:strCache>
            </c:strRef>
          </c:tx>
          <c:spPr>
            <a:solidFill>
              <a:srgbClr val="00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Patents-in-Force'!$B$98:$G$98</c:f>
              <c:numCache>
                <c:formatCode>0%</c:formatCode>
                <c:ptCount val="6"/>
                <c:pt idx="0">
                  <c:v>0.20600281445227001</c:v>
                </c:pt>
                <c:pt idx="1">
                  <c:v>7.2719459615823406E-2</c:v>
                </c:pt>
                <c:pt idx="2">
                  <c:v>6.26366186603588E-2</c:v>
                </c:pt>
                <c:pt idx="3">
                  <c:v>4.9214090159318602E-2</c:v>
                </c:pt>
                <c:pt idx="4">
                  <c:v>0.47418893328136702</c:v>
                </c:pt>
                <c:pt idx="5">
                  <c:v>0.28569569982626902</c:v>
                </c:pt>
              </c:numCache>
            </c:numRef>
          </c:val>
          <c:extLst>
            <c:ext xmlns:c16="http://schemas.microsoft.com/office/drawing/2014/chart" uri="{C3380CC4-5D6E-409C-BE32-E72D297353CC}">
              <c16:uniqueId val="{00000001-5E8C-4355-A348-DE90E96D06D4}"/>
            </c:ext>
          </c:extLst>
        </c:ser>
        <c:ser>
          <c:idx val="3"/>
          <c:order val="2"/>
          <c:tx>
            <c:strRef>
              <c:f>'Ch2. Patents-in-Force'!$A$97</c:f>
              <c:strCache>
                <c:ptCount val="1"/>
                <c:pt idx="0">
                  <c:v>P.R. China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Patents-in-Force'!$B$97:$G$97</c:f>
              <c:numCache>
                <c:formatCode>0%</c:formatCode>
                <c:ptCount val="6"/>
                <c:pt idx="0">
                  <c:v>3.3900749823150701E-2</c:v>
                </c:pt>
                <c:pt idx="1">
                  <c:v>1.5734593980060298E-2</c:v>
                </c:pt>
                <c:pt idx="2">
                  <c:v>1.33155320694546E-2</c:v>
                </c:pt>
                <c:pt idx="3">
                  <c:v>0.79565608182730696</c:v>
                </c:pt>
                <c:pt idx="4">
                  <c:v>4.3850142933674403E-2</c:v>
                </c:pt>
                <c:pt idx="5">
                  <c:v>3.9158494820920299E-2</c:v>
                </c:pt>
              </c:numCache>
            </c:numRef>
          </c:val>
          <c:extLst>
            <c:ext xmlns:c16="http://schemas.microsoft.com/office/drawing/2014/chart" uri="{C3380CC4-5D6E-409C-BE32-E72D297353CC}">
              <c16:uniqueId val="{00000002-5E8C-4355-A348-DE90E96D06D4}"/>
            </c:ext>
          </c:extLst>
        </c:ser>
        <c:ser>
          <c:idx val="2"/>
          <c:order val="3"/>
          <c:tx>
            <c:strRef>
              <c:f>'Ch2. Patents-in-Force'!$A$96</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Patents-in-Force'!$B$96:$G$96</c:f>
              <c:numCache>
                <c:formatCode>0%</c:formatCode>
                <c:ptCount val="6"/>
                <c:pt idx="0">
                  <c:v>3.0228650874808499E-2</c:v>
                </c:pt>
                <c:pt idx="1">
                  <c:v>2.1163765638374899E-2</c:v>
                </c:pt>
                <c:pt idx="2">
                  <c:v>0.76615497641964003</c:v>
                </c:pt>
                <c:pt idx="3">
                  <c:v>1.8229243329120199E-2</c:v>
                </c:pt>
                <c:pt idx="4">
                  <c:v>6.2498074426014398E-2</c:v>
                </c:pt>
                <c:pt idx="5">
                  <c:v>2.1776183855359E-2</c:v>
                </c:pt>
              </c:numCache>
            </c:numRef>
          </c:val>
          <c:extLst>
            <c:ext xmlns:c16="http://schemas.microsoft.com/office/drawing/2014/chart" uri="{C3380CC4-5D6E-409C-BE32-E72D297353CC}">
              <c16:uniqueId val="{00000003-5E8C-4355-A348-DE90E96D06D4}"/>
            </c:ext>
          </c:extLst>
        </c:ser>
        <c:ser>
          <c:idx val="1"/>
          <c:order val="4"/>
          <c:tx>
            <c:strRef>
              <c:f>'Ch2. Patents-in-Force'!$A$95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Patents-in-Force'!$B$95:$G$95</c:f>
              <c:numCache>
                <c:formatCode>0%</c:formatCode>
                <c:ptCount val="6"/>
                <c:pt idx="0">
                  <c:v>9.2003029030883698E-2</c:v>
                </c:pt>
                <c:pt idx="1">
                  <c:v>0.80692117130547003</c:v>
                </c:pt>
                <c:pt idx="2">
                  <c:v>9.2540765278640302E-2</c:v>
                </c:pt>
                <c:pt idx="3">
                  <c:v>7.2305414668101198E-2</c:v>
                </c:pt>
                <c:pt idx="4">
                  <c:v>0.16047935500525101</c:v>
                </c:pt>
                <c:pt idx="5">
                  <c:v>9.9827714450171204E-2</c:v>
                </c:pt>
              </c:numCache>
            </c:numRef>
          </c:val>
          <c:extLst>
            <c:ext xmlns:c16="http://schemas.microsoft.com/office/drawing/2014/chart" uri="{C3380CC4-5D6E-409C-BE32-E72D297353CC}">
              <c16:uniqueId val="{00000004-5E8C-4355-A348-DE90E96D06D4}"/>
            </c:ext>
          </c:extLst>
        </c:ser>
        <c:ser>
          <c:idx val="0"/>
          <c:order val="5"/>
          <c:tx>
            <c:strRef>
              <c:f>'Ch2. Patents-in-Force'!$A$94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Patents-in-Force'!$B$94:$G$94</c:f>
              <c:numCache>
                <c:formatCode>0%</c:formatCode>
                <c:ptCount val="6"/>
                <c:pt idx="0">
                  <c:v>0.55657752453742104</c:v>
                </c:pt>
                <c:pt idx="1">
                  <c:v>6.0409329088030199E-2</c:v>
                </c:pt>
                <c:pt idx="2">
                  <c:v>5.7316385344101897E-2</c:v>
                </c:pt>
                <c:pt idx="3">
                  <c:v>5.0627607314773199E-2</c:v>
                </c:pt>
                <c:pt idx="4">
                  <c:v>0.14518124923164</c:v>
                </c:pt>
                <c:pt idx="5">
                  <c:v>0.25597808517292903</c:v>
                </c:pt>
              </c:numCache>
            </c:numRef>
          </c:val>
          <c:extLst>
            <c:ext xmlns:c16="http://schemas.microsoft.com/office/drawing/2014/chart" uri="{C3380CC4-5D6E-409C-BE32-E72D297353CC}">
              <c16:uniqueId val="{00000005-5E8C-4355-A348-DE90E96D06D4}"/>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Patents-in-Force'!$B$100:$G$100</c:f>
              <c:numCache>
                <c:formatCode>#,##0_ </c:formatCode>
                <c:ptCount val="6"/>
                <c:pt idx="0">
                  <c:v>4831321</c:v>
                </c:pt>
                <c:pt idx="1">
                  <c:v>2029223</c:v>
                </c:pt>
                <c:pt idx="2">
                  <c:v>1214146</c:v>
                </c:pt>
                <c:pt idx="3">
                  <c:v>4212188</c:v>
                </c:pt>
                <c:pt idx="4">
                  <c:v>3343159</c:v>
                </c:pt>
                <c:pt idx="5">
                  <c:v>1596852</c:v>
                </c:pt>
              </c:numCache>
            </c:numRef>
          </c:val>
          <c:extLst>
            <c:ext xmlns:c16="http://schemas.microsoft.com/office/drawing/2014/chart" uri="{C3380CC4-5D6E-409C-BE32-E72D297353CC}">
              <c16:uniqueId val="{00000006-5E8C-4355-A348-DE90E96D06D4}"/>
            </c:ext>
          </c:extLst>
        </c:ser>
        <c:dLbls>
          <c:showLegendKey val="0"/>
          <c:showVal val="0"/>
          <c:showCatName val="0"/>
          <c:showSerName val="0"/>
          <c:showPercent val="0"/>
          <c:showBubbleSize val="0"/>
        </c:dLbls>
        <c:gapWidth val="30"/>
        <c:overlap val="100"/>
        <c:axId val="1784860800"/>
        <c:axId val="1784872768"/>
      </c:barChart>
      <c:catAx>
        <c:axId val="17848608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crossAx val="1784872768"/>
        <c:crosses val="autoZero"/>
        <c:auto val="1"/>
        <c:lblAlgn val="ctr"/>
        <c:lblOffset val="100"/>
        <c:noMultiLvlLbl val="0"/>
      </c:catAx>
      <c:valAx>
        <c:axId val="1784872768"/>
        <c:scaling>
          <c:orientation val="minMax"/>
          <c:max val="1.1000000000000001"/>
          <c:min val="0"/>
        </c:scaling>
        <c:delete val="1"/>
        <c:axPos val="l"/>
        <c:numFmt formatCode="0%" sourceLinked="1"/>
        <c:majorTickMark val="out"/>
        <c:minorTickMark val="none"/>
        <c:tickLblPos val="nextTo"/>
        <c:crossAx val="1784860800"/>
        <c:crosses val="autoZero"/>
        <c:crossBetween val="between"/>
      </c:valAx>
      <c:spPr>
        <a:noFill/>
        <a:ln>
          <a:noFill/>
        </a:ln>
        <a:effectLst/>
      </c:spPr>
    </c:plotArea>
    <c:legend>
      <c:legendPos val="r"/>
      <c:legendEntry>
        <c:idx val="0"/>
        <c:delete val="1"/>
      </c:legendEntry>
      <c:layout>
        <c:manualLayout>
          <c:xMode val="edge"/>
          <c:yMode val="edge"/>
          <c:x val="0.85997794323316801"/>
          <c:y val="0.33600457837507203"/>
          <c:w val="0.13615030916819201"/>
          <c:h val="0.4110986126734160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legend>
    <c:plotVisOnly val="1"/>
    <c:dispBlanksAs val="gap"/>
    <c:showDLblsOverMax val="0"/>
    <c:extLst>
      <c:ext uri="{0b15fc19-7d7d-44ad-8c2d-2c3a37ce22c3}">
        <chartProps xmlns="https://web.wps.cn/et/2018/main" chartId="{7cfe99e6-a0b9-4a9c-8480-03ab15dd32a5}"/>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2022</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dPt>
            <c:idx val="0"/>
            <c:bubble3D val="0"/>
            <c:spPr>
              <a:solidFill>
                <a:schemeClr val="accent1"/>
              </a:solidFill>
              <a:ln>
                <a:solidFill>
                  <a:schemeClr val="bg1"/>
                </a:solidFill>
              </a:ln>
            </c:spPr>
            <c:extLst>
              <c:ext xmlns:c16="http://schemas.microsoft.com/office/drawing/2014/chart" uri="{C3380CC4-5D6E-409C-BE32-E72D297353CC}">
                <c16:uniqueId val="{00000001-EBC1-49BC-B317-6C06DA464D78}"/>
              </c:ext>
            </c:extLst>
          </c:dPt>
          <c:dPt>
            <c:idx val="1"/>
            <c:bubble3D val="0"/>
            <c:spPr>
              <a:solidFill>
                <a:srgbClr val="FF0000"/>
              </a:solidFill>
              <a:ln>
                <a:solidFill>
                  <a:schemeClr val="bg1"/>
                </a:solidFill>
              </a:ln>
            </c:spPr>
            <c:extLst>
              <c:ext xmlns:c16="http://schemas.microsoft.com/office/drawing/2014/chart" uri="{C3380CC4-5D6E-409C-BE32-E72D297353CC}">
                <c16:uniqueId val="{00000003-EBC1-49BC-B317-6C06DA464D78}"/>
              </c:ext>
            </c:extLst>
          </c:dPt>
          <c:dPt>
            <c:idx val="2"/>
            <c:bubble3D val="0"/>
            <c:spPr>
              <a:solidFill>
                <a:srgbClr val="7030A0"/>
              </a:solidFill>
              <a:ln>
                <a:solidFill>
                  <a:schemeClr val="bg1"/>
                </a:solidFill>
              </a:ln>
            </c:spPr>
            <c:extLst>
              <c:ext xmlns:c16="http://schemas.microsoft.com/office/drawing/2014/chart" uri="{C3380CC4-5D6E-409C-BE32-E72D297353CC}">
                <c16:uniqueId val="{00000005-EBC1-49BC-B317-6C06DA464D78}"/>
              </c:ext>
            </c:extLst>
          </c:dPt>
          <c:dPt>
            <c:idx val="3"/>
            <c:bubble3D val="0"/>
            <c:spPr>
              <a:solidFill>
                <a:schemeClr val="accent4"/>
              </a:solidFill>
              <a:ln>
                <a:solidFill>
                  <a:schemeClr val="bg1"/>
                </a:solidFill>
              </a:ln>
            </c:spPr>
            <c:extLst>
              <c:ext xmlns:c16="http://schemas.microsoft.com/office/drawing/2014/chart" uri="{C3380CC4-5D6E-409C-BE32-E72D297353CC}">
                <c16:uniqueId val="{00000007-EBC1-49BC-B317-6C06DA464D78}"/>
              </c:ext>
            </c:extLst>
          </c:dPt>
          <c:dPt>
            <c:idx val="4"/>
            <c:bubble3D val="0"/>
            <c:spPr>
              <a:solidFill>
                <a:srgbClr val="008000"/>
              </a:solidFill>
              <a:ln>
                <a:solidFill>
                  <a:schemeClr val="bg1"/>
                </a:solidFill>
              </a:ln>
            </c:spPr>
            <c:extLst>
              <c:ext xmlns:c16="http://schemas.microsoft.com/office/drawing/2014/chart" uri="{C3380CC4-5D6E-409C-BE32-E72D297353CC}">
                <c16:uniqueId val="{00000009-EBC1-49BC-B317-6C06DA464D78}"/>
              </c:ext>
            </c:extLst>
          </c:dPt>
          <c:dPt>
            <c:idx val="5"/>
            <c:bubble3D val="0"/>
            <c:spPr>
              <a:solidFill>
                <a:schemeClr val="accent2"/>
              </a:solidFill>
              <a:ln>
                <a:solidFill>
                  <a:schemeClr val="bg1"/>
                </a:solidFill>
              </a:ln>
            </c:spPr>
            <c:extLst>
              <c:ext xmlns:c16="http://schemas.microsoft.com/office/drawing/2014/chart" uri="{C3380CC4-5D6E-409C-BE32-E72D297353CC}">
                <c16:uniqueId val="{0000000B-EBC1-49BC-B317-6C06DA464D78}"/>
              </c:ext>
            </c:extLst>
          </c:dPt>
          <c:dLbls>
            <c:dLbl>
              <c:idx val="2"/>
              <c:layout>
                <c:manualLayout>
                  <c:x val="-0.144547043211362"/>
                  <c:y val="-0.11755198140777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BC1-49BC-B317-6C06DA464D78}"/>
                </c:ext>
              </c:extLst>
            </c:dLbl>
            <c:dLbl>
              <c:idx val="5"/>
              <c:layout>
                <c:manualLayout>
                  <c:x val="0.118514957936471"/>
                  <c:y val="0.15790008320462301"/>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BC1-49BC-B317-6C06DA464D78}"/>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bestFit"/>
            <c:showLegendKey val="0"/>
            <c:showVal val="1"/>
            <c:showCatName val="1"/>
            <c:showSerName val="0"/>
            <c:showPercent val="1"/>
            <c:showBubbleSize val="0"/>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Patents-in-Force'!$AD$8:$AD$13</c:f>
              <c:numCache>
                <c:formatCode>#,##0</c:formatCode>
                <c:ptCount val="6"/>
                <c:pt idx="0">
                  <c:v>4831321</c:v>
                </c:pt>
                <c:pt idx="1">
                  <c:v>2029223</c:v>
                </c:pt>
                <c:pt idx="2">
                  <c:v>1214146</c:v>
                </c:pt>
                <c:pt idx="3">
                  <c:v>4212188</c:v>
                </c:pt>
                <c:pt idx="4">
                  <c:v>3343159</c:v>
                </c:pt>
                <c:pt idx="5">
                  <c:v>1596852</c:v>
                </c:pt>
              </c:numCache>
            </c:numRef>
          </c:val>
          <c:extLst>
            <c:ext xmlns:c16="http://schemas.microsoft.com/office/drawing/2014/chart" uri="{C3380CC4-5D6E-409C-BE32-E72D297353CC}">
              <c16:uniqueId val="{0000000C-EBC1-49BC-B317-6C06DA464D78}"/>
            </c:ext>
          </c:extLst>
        </c:ser>
        <c:ser>
          <c:idx val="1"/>
          <c:order val="1"/>
          <c:dPt>
            <c:idx val="0"/>
            <c:bubble3D val="0"/>
            <c:extLst>
              <c:ext xmlns:c16="http://schemas.microsoft.com/office/drawing/2014/chart" uri="{C3380CC4-5D6E-409C-BE32-E72D297353CC}">
                <c16:uniqueId val="{0000000D-EBC1-49BC-B317-6C06DA464D78}"/>
              </c:ext>
            </c:extLst>
          </c:dPt>
          <c:dPt>
            <c:idx val="1"/>
            <c:bubble3D val="0"/>
            <c:extLst>
              <c:ext xmlns:c16="http://schemas.microsoft.com/office/drawing/2014/chart" uri="{C3380CC4-5D6E-409C-BE32-E72D297353CC}">
                <c16:uniqueId val="{0000000E-EBC1-49BC-B317-6C06DA464D78}"/>
              </c:ext>
            </c:extLst>
          </c:dPt>
          <c:dPt>
            <c:idx val="2"/>
            <c:bubble3D val="0"/>
            <c:extLst>
              <c:ext xmlns:c16="http://schemas.microsoft.com/office/drawing/2014/chart" uri="{C3380CC4-5D6E-409C-BE32-E72D297353CC}">
                <c16:uniqueId val="{0000000F-EBC1-49BC-B317-6C06DA464D78}"/>
              </c:ext>
            </c:extLst>
          </c:dPt>
          <c:dPt>
            <c:idx val="3"/>
            <c:bubble3D val="0"/>
            <c:extLst>
              <c:ext xmlns:c16="http://schemas.microsoft.com/office/drawing/2014/chart" uri="{C3380CC4-5D6E-409C-BE32-E72D297353CC}">
                <c16:uniqueId val="{00000010-EBC1-49BC-B317-6C06DA464D78}"/>
              </c:ext>
            </c:extLst>
          </c:dPt>
          <c:dPt>
            <c:idx val="4"/>
            <c:bubble3D val="0"/>
            <c:extLst>
              <c:ext xmlns:c16="http://schemas.microsoft.com/office/drawing/2014/chart" uri="{C3380CC4-5D6E-409C-BE32-E72D297353CC}">
                <c16:uniqueId val="{00000011-EBC1-49BC-B317-6C06DA464D78}"/>
              </c:ext>
            </c:extLst>
          </c:dPt>
          <c:dPt>
            <c:idx val="5"/>
            <c:bubble3D val="0"/>
            <c:extLst>
              <c:ext xmlns:c16="http://schemas.microsoft.com/office/drawing/2014/chart" uri="{C3380CC4-5D6E-409C-BE32-E72D297353CC}">
                <c16:uniqueId val="{00000012-EBC1-49BC-B317-6C06DA464D78}"/>
              </c:ext>
            </c:extLst>
          </c:dPt>
          <c:cat>
            <c:strRef>
              <c:f>'Ch2. Patents-in-Force'!$A$8:$A$13</c:f>
              <c:strCache>
                <c:ptCount val="6"/>
                <c:pt idx="0">
                  <c:v>EPC States</c:v>
                </c:pt>
                <c:pt idx="1">
                  <c:v>Japan</c:v>
                </c:pt>
                <c:pt idx="2">
                  <c:v>R. Korea</c:v>
                </c:pt>
                <c:pt idx="3">
                  <c:v>P.R. China</c:v>
                </c:pt>
                <c:pt idx="4">
                  <c:v>U.S.</c:v>
                </c:pt>
                <c:pt idx="5">
                  <c:v>Others</c:v>
                </c:pt>
              </c:strCache>
            </c:strRef>
          </c:cat>
          <c:val>
            <c:numRef>
              <c:f>'Ch2. Patents-in-Force'!$AE$8:$AE$13</c:f>
              <c:numCache>
                <c:formatCode>0%</c:formatCode>
                <c:ptCount val="6"/>
                <c:pt idx="0">
                  <c:v>0.28045232078757798</c:v>
                </c:pt>
                <c:pt idx="1">
                  <c:v>0.11779393249704</c:v>
                </c:pt>
                <c:pt idx="2">
                  <c:v>7.0479701819637905E-2</c:v>
                </c:pt>
                <c:pt idx="3">
                  <c:v>0.24451240151370299</c:v>
                </c:pt>
                <c:pt idx="4">
                  <c:v>0.19406632271212801</c:v>
                </c:pt>
                <c:pt idx="5">
                  <c:v>9.2695320669913206E-2</c:v>
                </c:pt>
              </c:numCache>
            </c:numRef>
          </c:val>
          <c:extLst>
            <c:ext xmlns:c16="http://schemas.microsoft.com/office/drawing/2014/chart" uri="{C3380CC4-5D6E-409C-BE32-E72D297353CC}">
              <c16:uniqueId val="{00000013-EBC1-49BC-B317-6C06DA464D78}"/>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f6f4c3c2-049a-4c02-9038-d1d52d794e6e}"/>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r>
              <a:rPr lang="en-US" sz="1300" b="1"/>
              <a:t>Fig. 2.2 PATENTS IN FORCE END OF 2021 - JURISDISCTION &amp; ORIGIN</a:t>
            </a:r>
          </a:p>
        </c:rich>
      </c:tx>
      <c:layout>
        <c:manualLayout>
          <c:xMode val="edge"/>
          <c:yMode val="edge"/>
          <c:x val="1.42341367634389E-2"/>
          <c:y val="2.11081794195251E-2"/>
        </c:manualLayout>
      </c:layout>
      <c:overlay val="0"/>
      <c:spPr>
        <a:noFill/>
        <a:ln>
          <a:noFill/>
        </a:ln>
        <a:effectLst/>
      </c:spPr>
      <c:txPr>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01E-2"/>
          <c:y val="0.105083553210202"/>
          <c:w val="0.850679042032088"/>
          <c:h val="0.78963761108808805"/>
        </c:manualLayout>
      </c:layout>
      <c:barChart>
        <c:barDir val="col"/>
        <c:grouping val="stacked"/>
        <c:varyColors val="0"/>
        <c:ser>
          <c:idx val="5"/>
          <c:order val="0"/>
          <c:tx>
            <c:strRef>
              <c:f>'Ch2. Patents-in-Force'!$A$99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Patents-in-Force'!$B$99:$G$99</c:f>
              <c:numCache>
                <c:formatCode>0%</c:formatCode>
                <c:ptCount val="6"/>
                <c:pt idx="0">
                  <c:v>8.1287231281466199E-2</c:v>
                </c:pt>
                <c:pt idx="1">
                  <c:v>2.3051680372241E-2</c:v>
                </c:pt>
                <c:pt idx="2">
                  <c:v>1.8035722227804599E-2</c:v>
                </c:pt>
                <c:pt idx="3">
                  <c:v>1.39675627013799E-2</c:v>
                </c:pt>
                <c:pt idx="4">
                  <c:v>0.113802245122054</c:v>
                </c:pt>
                <c:pt idx="5">
                  <c:v>0.29756382187435099</c:v>
                </c:pt>
              </c:numCache>
            </c:numRef>
          </c:val>
          <c:extLst>
            <c:ext xmlns:c16="http://schemas.microsoft.com/office/drawing/2014/chart" uri="{C3380CC4-5D6E-409C-BE32-E72D297353CC}">
              <c16:uniqueId val="{00000000-5E1F-4736-8B6C-D9F3B63A1A12}"/>
            </c:ext>
          </c:extLst>
        </c:ser>
        <c:ser>
          <c:idx val="4"/>
          <c:order val="1"/>
          <c:tx>
            <c:strRef>
              <c:f>'Ch2. Patents-in-Force'!$A$98</c:f>
              <c:strCache>
                <c:ptCount val="1"/>
                <c:pt idx="0">
                  <c:v>U.S.</c:v>
                </c:pt>
              </c:strCache>
            </c:strRef>
          </c:tx>
          <c:spPr>
            <a:solidFill>
              <a:srgbClr val="0099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Patents-in-Force'!$B$98:$G$98</c:f>
              <c:numCache>
                <c:formatCode>0%</c:formatCode>
                <c:ptCount val="6"/>
                <c:pt idx="0">
                  <c:v>0.20600281445227001</c:v>
                </c:pt>
                <c:pt idx="1">
                  <c:v>7.2719459615823406E-2</c:v>
                </c:pt>
                <c:pt idx="2">
                  <c:v>6.26366186603588E-2</c:v>
                </c:pt>
                <c:pt idx="3">
                  <c:v>4.9214090159318602E-2</c:v>
                </c:pt>
                <c:pt idx="4">
                  <c:v>0.47418893328136702</c:v>
                </c:pt>
                <c:pt idx="5">
                  <c:v>0.28569569982626902</c:v>
                </c:pt>
              </c:numCache>
            </c:numRef>
          </c:val>
          <c:extLst>
            <c:ext xmlns:c16="http://schemas.microsoft.com/office/drawing/2014/chart" uri="{C3380CC4-5D6E-409C-BE32-E72D297353CC}">
              <c16:uniqueId val="{00000001-5E1F-4736-8B6C-D9F3B63A1A12}"/>
            </c:ext>
          </c:extLst>
        </c:ser>
        <c:ser>
          <c:idx val="3"/>
          <c:order val="2"/>
          <c:tx>
            <c:strRef>
              <c:f>'Ch2. Patents-in-Force'!$A$97</c:f>
              <c:strCache>
                <c:ptCount val="1"/>
                <c:pt idx="0">
                  <c:v>P.R. China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Patents-in-Force'!$B$97:$G$97</c:f>
              <c:numCache>
                <c:formatCode>0%</c:formatCode>
                <c:ptCount val="6"/>
                <c:pt idx="0">
                  <c:v>3.3900749823150701E-2</c:v>
                </c:pt>
                <c:pt idx="1">
                  <c:v>1.5734593980060298E-2</c:v>
                </c:pt>
                <c:pt idx="2">
                  <c:v>1.33155320694546E-2</c:v>
                </c:pt>
                <c:pt idx="3">
                  <c:v>0.79565608182730696</c:v>
                </c:pt>
                <c:pt idx="4">
                  <c:v>4.3850142933674403E-2</c:v>
                </c:pt>
                <c:pt idx="5">
                  <c:v>3.9158494820920299E-2</c:v>
                </c:pt>
              </c:numCache>
            </c:numRef>
          </c:val>
          <c:extLst>
            <c:ext xmlns:c16="http://schemas.microsoft.com/office/drawing/2014/chart" uri="{C3380CC4-5D6E-409C-BE32-E72D297353CC}">
              <c16:uniqueId val="{00000002-5E1F-4736-8B6C-D9F3B63A1A12}"/>
            </c:ext>
          </c:extLst>
        </c:ser>
        <c:ser>
          <c:idx val="2"/>
          <c:order val="3"/>
          <c:tx>
            <c:strRef>
              <c:f>'Ch2. Patents-in-Force'!$A$96</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Patents-in-Force'!$B$96:$G$96</c:f>
              <c:numCache>
                <c:formatCode>0%</c:formatCode>
                <c:ptCount val="6"/>
                <c:pt idx="0">
                  <c:v>3.0228650874808499E-2</c:v>
                </c:pt>
                <c:pt idx="1">
                  <c:v>2.1163765638374899E-2</c:v>
                </c:pt>
                <c:pt idx="2">
                  <c:v>0.76615497641964003</c:v>
                </c:pt>
                <c:pt idx="3">
                  <c:v>1.8229243329120199E-2</c:v>
                </c:pt>
                <c:pt idx="4">
                  <c:v>6.2498074426014398E-2</c:v>
                </c:pt>
                <c:pt idx="5">
                  <c:v>2.1776183855359E-2</c:v>
                </c:pt>
              </c:numCache>
            </c:numRef>
          </c:val>
          <c:extLst>
            <c:ext xmlns:c16="http://schemas.microsoft.com/office/drawing/2014/chart" uri="{C3380CC4-5D6E-409C-BE32-E72D297353CC}">
              <c16:uniqueId val="{00000003-5E1F-4736-8B6C-D9F3B63A1A12}"/>
            </c:ext>
          </c:extLst>
        </c:ser>
        <c:ser>
          <c:idx val="1"/>
          <c:order val="4"/>
          <c:tx>
            <c:strRef>
              <c:f>'Ch2. Patents-in-Force'!$A$95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Patents-in-Force'!$B$95:$G$95</c:f>
              <c:numCache>
                <c:formatCode>0%</c:formatCode>
                <c:ptCount val="6"/>
                <c:pt idx="0">
                  <c:v>9.2003029030883698E-2</c:v>
                </c:pt>
                <c:pt idx="1">
                  <c:v>0.80692117130547003</c:v>
                </c:pt>
                <c:pt idx="2">
                  <c:v>9.2540765278640302E-2</c:v>
                </c:pt>
                <c:pt idx="3">
                  <c:v>7.2305414668101198E-2</c:v>
                </c:pt>
                <c:pt idx="4">
                  <c:v>0.16047935500525101</c:v>
                </c:pt>
                <c:pt idx="5">
                  <c:v>9.9827714450171204E-2</c:v>
                </c:pt>
              </c:numCache>
            </c:numRef>
          </c:val>
          <c:extLst>
            <c:ext xmlns:c16="http://schemas.microsoft.com/office/drawing/2014/chart" uri="{C3380CC4-5D6E-409C-BE32-E72D297353CC}">
              <c16:uniqueId val="{00000004-5E1F-4736-8B6C-D9F3B63A1A12}"/>
            </c:ext>
          </c:extLst>
        </c:ser>
        <c:ser>
          <c:idx val="0"/>
          <c:order val="5"/>
          <c:tx>
            <c:strRef>
              <c:f>'Ch2. Patents-in-Force'!$A$94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Patents-in-Force'!$B$94:$G$94</c:f>
              <c:numCache>
                <c:formatCode>0%</c:formatCode>
                <c:ptCount val="6"/>
                <c:pt idx="0">
                  <c:v>0.55657752453742104</c:v>
                </c:pt>
                <c:pt idx="1">
                  <c:v>6.0409329088030199E-2</c:v>
                </c:pt>
                <c:pt idx="2">
                  <c:v>5.7316385344101897E-2</c:v>
                </c:pt>
                <c:pt idx="3">
                  <c:v>5.0627607314773199E-2</c:v>
                </c:pt>
                <c:pt idx="4">
                  <c:v>0.14518124923164</c:v>
                </c:pt>
                <c:pt idx="5">
                  <c:v>0.25597808517292903</c:v>
                </c:pt>
              </c:numCache>
            </c:numRef>
          </c:val>
          <c:extLst>
            <c:ext xmlns:c16="http://schemas.microsoft.com/office/drawing/2014/chart" uri="{C3380CC4-5D6E-409C-BE32-E72D297353CC}">
              <c16:uniqueId val="{00000005-5E1F-4736-8B6C-D9F3B63A1A12}"/>
            </c:ext>
          </c:extLst>
        </c:ser>
        <c:ser>
          <c:idx val="6"/>
          <c:order val="6"/>
          <c:spPr>
            <a:noFill/>
            <a:ln>
              <a:noFill/>
            </a:ln>
            <a:effectLst/>
          </c:spPr>
          <c:invertIfNegative val="0"/>
          <c:dLbls>
            <c:dLbl>
              <c:idx val="0"/>
              <c:tx>
                <c:rich>
                  <a:bodyPr/>
                  <a:lstStyle/>
                  <a:p>
                    <a:r>
                      <a:rPr lang="en-US"/>
                      <a:t>4,904,251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1F-4736-8B6C-D9F3B63A1A12}"/>
                </c:ext>
              </c:extLst>
            </c:dLbl>
            <c:dLbl>
              <c:idx val="1"/>
              <c:tx>
                <c:rich>
                  <a:bodyPr/>
                  <a:lstStyle/>
                  <a:p>
                    <a:r>
                      <a:rPr lang="en-US"/>
                      <a:t>2,020,424</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1F-4736-8B6C-D9F3B63A1A12}"/>
                </c:ext>
              </c:extLst>
            </c:dLbl>
            <c:dLbl>
              <c:idx val="2"/>
              <c:tx>
                <c:rich>
                  <a:bodyPr/>
                  <a:lstStyle/>
                  <a:p>
                    <a:r>
                      <a:rPr lang="en-US"/>
                      <a:t>1,153,320</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1F-4736-8B6C-D9F3B63A1A12}"/>
                </c:ext>
              </c:extLst>
            </c:dLbl>
            <c:dLbl>
              <c:idx val="3"/>
              <c:tx>
                <c:rich>
                  <a:bodyPr/>
                  <a:lstStyle/>
                  <a:p>
                    <a:r>
                      <a:rPr lang="en-US"/>
                      <a:t>3,596,901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1F-4736-8B6C-D9F3B63A1A12}"/>
                </c:ext>
              </c:extLst>
            </c:dLbl>
            <c:dLbl>
              <c:idx val="4"/>
              <c:tx>
                <c:rich>
                  <a:bodyPr/>
                  <a:lstStyle/>
                  <a:p>
                    <a:r>
                      <a:rPr lang="en-US"/>
                      <a:t>3,327,540</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1F-4736-8B6C-D9F3B63A1A12}"/>
                </c:ext>
              </c:extLst>
            </c:dLbl>
            <c:dLbl>
              <c:idx val="5"/>
              <c:tx>
                <c:rich>
                  <a:bodyPr/>
                  <a:lstStyle/>
                  <a:p>
                    <a:r>
                      <a:rPr lang="en-US"/>
                      <a:t>1,442,111</a:t>
                    </a:r>
                  </a:p>
                </c:rich>
              </c:tx>
              <c:dLblPos val="inBase"/>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1F-4736-8B6C-D9F3B63A1A12}"/>
                </c:ext>
              </c:extLst>
            </c:dLbl>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Patents-in-Force'!$B$145:$G$145</c:f>
              <c:numCache>
                <c:formatCode>#,##0</c:formatCode>
                <c:ptCount val="6"/>
                <c:pt idx="0">
                  <c:v>4904251</c:v>
                </c:pt>
                <c:pt idx="1">
                  <c:v>2020424</c:v>
                </c:pt>
                <c:pt idx="2">
                  <c:v>1153320</c:v>
                </c:pt>
                <c:pt idx="3">
                  <c:v>3596901</c:v>
                </c:pt>
                <c:pt idx="4">
                  <c:v>3327540</c:v>
                </c:pt>
                <c:pt idx="5">
                  <c:v>1442111</c:v>
                </c:pt>
              </c:numCache>
            </c:numRef>
          </c:val>
          <c:extLst>
            <c:ext xmlns:c16="http://schemas.microsoft.com/office/drawing/2014/chart" uri="{C3380CC4-5D6E-409C-BE32-E72D297353CC}">
              <c16:uniqueId val="{0000000C-5E1F-4736-8B6C-D9F3B63A1A12}"/>
            </c:ext>
          </c:extLst>
        </c:ser>
        <c:dLbls>
          <c:showLegendKey val="0"/>
          <c:showVal val="0"/>
          <c:showCatName val="0"/>
          <c:showSerName val="0"/>
          <c:showPercent val="0"/>
          <c:showBubbleSize val="0"/>
        </c:dLbls>
        <c:gapWidth val="30"/>
        <c:overlap val="100"/>
        <c:axId val="1784867328"/>
        <c:axId val="1784861888"/>
      </c:barChart>
      <c:catAx>
        <c:axId val="178486732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crossAx val="1784861888"/>
        <c:crosses val="autoZero"/>
        <c:auto val="1"/>
        <c:lblAlgn val="ctr"/>
        <c:lblOffset val="100"/>
        <c:noMultiLvlLbl val="0"/>
      </c:catAx>
      <c:valAx>
        <c:axId val="1784861888"/>
        <c:scaling>
          <c:orientation val="minMax"/>
          <c:max val="1.1000000000000001"/>
          <c:min val="0"/>
        </c:scaling>
        <c:delete val="1"/>
        <c:axPos val="l"/>
        <c:numFmt formatCode="0%" sourceLinked="1"/>
        <c:majorTickMark val="out"/>
        <c:minorTickMark val="none"/>
        <c:tickLblPos val="nextTo"/>
        <c:crossAx val="1784867328"/>
        <c:crosses val="autoZero"/>
        <c:crossBetween val="between"/>
      </c:valAx>
      <c:spPr>
        <a:noFill/>
        <a:ln>
          <a:noFill/>
        </a:ln>
        <a:effectLst/>
      </c:spPr>
    </c:plotArea>
    <c:legend>
      <c:legendPos val="r"/>
      <c:legendEntry>
        <c:idx val="0"/>
        <c:delete val="1"/>
      </c:legendEntry>
      <c:layout>
        <c:manualLayout>
          <c:xMode val="edge"/>
          <c:yMode val="edge"/>
          <c:x val="0.85997794323316801"/>
          <c:y val="0.33600457837507203"/>
          <c:w val="0.13615030916819201"/>
          <c:h val="0.4110986126734160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legend>
    <c:plotVisOnly val="1"/>
    <c:dispBlanksAs val="gap"/>
    <c:showDLblsOverMax val="0"/>
    <c:extLst>
      <c:ext uri="{0b15fc19-7d7d-44ad-8c2d-2c3a37ce22c3}">
        <chartProps xmlns="https://web.wps.cn/et/2018/main" chartId="{3b7b249d-5014-4edd-911c-145661d1f432}"/>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2020</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10E8-4F21-A0C5-A4E279B98174}"/>
              </c:ext>
            </c:extLst>
          </c:dPt>
          <c:dPt>
            <c:idx val="1"/>
            <c:bubble3D val="0"/>
            <c:spPr>
              <a:solidFill>
                <a:srgbClr val="FF0000"/>
              </a:solidFill>
              <a:ln>
                <a:solidFill>
                  <a:schemeClr val="bg1"/>
                </a:solidFill>
              </a:ln>
            </c:spPr>
            <c:extLst>
              <c:ext xmlns:c16="http://schemas.microsoft.com/office/drawing/2014/chart" uri="{C3380CC4-5D6E-409C-BE32-E72D297353CC}">
                <c16:uniqueId val="{00000003-10E8-4F21-A0C5-A4E279B98174}"/>
              </c:ext>
            </c:extLst>
          </c:dPt>
          <c:dPt>
            <c:idx val="2"/>
            <c:bubble3D val="0"/>
            <c:spPr>
              <a:solidFill>
                <a:srgbClr val="7030A0"/>
              </a:solidFill>
              <a:ln>
                <a:solidFill>
                  <a:schemeClr val="bg1"/>
                </a:solidFill>
              </a:ln>
            </c:spPr>
            <c:extLst>
              <c:ext xmlns:c16="http://schemas.microsoft.com/office/drawing/2014/chart" uri="{C3380CC4-5D6E-409C-BE32-E72D297353CC}">
                <c16:uniqueId val="{00000005-10E8-4F21-A0C5-A4E279B98174}"/>
              </c:ext>
            </c:extLst>
          </c:dPt>
          <c:dPt>
            <c:idx val="3"/>
            <c:bubble3D val="0"/>
            <c:spPr>
              <a:solidFill>
                <a:srgbClr val="FFC000"/>
              </a:solidFill>
              <a:ln>
                <a:solidFill>
                  <a:schemeClr val="bg1"/>
                </a:solidFill>
              </a:ln>
            </c:spPr>
            <c:extLst>
              <c:ext xmlns:c16="http://schemas.microsoft.com/office/drawing/2014/chart" uri="{C3380CC4-5D6E-409C-BE32-E72D297353CC}">
                <c16:uniqueId val="{00000007-10E8-4F21-A0C5-A4E279B98174}"/>
              </c:ext>
            </c:extLst>
          </c:dPt>
          <c:dPt>
            <c:idx val="4"/>
            <c:bubble3D val="0"/>
            <c:spPr>
              <a:solidFill>
                <a:srgbClr val="008000"/>
              </a:solidFill>
              <a:ln>
                <a:solidFill>
                  <a:schemeClr val="bg1"/>
                </a:solidFill>
              </a:ln>
            </c:spPr>
            <c:extLst>
              <c:ext xmlns:c16="http://schemas.microsoft.com/office/drawing/2014/chart" uri="{C3380CC4-5D6E-409C-BE32-E72D297353CC}">
                <c16:uniqueId val="{00000009-10E8-4F21-A0C5-A4E279B98174}"/>
              </c:ext>
            </c:extLst>
          </c:dPt>
          <c:dPt>
            <c:idx val="5"/>
            <c:bubble3D val="0"/>
            <c:spPr>
              <a:solidFill>
                <a:schemeClr val="accent2"/>
              </a:solidFill>
              <a:ln>
                <a:solidFill>
                  <a:schemeClr val="bg1"/>
                </a:solidFill>
              </a:ln>
            </c:spPr>
            <c:extLst>
              <c:ext xmlns:c16="http://schemas.microsoft.com/office/drawing/2014/chart" uri="{C3380CC4-5D6E-409C-BE32-E72D297353CC}">
                <c16:uniqueId val="{0000000B-10E8-4F21-A0C5-A4E279B98174}"/>
              </c:ext>
            </c:extLst>
          </c:dPt>
          <c:dLbls>
            <c:dLbl>
              <c:idx val="0"/>
              <c:layout>
                <c:manualLayout>
                  <c:x val="-0.210212677960709"/>
                  <c:y val="0.219736346479598"/>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319191919191899"/>
                      <c:h val="0.28706765691402503"/>
                    </c:manualLayout>
                  </c15:layout>
                </c:ext>
                <c:ext xmlns:c16="http://schemas.microsoft.com/office/drawing/2014/chart" uri="{C3380CC4-5D6E-409C-BE32-E72D297353CC}">
                  <c16:uniqueId val="{00000001-10E8-4F21-A0C5-A4E279B98174}"/>
                </c:ext>
              </c:extLst>
            </c:dLbl>
            <c:dLbl>
              <c:idx val="1"/>
              <c:layout>
                <c:manualLayout>
                  <c:x val="-0.16025689970571899"/>
                  <c:y val="-0.11716154868087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559595959596"/>
                      <c:h val="0.232109444050799"/>
                    </c:manualLayout>
                  </c15:layout>
                </c:ext>
                <c:ext xmlns:c16="http://schemas.microsoft.com/office/drawing/2014/chart" uri="{C3380CC4-5D6E-409C-BE32-E72D297353CC}">
                  <c16:uniqueId val="{00000003-10E8-4F21-A0C5-A4E279B98174}"/>
                </c:ext>
              </c:extLst>
            </c:dLbl>
            <c:dLbl>
              <c:idx val="2"/>
              <c:layout>
                <c:manualLayout>
                  <c:x val="-0.11920655372623901"/>
                  <c:y val="-7.095967187664649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4161616161616"/>
                      <c:h val="0.232109444050799"/>
                    </c:manualLayout>
                  </c15:layout>
                </c:ext>
                <c:ext xmlns:c16="http://schemas.microsoft.com/office/drawing/2014/chart" uri="{C3380CC4-5D6E-409C-BE32-E72D297353CC}">
                  <c16:uniqueId val="{00000005-10E8-4F21-A0C5-A4E279B98174}"/>
                </c:ext>
              </c:extLst>
            </c:dLbl>
            <c:dLbl>
              <c:idx val="3"/>
              <c:layout>
                <c:manualLayout>
                  <c:x val="0.15961345740873301"/>
                  <c:y val="-5.7895734029071402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357575757575801"/>
                      <c:h val="0.28706765691402503"/>
                    </c:manualLayout>
                  </c15:layout>
                </c:ext>
                <c:ext xmlns:c16="http://schemas.microsoft.com/office/drawing/2014/chart" uri="{C3380CC4-5D6E-409C-BE32-E72D297353CC}">
                  <c16:uniqueId val="{00000007-10E8-4F21-A0C5-A4E279B98174}"/>
                </c:ext>
              </c:extLst>
            </c:dLbl>
            <c:dLbl>
              <c:idx val="5"/>
              <c:layout>
                <c:manualLayout>
                  <c:x val="0.14686327845382999"/>
                  <c:y val="0.125090423065559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26262626262626"/>
                      <c:h val="0.232109444050799"/>
                    </c:manualLayout>
                  </c15:layout>
                </c:ext>
                <c:ext xmlns:c16="http://schemas.microsoft.com/office/drawing/2014/chart" uri="{C3380CC4-5D6E-409C-BE32-E72D297353CC}">
                  <c16:uniqueId val="{0000000B-10E8-4F21-A0C5-A4E279B98174}"/>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Patents-in-Force'!$Z$8:$Z$13</c:f>
              <c:numCache>
                <c:formatCode>#,##0</c:formatCode>
                <c:ptCount val="6"/>
                <c:pt idx="0">
                  <c:v>4852303</c:v>
                </c:pt>
                <c:pt idx="1">
                  <c:v>2039040</c:v>
                </c:pt>
                <c:pt idx="2">
                  <c:v>1096721</c:v>
                </c:pt>
                <c:pt idx="3">
                  <c:v>3057844</c:v>
                </c:pt>
                <c:pt idx="4">
                  <c:v>3348531</c:v>
                </c:pt>
                <c:pt idx="5">
                  <c:v>1447062</c:v>
                </c:pt>
              </c:numCache>
            </c:numRef>
          </c:val>
          <c:extLst>
            <c:ext xmlns:c16="http://schemas.microsoft.com/office/drawing/2014/chart" uri="{C3380CC4-5D6E-409C-BE32-E72D297353CC}">
              <c16:uniqueId val="{0000000C-10E8-4F21-A0C5-A4E279B98174}"/>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10E8-4F21-A0C5-A4E279B981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10E8-4F21-A0C5-A4E279B981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10E8-4F21-A0C5-A4E279B9817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10E8-4F21-A0C5-A4E279B9817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10E8-4F21-A0C5-A4E279B9817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10E8-4F21-A0C5-A4E279B98174}"/>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10E8-4F21-A0C5-A4E279B98174}"/>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e76609b8-7980-4d6c-af5b-0e57bda06d85}"/>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2023</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dPt>
            <c:idx val="0"/>
            <c:bubble3D val="0"/>
            <c:spPr>
              <a:solidFill>
                <a:schemeClr val="accent1"/>
              </a:solidFill>
              <a:ln>
                <a:solidFill>
                  <a:schemeClr val="bg1"/>
                </a:solidFill>
              </a:ln>
            </c:spPr>
            <c:extLst>
              <c:ext xmlns:c16="http://schemas.microsoft.com/office/drawing/2014/chart" uri="{C3380CC4-5D6E-409C-BE32-E72D297353CC}">
                <c16:uniqueId val="{00000001-379A-4D0A-B51B-7743A96AD321}"/>
              </c:ext>
            </c:extLst>
          </c:dPt>
          <c:dPt>
            <c:idx val="1"/>
            <c:bubble3D val="0"/>
            <c:spPr>
              <a:solidFill>
                <a:srgbClr val="FF0000"/>
              </a:solidFill>
              <a:ln>
                <a:solidFill>
                  <a:schemeClr val="bg1"/>
                </a:solidFill>
              </a:ln>
            </c:spPr>
            <c:extLst>
              <c:ext xmlns:c16="http://schemas.microsoft.com/office/drawing/2014/chart" uri="{C3380CC4-5D6E-409C-BE32-E72D297353CC}">
                <c16:uniqueId val="{00000003-379A-4D0A-B51B-7743A96AD321}"/>
              </c:ext>
            </c:extLst>
          </c:dPt>
          <c:dPt>
            <c:idx val="2"/>
            <c:bubble3D val="0"/>
            <c:spPr>
              <a:solidFill>
                <a:srgbClr val="7030A0"/>
              </a:solidFill>
              <a:ln>
                <a:solidFill>
                  <a:schemeClr val="bg1"/>
                </a:solidFill>
              </a:ln>
            </c:spPr>
            <c:extLst>
              <c:ext xmlns:c16="http://schemas.microsoft.com/office/drawing/2014/chart" uri="{C3380CC4-5D6E-409C-BE32-E72D297353CC}">
                <c16:uniqueId val="{00000005-379A-4D0A-B51B-7743A96AD321}"/>
              </c:ext>
            </c:extLst>
          </c:dPt>
          <c:dPt>
            <c:idx val="3"/>
            <c:bubble3D val="0"/>
            <c:spPr>
              <a:solidFill>
                <a:schemeClr val="accent4"/>
              </a:solidFill>
              <a:ln>
                <a:solidFill>
                  <a:schemeClr val="bg1"/>
                </a:solidFill>
              </a:ln>
            </c:spPr>
            <c:extLst>
              <c:ext xmlns:c16="http://schemas.microsoft.com/office/drawing/2014/chart" uri="{C3380CC4-5D6E-409C-BE32-E72D297353CC}">
                <c16:uniqueId val="{00000007-379A-4D0A-B51B-7743A96AD321}"/>
              </c:ext>
            </c:extLst>
          </c:dPt>
          <c:dPt>
            <c:idx val="4"/>
            <c:bubble3D val="0"/>
            <c:spPr>
              <a:solidFill>
                <a:srgbClr val="008000"/>
              </a:solidFill>
              <a:ln>
                <a:solidFill>
                  <a:schemeClr val="bg1"/>
                </a:solidFill>
              </a:ln>
            </c:spPr>
            <c:extLst>
              <c:ext xmlns:c16="http://schemas.microsoft.com/office/drawing/2014/chart" uri="{C3380CC4-5D6E-409C-BE32-E72D297353CC}">
                <c16:uniqueId val="{00000009-379A-4D0A-B51B-7743A96AD321}"/>
              </c:ext>
            </c:extLst>
          </c:dPt>
          <c:dPt>
            <c:idx val="5"/>
            <c:bubble3D val="0"/>
            <c:spPr>
              <a:solidFill>
                <a:schemeClr val="accent2"/>
              </a:solidFill>
              <a:ln>
                <a:solidFill>
                  <a:schemeClr val="bg1"/>
                </a:solidFill>
              </a:ln>
            </c:spPr>
            <c:extLst>
              <c:ext xmlns:c16="http://schemas.microsoft.com/office/drawing/2014/chart" uri="{C3380CC4-5D6E-409C-BE32-E72D297353CC}">
                <c16:uniqueId val="{0000000B-379A-4D0A-B51B-7743A96AD321}"/>
              </c:ext>
            </c:extLst>
          </c:dPt>
          <c:dLbls>
            <c:dLbl>
              <c:idx val="1"/>
              <c:layout>
                <c:manualLayout>
                  <c:x val="-0.198986393972025"/>
                  <c:y val="-0.1430445837811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79A-4D0A-B51B-7743A96AD321}"/>
                </c:ext>
              </c:extLst>
            </c:dLbl>
            <c:dLbl>
              <c:idx val="2"/>
              <c:layout>
                <c:manualLayout>
                  <c:x val="-0.162129339640117"/>
                  <c:y val="-9.9634273532641093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79A-4D0A-B51B-7743A96AD321}"/>
                </c:ext>
              </c:extLst>
            </c:dLbl>
            <c:dLbl>
              <c:idx val="5"/>
              <c:layout>
                <c:manualLayout>
                  <c:x val="0.109368220556153"/>
                  <c:y val="0.148941213235566"/>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379A-4D0A-B51B-7743A96AD321}"/>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bestFit"/>
            <c:showLegendKey val="0"/>
            <c:showVal val="1"/>
            <c:showCatName val="1"/>
            <c:showSerName val="0"/>
            <c:showPercent val="1"/>
            <c:showBubbleSize val="0"/>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Patents-in-Force'!$AF$8:$AF$13</c:f>
              <c:numCache>
                <c:formatCode>#,##0</c:formatCode>
                <c:ptCount val="6"/>
                <c:pt idx="0">
                  <c:v>5125504</c:v>
                </c:pt>
                <c:pt idx="1">
                  <c:v>2063676</c:v>
                </c:pt>
                <c:pt idx="2">
                  <c:v>1271759</c:v>
                </c:pt>
                <c:pt idx="3">
                  <c:v>4990633</c:v>
                </c:pt>
                <c:pt idx="4">
                  <c:v>3455220</c:v>
                </c:pt>
                <c:pt idx="5">
                  <c:v>1594763</c:v>
                </c:pt>
              </c:numCache>
            </c:numRef>
          </c:val>
          <c:extLst>
            <c:ext xmlns:c16="http://schemas.microsoft.com/office/drawing/2014/chart" uri="{C3380CC4-5D6E-409C-BE32-E72D297353CC}">
              <c16:uniqueId val="{0000000C-379A-4D0A-B51B-7743A96AD321}"/>
            </c:ext>
          </c:extLst>
        </c:ser>
        <c:ser>
          <c:idx val="1"/>
          <c:order val="1"/>
          <c:dPt>
            <c:idx val="0"/>
            <c:bubble3D val="0"/>
            <c:extLst>
              <c:ext xmlns:c16="http://schemas.microsoft.com/office/drawing/2014/chart" uri="{C3380CC4-5D6E-409C-BE32-E72D297353CC}">
                <c16:uniqueId val="{0000000D-379A-4D0A-B51B-7743A96AD321}"/>
              </c:ext>
            </c:extLst>
          </c:dPt>
          <c:dPt>
            <c:idx val="1"/>
            <c:bubble3D val="0"/>
            <c:extLst>
              <c:ext xmlns:c16="http://schemas.microsoft.com/office/drawing/2014/chart" uri="{C3380CC4-5D6E-409C-BE32-E72D297353CC}">
                <c16:uniqueId val="{0000000E-379A-4D0A-B51B-7743A96AD321}"/>
              </c:ext>
            </c:extLst>
          </c:dPt>
          <c:dPt>
            <c:idx val="2"/>
            <c:bubble3D val="0"/>
            <c:extLst>
              <c:ext xmlns:c16="http://schemas.microsoft.com/office/drawing/2014/chart" uri="{C3380CC4-5D6E-409C-BE32-E72D297353CC}">
                <c16:uniqueId val="{0000000F-379A-4D0A-B51B-7743A96AD321}"/>
              </c:ext>
            </c:extLst>
          </c:dPt>
          <c:dPt>
            <c:idx val="3"/>
            <c:bubble3D val="0"/>
            <c:extLst>
              <c:ext xmlns:c16="http://schemas.microsoft.com/office/drawing/2014/chart" uri="{C3380CC4-5D6E-409C-BE32-E72D297353CC}">
                <c16:uniqueId val="{00000010-379A-4D0A-B51B-7743A96AD321}"/>
              </c:ext>
            </c:extLst>
          </c:dPt>
          <c:dPt>
            <c:idx val="4"/>
            <c:bubble3D val="0"/>
            <c:extLst>
              <c:ext xmlns:c16="http://schemas.microsoft.com/office/drawing/2014/chart" uri="{C3380CC4-5D6E-409C-BE32-E72D297353CC}">
                <c16:uniqueId val="{00000011-379A-4D0A-B51B-7743A96AD321}"/>
              </c:ext>
            </c:extLst>
          </c:dPt>
          <c:dPt>
            <c:idx val="5"/>
            <c:bubble3D val="0"/>
            <c:extLst>
              <c:ext xmlns:c16="http://schemas.microsoft.com/office/drawing/2014/chart" uri="{C3380CC4-5D6E-409C-BE32-E72D297353CC}">
                <c16:uniqueId val="{00000012-379A-4D0A-B51B-7743A96AD321}"/>
              </c:ext>
            </c:extLst>
          </c:dPt>
          <c:cat>
            <c:strRef>
              <c:f>'Ch2. Patents-in-Force'!$A$8:$A$13</c:f>
              <c:strCache>
                <c:ptCount val="6"/>
                <c:pt idx="0">
                  <c:v>EPC States</c:v>
                </c:pt>
                <c:pt idx="1">
                  <c:v>Japan</c:v>
                </c:pt>
                <c:pt idx="2">
                  <c:v>R. Korea</c:v>
                </c:pt>
                <c:pt idx="3">
                  <c:v>P.R. China</c:v>
                </c:pt>
                <c:pt idx="4">
                  <c:v>U.S.</c:v>
                </c:pt>
                <c:pt idx="5">
                  <c:v>Others</c:v>
                </c:pt>
              </c:strCache>
            </c:strRef>
          </c:cat>
          <c:val>
            <c:numRef>
              <c:f>'Ch2. Patents-in-Force'!$AG$8:$AG$13</c:f>
              <c:numCache>
                <c:formatCode>0%</c:formatCode>
                <c:ptCount val="6"/>
                <c:pt idx="0">
                  <c:v>0.27703098469290799</c:v>
                </c:pt>
                <c:pt idx="1">
                  <c:v>0.111540678607825</c:v>
                </c:pt>
                <c:pt idx="2">
                  <c:v>6.8737952026194593E-2</c:v>
                </c:pt>
                <c:pt idx="3">
                  <c:v>0.26974127309839602</c:v>
                </c:pt>
                <c:pt idx="4">
                  <c:v>0.18675295130598499</c:v>
                </c:pt>
                <c:pt idx="5">
                  <c:v>8.6196160268690897E-2</c:v>
                </c:pt>
              </c:numCache>
            </c:numRef>
          </c:val>
          <c:extLst>
            <c:ext xmlns:c16="http://schemas.microsoft.com/office/drawing/2014/chart" uri="{C3380CC4-5D6E-409C-BE32-E72D297353CC}">
              <c16:uniqueId val="{00000013-379A-4D0A-B51B-7743A96AD321}"/>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f6f4c3c2-049a-4c02-9038-d1d52d794e6e}"/>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r>
              <a:rPr lang="en-US" sz="1300" b="1"/>
              <a:t>Fig. 2.2 PATENTS IN FORCE END OF 2023 - JURISDISCTION &amp; ORIGIN</a:t>
            </a:r>
          </a:p>
        </c:rich>
      </c:tx>
      <c:layout>
        <c:manualLayout>
          <c:xMode val="edge"/>
          <c:yMode val="edge"/>
          <c:x val="1.42341367634389E-2"/>
          <c:y val="2.11081794195251E-2"/>
        </c:manualLayout>
      </c:layout>
      <c:overlay val="0"/>
      <c:spPr>
        <a:noFill/>
        <a:ln>
          <a:noFill/>
        </a:ln>
        <a:effectLst/>
      </c:spPr>
      <c:txPr>
        <a:bodyPr rot="0" spcFirstLastPara="1" vertOverflow="ellipsis" vert="horz" wrap="square" anchor="ctr" anchorCtr="1"/>
        <a:lstStyle/>
        <a:p>
          <a:pPr>
            <a:defRPr lang="zh-CN" sz="13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2.2391857506361301E-2"/>
          <c:y val="0.12100110232302499"/>
          <c:w val="0.850679042032088"/>
          <c:h val="0.77372015534043903"/>
        </c:manualLayout>
      </c:layout>
      <c:barChart>
        <c:barDir val="col"/>
        <c:grouping val="stacked"/>
        <c:varyColors val="0"/>
        <c:ser>
          <c:idx val="5"/>
          <c:order val="0"/>
          <c:tx>
            <c:strRef>
              <c:f>'Ch2. Patents-in-Force'!$A$99</c:f>
              <c:strCache>
                <c:ptCount val="1"/>
                <c:pt idx="0">
                  <c:v>Others</c:v>
                </c:pt>
              </c:strCache>
            </c:strRef>
          </c:tx>
          <c:spPr>
            <a:solidFill>
              <a:schemeClr val="accent2"/>
            </a:solidFill>
            <a:ln>
              <a:noFill/>
            </a:ln>
            <a:effectLst/>
          </c:spPr>
          <c:invertIfNegative val="0"/>
          <c:dLbls>
            <c:dLbl>
              <c:idx val="3"/>
              <c:layout>
                <c:manualLayout>
                  <c:x val="6.1944617055825602E-17"/>
                  <c:y val="-7.958784775032869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9FC-4679-976C-FDE880BA93C8}"/>
                </c:ext>
              </c:extLst>
            </c:dLbl>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Patents-in-Force'!$B$78:$G$78</c:f>
              <c:numCache>
                <c:formatCode>0%</c:formatCode>
                <c:ptCount val="6"/>
                <c:pt idx="0">
                  <c:v>4.4800195969837697E-2</c:v>
                </c:pt>
                <c:pt idx="1">
                  <c:v>3.7798084583044997E-2</c:v>
                </c:pt>
                <c:pt idx="2">
                  <c:v>2.7322786785861201E-2</c:v>
                </c:pt>
                <c:pt idx="3">
                  <c:v>8.6482015407664693E-3</c:v>
                </c:pt>
                <c:pt idx="4">
                  <c:v>0.14225693298834799</c:v>
                </c:pt>
                <c:pt idx="5">
                  <c:v>0.30406036366291</c:v>
                </c:pt>
              </c:numCache>
            </c:numRef>
          </c:val>
          <c:extLst>
            <c:ext xmlns:c16="http://schemas.microsoft.com/office/drawing/2014/chart" uri="{C3380CC4-5D6E-409C-BE32-E72D297353CC}">
              <c16:uniqueId val="{00000001-99FC-4679-976C-FDE880BA93C8}"/>
            </c:ext>
          </c:extLst>
        </c:ser>
        <c:ser>
          <c:idx val="4"/>
          <c:order val="1"/>
          <c:tx>
            <c:strRef>
              <c:f>'Ch2. Patents-in-Force'!$A$98</c:f>
              <c:strCache>
                <c:ptCount val="1"/>
                <c:pt idx="0">
                  <c:v>U.S.</c:v>
                </c:pt>
              </c:strCache>
            </c:strRef>
          </c:tx>
          <c:spPr>
            <a:solidFill>
              <a:srgbClr val="009900"/>
            </a:solidFill>
            <a:ln>
              <a:noFill/>
            </a:ln>
            <a:effectLst/>
          </c:spPr>
          <c:invertIfNegative val="0"/>
          <c:dLbls>
            <c:dLbl>
              <c:idx val="3"/>
              <c:layout>
                <c:manualLayout>
                  <c:x val="6.1944617055825602E-17"/>
                  <c:y val="-1.989696193758180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9FC-4679-976C-FDE880BA93C8}"/>
                </c:ext>
              </c:extLst>
            </c:dLbl>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Patents-in-Force'!$B$77:$G$77</c:f>
              <c:numCache>
                <c:formatCode>0%</c:formatCode>
                <c:ptCount val="6"/>
                <c:pt idx="0">
                  <c:v>0.207443445660972</c:v>
                </c:pt>
                <c:pt idx="1">
                  <c:v>7.3998534653695602E-2</c:v>
                </c:pt>
                <c:pt idx="2">
                  <c:v>6.3663791646058704E-2</c:v>
                </c:pt>
                <c:pt idx="3">
                  <c:v>4.34764487791428E-2</c:v>
                </c:pt>
                <c:pt idx="4">
                  <c:v>0.47555814101562299</c:v>
                </c:pt>
                <c:pt idx="5">
                  <c:v>0.27355022396504203</c:v>
                </c:pt>
              </c:numCache>
            </c:numRef>
          </c:val>
          <c:extLst>
            <c:ext xmlns:c16="http://schemas.microsoft.com/office/drawing/2014/chart" uri="{C3380CC4-5D6E-409C-BE32-E72D297353CC}">
              <c16:uniqueId val="{00000003-99FC-4679-976C-FDE880BA93C8}"/>
            </c:ext>
          </c:extLst>
        </c:ser>
        <c:ser>
          <c:idx val="3"/>
          <c:order val="2"/>
          <c:tx>
            <c:strRef>
              <c:f>'Ch2. Patents-in-Force'!$A$97</c:f>
              <c:strCache>
                <c:ptCount val="1"/>
                <c:pt idx="0">
                  <c:v>P.R. China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Patents-in-Force'!$B$76:$G$76</c:f>
              <c:numCache>
                <c:formatCode>0%</c:formatCode>
                <c:ptCount val="6"/>
                <c:pt idx="0">
                  <c:v>4.0596216930089898E-2</c:v>
                </c:pt>
                <c:pt idx="1">
                  <c:v>1.8977785272494298E-2</c:v>
                </c:pt>
                <c:pt idx="2">
                  <c:v>1.4801546519427E-2</c:v>
                </c:pt>
                <c:pt idx="3">
                  <c:v>0.81927382758860401</c:v>
                </c:pt>
                <c:pt idx="4">
                  <c:v>4.98413993899086E-2</c:v>
                </c:pt>
                <c:pt idx="5">
                  <c:v>5.0931840580692597E-2</c:v>
                </c:pt>
              </c:numCache>
            </c:numRef>
          </c:val>
          <c:extLst>
            <c:ext xmlns:c16="http://schemas.microsoft.com/office/drawing/2014/chart" uri="{C3380CC4-5D6E-409C-BE32-E72D297353CC}">
              <c16:uniqueId val="{00000004-99FC-4679-976C-FDE880BA93C8}"/>
            </c:ext>
          </c:extLst>
        </c:ser>
        <c:ser>
          <c:idx val="2"/>
          <c:order val="3"/>
          <c:tx>
            <c:strRef>
              <c:f>'Ch2. Patents-in-Force'!$A$96</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Patents-in-Force'!$B$75:$G$75</c:f>
              <c:numCache>
                <c:formatCode>0%</c:formatCode>
                <c:ptCount val="6"/>
                <c:pt idx="0">
                  <c:v>3.2296468282707803E-2</c:v>
                </c:pt>
                <c:pt idx="1">
                  <c:v>2.2569918921381101E-2</c:v>
                </c:pt>
                <c:pt idx="2">
                  <c:v>0.76678836163140995</c:v>
                </c:pt>
                <c:pt idx="3">
                  <c:v>1.7131494141123998E-2</c:v>
                </c:pt>
                <c:pt idx="4">
                  <c:v>6.4281579754689996E-2</c:v>
                </c:pt>
                <c:pt idx="5">
                  <c:v>2.2562066214391101E-2</c:v>
                </c:pt>
              </c:numCache>
            </c:numRef>
          </c:val>
          <c:extLst>
            <c:ext xmlns:c16="http://schemas.microsoft.com/office/drawing/2014/chart" uri="{C3380CC4-5D6E-409C-BE32-E72D297353CC}">
              <c16:uniqueId val="{00000005-99FC-4679-976C-FDE880BA93C8}"/>
            </c:ext>
          </c:extLst>
        </c:ser>
        <c:ser>
          <c:idx val="1"/>
          <c:order val="4"/>
          <c:tx>
            <c:strRef>
              <c:f>'Ch2. Patents-in-Force'!$A$95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Patents-in-Force'!$B$74:$G$74</c:f>
              <c:numCache>
                <c:formatCode>0%</c:formatCode>
                <c:ptCount val="6"/>
                <c:pt idx="0">
                  <c:v>8.8825459038043703E-2</c:v>
                </c:pt>
                <c:pt idx="1">
                  <c:v>0.79983824980277896</c:v>
                </c:pt>
                <c:pt idx="2">
                  <c:v>8.8617418866310402E-2</c:v>
                </c:pt>
                <c:pt idx="3">
                  <c:v>6.2692247656760194E-2</c:v>
                </c:pt>
                <c:pt idx="4">
                  <c:v>0.15255700071196601</c:v>
                </c:pt>
                <c:pt idx="5">
                  <c:v>8.8428385939479895E-2</c:v>
                </c:pt>
              </c:numCache>
            </c:numRef>
          </c:val>
          <c:extLst>
            <c:ext xmlns:c16="http://schemas.microsoft.com/office/drawing/2014/chart" uri="{C3380CC4-5D6E-409C-BE32-E72D297353CC}">
              <c16:uniqueId val="{00000006-99FC-4679-976C-FDE880BA93C8}"/>
            </c:ext>
          </c:extLst>
        </c:ser>
        <c:ser>
          <c:idx val="0"/>
          <c:order val="5"/>
          <c:tx>
            <c:strRef>
              <c:f>'Ch2. Patents-in-Force'!$A$94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Patents-in-Force'!$B$93:$G$93</c:f>
              <c:strCache>
                <c:ptCount val="6"/>
                <c:pt idx="0">
                  <c:v>EPC States</c:v>
                </c:pt>
                <c:pt idx="1">
                  <c:v>Japan</c:v>
                </c:pt>
                <c:pt idx="2">
                  <c:v>R. Korea</c:v>
                </c:pt>
                <c:pt idx="3">
                  <c:v>P.R. China</c:v>
                </c:pt>
                <c:pt idx="4">
                  <c:v>U.S.</c:v>
                </c:pt>
                <c:pt idx="5">
                  <c:v>Others</c:v>
                </c:pt>
              </c:strCache>
            </c:strRef>
          </c:cat>
          <c:val>
            <c:numRef>
              <c:f>'Ch2. Patents-in-Force'!$B$73:$G$73</c:f>
              <c:numCache>
                <c:formatCode>0%</c:formatCode>
                <c:ptCount val="6"/>
                <c:pt idx="0">
                  <c:v>0.586038214118349</c:v>
                </c:pt>
                <c:pt idx="1">
                  <c:v>4.6817426766604803E-2</c:v>
                </c:pt>
                <c:pt idx="2">
                  <c:v>3.8806094550933E-2</c:v>
                </c:pt>
                <c:pt idx="3">
                  <c:v>4.8777780293601997E-2</c:v>
                </c:pt>
                <c:pt idx="4">
                  <c:v>0.11550494613946399</c:v>
                </c:pt>
                <c:pt idx="5">
                  <c:v>0.27046711963748399</c:v>
                </c:pt>
              </c:numCache>
            </c:numRef>
          </c:val>
          <c:extLst>
            <c:ext xmlns:c16="http://schemas.microsoft.com/office/drawing/2014/chart" uri="{C3380CC4-5D6E-409C-BE32-E72D297353CC}">
              <c16:uniqueId val="{00000007-99FC-4679-976C-FDE880BA93C8}"/>
            </c:ext>
          </c:extLst>
        </c:ser>
        <c:ser>
          <c:idx val="6"/>
          <c:order val="6"/>
          <c:spPr>
            <a:noFill/>
            <a:ln>
              <a:noFill/>
            </a:ln>
            <a:effectLst/>
          </c:spPr>
          <c:invertIfNegative val="0"/>
          <c:cat>
            <c:strRef>
              <c:f>'Ch2. Patents-in-Force'!$B$93:$G$93</c:f>
              <c:strCache>
                <c:ptCount val="6"/>
                <c:pt idx="0">
                  <c:v>EPC States</c:v>
                </c:pt>
                <c:pt idx="1">
                  <c:v>Japan</c:v>
                </c:pt>
                <c:pt idx="2">
                  <c:v>R. Korea</c:v>
                </c:pt>
                <c:pt idx="3">
                  <c:v>P.R. China</c:v>
                </c:pt>
                <c:pt idx="4">
                  <c:v>U.S.</c:v>
                </c:pt>
                <c:pt idx="5">
                  <c:v>Others</c:v>
                </c:pt>
              </c:strCache>
            </c:strRef>
          </c:cat>
          <c:val>
            <c:numRef>
              <c:f>'Ch2. Patents-in-Force'!$B$100:$G$100</c:f>
              <c:numCache>
                <c:formatCode>#,##0_ </c:formatCode>
                <c:ptCount val="6"/>
                <c:pt idx="0">
                  <c:v>4831321</c:v>
                </c:pt>
                <c:pt idx="1">
                  <c:v>2029223</c:v>
                </c:pt>
                <c:pt idx="2">
                  <c:v>1214146</c:v>
                </c:pt>
                <c:pt idx="3">
                  <c:v>4212188</c:v>
                </c:pt>
                <c:pt idx="4">
                  <c:v>3343159</c:v>
                </c:pt>
                <c:pt idx="5">
                  <c:v>1596852</c:v>
                </c:pt>
              </c:numCache>
            </c:numRef>
          </c:val>
          <c:extLst>
            <c:ext xmlns:c16="http://schemas.microsoft.com/office/drawing/2014/chart" uri="{C3380CC4-5D6E-409C-BE32-E72D297353CC}">
              <c16:uniqueId val="{00000008-99FC-4679-976C-FDE880BA93C8}"/>
            </c:ext>
          </c:extLst>
        </c:ser>
        <c:dLbls>
          <c:showLegendKey val="0"/>
          <c:showVal val="0"/>
          <c:showCatName val="0"/>
          <c:showSerName val="0"/>
          <c:showPercent val="0"/>
          <c:showBubbleSize val="0"/>
        </c:dLbls>
        <c:gapWidth val="30"/>
        <c:overlap val="100"/>
        <c:axId val="1784860800"/>
        <c:axId val="1784872768"/>
      </c:barChart>
      <c:catAx>
        <c:axId val="17848608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crossAx val="1784872768"/>
        <c:crosses val="autoZero"/>
        <c:auto val="1"/>
        <c:lblAlgn val="ctr"/>
        <c:lblOffset val="100"/>
        <c:noMultiLvlLbl val="0"/>
      </c:catAx>
      <c:valAx>
        <c:axId val="1784872768"/>
        <c:scaling>
          <c:orientation val="minMax"/>
          <c:max val="1.1000000000000001"/>
          <c:min val="0"/>
        </c:scaling>
        <c:delete val="1"/>
        <c:axPos val="l"/>
        <c:numFmt formatCode="0%" sourceLinked="1"/>
        <c:majorTickMark val="out"/>
        <c:minorTickMark val="none"/>
        <c:tickLblPos val="nextTo"/>
        <c:crossAx val="1784860800"/>
        <c:crosses val="autoZero"/>
        <c:crossBetween val="between"/>
      </c:valAx>
      <c:spPr>
        <a:noFill/>
        <a:ln>
          <a:noFill/>
        </a:ln>
        <a:effectLst/>
      </c:spPr>
    </c:plotArea>
    <c:legend>
      <c:legendPos val="r"/>
      <c:legendEntry>
        <c:idx val="0"/>
        <c:delete val="1"/>
      </c:legendEntry>
      <c:layout>
        <c:manualLayout>
          <c:xMode val="edge"/>
          <c:yMode val="edge"/>
          <c:x val="0.85997794323316801"/>
          <c:y val="0.33600457837507203"/>
          <c:w val="0.13615030916819201"/>
          <c:h val="0.4110986126734160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lumMod val="65000"/>
                  <a:lumOff val="35000"/>
                </a:schemeClr>
              </a:solidFill>
              <a:latin typeface="+mn-lt"/>
              <a:ea typeface="+mn-ea"/>
              <a:cs typeface="+mn-cs"/>
            </a:defRPr>
          </a:pPr>
          <a:endParaRPr lang="zh-CN"/>
        </a:p>
      </c:txPr>
    </c:legend>
    <c:plotVisOnly val="1"/>
    <c:dispBlanksAs val="gap"/>
    <c:showDLblsOverMax val="0"/>
    <c:extLst>
      <c:ext uri="{0b15fc19-7d7d-44ad-8c2d-2c3a37ce22c3}">
        <chartProps xmlns="https://web.wps.cn/et/2018/main" chartId="{7cfe99e6-a0b9-4a9c-8480-03ab15dd32a5}"/>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2.3: IP5</a:t>
            </a:r>
            <a:r>
              <a:rPr lang="en-GB" b="1" baseline="0"/>
              <a:t> CROSS FILINGS BY BLOC OF ORIGIN</a:t>
            </a:r>
            <a:endParaRPr lang="en-GB" b="1"/>
          </a:p>
        </c:rich>
      </c:tx>
      <c:layout>
        <c:manualLayout>
          <c:xMode val="edge"/>
          <c:yMode val="edge"/>
          <c:x val="2.96917223896088E-2"/>
          <c:y val="2.0997375328084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barChart>
        <c:barDir val="col"/>
        <c:grouping val="stacked"/>
        <c:varyColors val="0"/>
        <c:ser>
          <c:idx val="5"/>
          <c:order val="0"/>
          <c:tx>
            <c:strRef>
              <c:f>'Ch2. Cross filings'!$A$13</c:f>
              <c:strCache>
                <c:ptCount val="1"/>
                <c:pt idx="0">
                  <c:v>Others</c:v>
                </c:pt>
              </c:strCache>
            </c:strRef>
          </c:tx>
          <c:spPr>
            <a:solidFill>
              <a:schemeClr val="accent2"/>
            </a:solidFill>
            <a:ln>
              <a:noFill/>
            </a:ln>
            <a:effectLst/>
          </c:spPr>
          <c:invertIfNegative val="0"/>
          <c:dLbls>
            <c:dLbl>
              <c:idx val="0"/>
              <c:tx>
                <c:strRef>
                  <c:f>'Ch2. Cross filings'!$B$23</c:f>
                  <c:strCache>
                    <c:ptCount val="1"/>
                    <c:pt idx="0">
                      <c:v>2%</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{029F42C1-0A33-4ED3-AC09-B0B176B762D8}</c15:txfldGUID>
                      <c15:f>'Ch2. Cross filings'!$B$23</c15:f>
                      <c15:dlblFieldTableCache>
                        <c:ptCount val="1"/>
                        <c:pt idx="0">
                          <c:v>2%</c:v>
                        </c:pt>
                      </c15:dlblFieldTableCache>
                    </c15:dlblFTEntry>
                  </c15:dlblFieldTable>
                  <c15:showDataLabelsRange val="0"/>
                </c:ext>
                <c:ext xmlns:c16="http://schemas.microsoft.com/office/drawing/2014/chart" uri="{C3380CC4-5D6E-409C-BE32-E72D297353CC}">
                  <c16:uniqueId val="{00000000-23AA-4DF1-8CCC-C3D9F1A18255}"/>
                </c:ext>
              </c:extLst>
            </c:dLbl>
            <c:dLbl>
              <c:idx val="1"/>
              <c:tx>
                <c:strRef>
                  <c:f>'Ch2. Cross filings'!$C$23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{C957D6B5-992D-405D-ABAA-20E3D4E4AA53}</c15:txfldGUID>
                      <c15:f>'Ch2. Cross filings'!$C$23</c15:f>
                      <c15:dlblFieldTableCache>
                        <c:ptCount val="1"/>
                        <c:pt idx="0">
                          <c:v>3%</c:v>
                        </c:pt>
                      </c15:dlblFieldTableCache>
                    </c15:dlblFTEntry>
                  </c15:dlblFieldTable>
                  <c15:showDataLabelsRange val="0"/>
                </c:ext>
                <c:ext xmlns:c16="http://schemas.microsoft.com/office/drawing/2014/chart" uri="{C3380CC4-5D6E-409C-BE32-E72D297353CC}">
                  <c16:uniqueId val="{00000001-23AA-4DF1-8CCC-C3D9F1A18255}"/>
                </c:ext>
              </c:extLst>
            </c:dLbl>
            <c:dLbl>
              <c:idx val="2"/>
              <c:tx>
                <c:strRef>
                  <c:f>'Ch2. Cross filings'!$D$23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{1331FCA3-7AAB-45F4-982A-F772B1073B14}</c15:txfldGUID>
                      <c15:f>'Ch2. Cross filings'!$D$23</c15:f>
                      <c15:dlblFieldTableCache>
                        <c:ptCount val="1"/>
                        <c:pt idx="0">
                          <c:v>3%</c:v>
                        </c:pt>
                      </c15:dlblFieldTableCache>
                    </c15:dlblFTEntry>
                  </c15:dlblFieldTable>
                  <c15:showDataLabelsRange val="0"/>
                </c:ext>
                <c:ext xmlns:c16="http://schemas.microsoft.com/office/drawing/2014/chart" uri="{C3380CC4-5D6E-409C-BE32-E72D297353CC}">
                  <c16:uniqueId val="{00000002-23AA-4DF1-8CCC-C3D9F1A18255}"/>
                </c:ext>
              </c:extLst>
            </c:dLbl>
            <c:dLbl>
              <c:idx val="3"/>
              <c:tx>
                <c:strRef>
                  <c:f>'Ch2. Cross filings'!$E$23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{587BD479-23C6-48D5-A637-BE91597AACDB}</c15:txfldGUID>
                      <c15:f>'Ch2. Cross filings'!$E$23</c15:f>
                      <c15:dlblFieldTableCache>
                        <c:ptCount val="1"/>
                        <c:pt idx="0">
                          <c:v>3%</c:v>
                        </c:pt>
                      </c15:dlblFieldTableCache>
                    </c15:dlblFTEntry>
                  </c15:dlblFieldTable>
                  <c15:showDataLabelsRange val="0"/>
                </c:ext>
                <c:ext xmlns:c16="http://schemas.microsoft.com/office/drawing/2014/chart" uri="{C3380CC4-5D6E-409C-BE32-E72D297353CC}">
                  <c16:uniqueId val="{00000003-23AA-4DF1-8CCC-C3D9F1A18255}"/>
                </c:ext>
              </c:extLst>
            </c:dLbl>
            <c:dLbl>
              <c:idx val="4"/>
              <c:tx>
                <c:strRef>
                  <c:f>'Ch2. Cross filings'!$F$23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{4160C5CE-87B3-4B74-8355-691D54E64EC5}</c15:txfldGUID>
                      <c15:f>'Ch2. Cross filings'!$F$23</c15:f>
                      <c15:dlblFieldTableCache>
                        <c:ptCount val="1"/>
                        <c:pt idx="0">
                          <c:v>3%</c:v>
                        </c:pt>
                      </c15:dlblFieldTableCache>
                    </c15:dlblFTEntry>
                  </c15:dlblFieldTable>
                  <c15:showDataLabelsRange val="0"/>
                </c:ext>
                <c:ext xmlns:c16="http://schemas.microsoft.com/office/drawing/2014/chart" uri="{C3380CC4-5D6E-409C-BE32-E72D297353CC}">
                  <c16:uniqueId val="{00000004-23AA-4DF1-8CCC-C3D9F1A18255}"/>
                </c:ext>
              </c:extLst>
            </c:dLbl>
            <c:dLbl>
              <c:idx val="5"/>
              <c:tx>
                <c:strRef>
                  <c:f>'Ch2. Cross filings'!$G$23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{E8A7FC66-2D36-424B-AED5-2DAD7D387365}</c15:txfldGUID>
                      <c15:f>'Ch2. Cross filings'!$G$23</c15:f>
                      <c15:dlblFieldTableCache>
                        <c:ptCount val="1"/>
                        <c:pt idx="0">
                          <c:v>3%</c:v>
                        </c:pt>
                      </c15:dlblFieldTableCache>
                    </c15:dlblFTEntry>
                  </c15:dlblFieldTable>
                  <c15:showDataLabelsRange val="0"/>
                </c:ext>
                <c:ext xmlns:c16="http://schemas.microsoft.com/office/drawing/2014/chart" uri="{C3380CC4-5D6E-409C-BE32-E72D297353CC}">
                  <c16:uniqueId val="{00000005-23AA-4DF1-8CCC-C3D9F1A18255}"/>
                </c:ext>
              </c:extLst>
            </c:dLbl>
            <c:dLbl>
              <c:idx val="6"/>
              <c:tx>
                <c:strRef>
                  <c:f>'Ch2. Cross filings'!$H$23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{FB75EC77-844F-4C17-B391-F8F179257543}</c15:txfldGUID>
                      <c15:f>'Ch2. Cross filings'!$H$23</c15:f>
                      <c15:dlblFieldTableCache>
                        <c:ptCount val="1"/>
                        <c:pt idx="0">
                          <c:v>3%</c:v>
                        </c:pt>
                      </c15:dlblFieldTableCache>
                    </c15:dlblFTEntry>
                  </c15:dlblFieldTable>
                  <c15:showDataLabelsRange val="0"/>
                </c:ext>
                <c:ext xmlns:c16="http://schemas.microsoft.com/office/drawing/2014/chart" uri="{C3380CC4-5D6E-409C-BE32-E72D297353CC}">
                  <c16:uniqueId val="{00000006-23AA-4DF1-8CCC-C3D9F1A18255}"/>
                </c:ext>
              </c:extLst>
            </c:dLbl>
            <c:dLbl>
              <c:idx val="7"/>
              <c:tx>
                <c:strRef>
                  <c:f>'Ch2. Cross filings'!$I$23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{499D7B27-D482-4427-8BBA-098DB9EC299D}</c15:txfldGUID>
                      <c15:f>'Ch2. Cross filings'!$I$23</c15:f>
                      <c15:dlblFieldTableCache>
                        <c:ptCount val="1"/>
                        <c:pt idx="0">
                          <c:v>3%</c:v>
                        </c:pt>
                      </c15:dlblFieldTableCache>
                    </c15:dlblFTEntry>
                  </c15:dlblFieldTable>
                  <c15:showDataLabelsRange val="0"/>
                </c:ext>
                <c:ext xmlns:c16="http://schemas.microsoft.com/office/drawing/2014/chart" uri="{C3380CC4-5D6E-409C-BE32-E72D297353CC}">
                  <c16:uniqueId val="{00000007-23AA-4DF1-8CCC-C3D9F1A18255}"/>
                </c:ext>
              </c:extLst>
            </c:dLbl>
            <c:dLbl>
              <c:idx val="8"/>
              <c:tx>
                <c:strRef>
                  <c:f>'Ch2. Cross filings'!$J$23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{44776397-1A69-4E7D-AC3F-1F5743AC723A}</c15:txfldGUID>
                      <c15:f>'Ch2. Cross filings'!$J$23</c15:f>
                      <c15:dlblFieldTableCache>
                        <c:ptCount val="1"/>
                        <c:pt idx="0">
                          <c:v>3%</c:v>
                        </c:pt>
                      </c15:dlblFieldTableCache>
                    </c15:dlblFTEntry>
                  </c15:dlblFieldTable>
                  <c15:showDataLabelsRange val="0"/>
                </c:ext>
                <c:ext xmlns:c16="http://schemas.microsoft.com/office/drawing/2014/chart" uri="{C3380CC4-5D6E-409C-BE32-E72D297353CC}">
                  <c16:uniqueId val="{00000008-23AA-4DF1-8CCC-C3D9F1A18255}"/>
                </c:ext>
              </c:extLst>
            </c:dLbl>
            <c:dLbl>
              <c:idx val="9"/>
              <c:tx>
                <c:strRef>
                  <c:f>'Ch2. Cross filings'!$K$23</c:f>
                  <c:strCache>
                    <c:ptCount val="1"/>
                    <c:pt idx="0">
                      <c:v>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{B2A550B2-8F58-4F7D-8234-BA8945276FE7}</c15:txfldGUID>
                      <c15:f>'Ch2. Cross filings'!$K$23</c15:f>
                      <c15:dlblFieldTableCache>
                        <c:ptCount val="1"/>
                        <c:pt idx="0">
                          <c:v>3%</c:v>
                        </c:pt>
                      </c15:dlblFieldTableCache>
                    </c15:dlblFTEntry>
                  </c15:dlblFieldTable>
                  <c15:showDataLabelsRange val="0"/>
                </c:ext>
                <c:ext xmlns:c16="http://schemas.microsoft.com/office/drawing/2014/chart" uri="{C3380CC4-5D6E-409C-BE32-E72D297353CC}">
                  <c16:uniqueId val="{00000009-23AA-4DF1-8CCC-C3D9F1A18255}"/>
                </c:ext>
              </c:extLst>
            </c:dLbl>
            <c:dLbl>
              <c:idx val="10"/>
              <c:tx>
                <c:rich>
                  <a:bodyPr/>
                  <a:lstStyle/>
                  <a:p>
                    <a:r>
                      <a:rPr lang="en-US"/>
                      <a:t>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AA-4DF1-8CCC-C3D9F1A18255}"/>
                </c:ext>
              </c:extLst>
            </c:dLbl>
            <c:dLbl>
              <c:idx val="11"/>
              <c:tx>
                <c:rich>
                  <a:bodyPr/>
                  <a:lstStyle/>
                  <a:p>
                    <a:r>
                      <a:rPr lang="en-US" altLang="ko-KR"/>
                      <a:t>3%</a:t>
                    </a:r>
                  </a:p>
                </c:rich>
              </c:tx>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AA-4DF1-8CCC-C3D9F1A18255}"/>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filings'!$B$7:$M$7</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'Ch2. Cross filings'!$B$13:$M$13</c:f>
              <c:numCache>
                <c:formatCode>#,##0</c:formatCode>
                <c:ptCount val="12"/>
                <c:pt idx="0">
                  <c:v>5829</c:v>
                </c:pt>
                <c:pt idx="1">
                  <c:v>6392</c:v>
                </c:pt>
                <c:pt idx="2">
                  <c:v>6699</c:v>
                </c:pt>
                <c:pt idx="3">
                  <c:v>6948</c:v>
                </c:pt>
                <c:pt idx="4">
                  <c:v>6855</c:v>
                </c:pt>
                <c:pt idx="5">
                  <c:v>7151</c:v>
                </c:pt>
                <c:pt idx="6">
                  <c:v>7468</c:v>
                </c:pt>
                <c:pt idx="7" formatCode="#,##0_);[Red]\(#,##0\)">
                  <c:v>7908</c:v>
                </c:pt>
                <c:pt idx="8" formatCode="#,##0_);[Red]\(#,##0\)">
                  <c:v>8262</c:v>
                </c:pt>
                <c:pt idx="9" formatCode="#,##0_);[Red]\(#,##0\)">
                  <c:v>8787</c:v>
                </c:pt>
                <c:pt idx="10" formatCode="#,##0_);[Red]\(#,##0\)">
                  <c:v>9235</c:v>
                </c:pt>
                <c:pt idx="11" formatCode="#,##0_);[Red]\(#,##0\)">
                  <c:v>8796</c:v>
                </c:pt>
              </c:numCache>
            </c:numRef>
          </c:val>
          <c:extLst>
            <c:ext xmlns:c16="http://schemas.microsoft.com/office/drawing/2014/chart" uri="{C3380CC4-5D6E-409C-BE32-E72D297353CC}">
              <c16:uniqueId val="{0000000C-23AA-4DF1-8CCC-C3D9F1A18255}"/>
            </c:ext>
          </c:extLst>
        </c:ser>
        <c:ser>
          <c:idx val="4"/>
          <c:order val="1"/>
          <c:tx>
            <c:strRef>
              <c:f>'Ch2. Cross filings'!$A$12</c:f>
              <c:strCache>
                <c:ptCount val="1"/>
                <c:pt idx="0">
                  <c:v>U.S.</c:v>
                </c:pt>
              </c:strCache>
            </c:strRef>
          </c:tx>
          <c:spPr>
            <a:solidFill>
              <a:srgbClr val="008000"/>
            </a:solidFill>
            <a:ln>
              <a:noFill/>
            </a:ln>
            <a:effectLst/>
          </c:spPr>
          <c:invertIfNegative val="0"/>
          <c:dLbls>
            <c:dLbl>
              <c:idx val="0"/>
              <c:tx>
                <c:strRef>
                  <c:f>'Ch2. Cross filings'!$B$22</c:f>
                  <c:strCache>
                    <c:ptCount val="1"/>
                    <c:pt idx="0">
                      <c:v>31%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{4C69C9F7-F304-4F46-9D89-85FA4F189524}</c15:txfldGUID>
                      <c15:f>'Ch2. Cross filings'!$B$22</c15:f>
                      <c15:dlblFieldTableCache>
                        <c:ptCount val="1"/>
                        <c:pt idx="0">
                          <c:v>31%</c:v>
                        </c:pt>
                      </c15:dlblFieldTableCache>
                    </c15:dlblFTEntry>
                  </c15:dlblFieldTable>
                  <c15:showDataLabelsRange val="0"/>
                </c:ext>
                <c:ext xmlns:c16="http://schemas.microsoft.com/office/drawing/2014/chart" uri="{C3380CC4-5D6E-409C-BE32-E72D297353CC}">
                  <c16:uniqueId val="{0000000D-23AA-4DF1-8CCC-C3D9F1A18255}"/>
                </c:ext>
              </c:extLst>
            </c:dLbl>
            <c:dLbl>
              <c:idx val="1"/>
              <c:tx>
                <c:strRef>
                  <c:f>'Ch2. Cross filings'!$C$22</c:f>
                  <c:strCache>
                    <c:ptCount val="1"/>
                    <c:pt idx="0">
                      <c:v>32%</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{8CF40F95-F527-481F-A9CC-53807A786F40}</c15:txfldGUID>
                      <c15:f>'Ch2. Cross filings'!$C$22</c15:f>
                      <c15:dlblFieldTableCache>
                        <c:ptCount val="1"/>
                        <c:pt idx="0">
                          <c:v>32%</c:v>
                        </c:pt>
                      </c15:dlblFieldTableCache>
                    </c15:dlblFTEntry>
                  </c15:dlblFieldTable>
                  <c15:showDataLabelsRange val="0"/>
                </c:ext>
                <c:ext xmlns:c16="http://schemas.microsoft.com/office/drawing/2014/chart" uri="{C3380CC4-5D6E-409C-BE32-E72D297353CC}">
                  <c16:uniqueId val="{0000000E-23AA-4DF1-8CCC-C3D9F1A18255}"/>
                </c:ext>
              </c:extLst>
            </c:dLbl>
            <c:dLbl>
              <c:idx val="2"/>
              <c:tx>
                <c:strRef>
                  <c:f>'Ch2. Cross filings'!$D$22</c:f>
                  <c:strCache>
                    <c:ptCount val="1"/>
                    <c:pt idx="0">
                      <c:v>34%</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{3AE44C40-68B7-4C4B-874A-9663E3D0FC07}</c15:txfldGUID>
                      <c15:f>'Ch2. Cross filings'!$D$22</c15:f>
                      <c15:dlblFieldTableCache>
                        <c:ptCount val="1"/>
                        <c:pt idx="0">
                          <c:v>34%</c:v>
                        </c:pt>
                      </c15:dlblFieldTableCache>
                    </c15:dlblFTEntry>
                  </c15:dlblFieldTable>
                  <c15:showDataLabelsRange val="0"/>
                </c:ext>
                <c:ext xmlns:c16="http://schemas.microsoft.com/office/drawing/2014/chart" uri="{C3380CC4-5D6E-409C-BE32-E72D297353CC}">
                  <c16:uniqueId val="{0000000F-23AA-4DF1-8CCC-C3D9F1A18255}"/>
                </c:ext>
              </c:extLst>
            </c:dLbl>
            <c:dLbl>
              <c:idx val="3"/>
              <c:tx>
                <c:strRef>
                  <c:f>'Ch2. Cross filings'!$E$22</c:f>
                  <c:strCache>
                    <c:ptCount val="1"/>
                    <c:pt idx="0">
                      <c:v>33%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{794BC94A-A37D-46AB-AEA1-CDFF92FA3C51}</c15:txfldGUID>
                      <c15:f>'Ch2. Cross filings'!$E$22</c15:f>
                      <c15:dlblFieldTableCache>
                        <c:ptCount val="1"/>
                        <c:pt idx="0">
                          <c:v>33%</c:v>
                        </c:pt>
                      </c15:dlblFieldTableCache>
                    </c15:dlblFTEntry>
                  </c15:dlblFieldTable>
                  <c15:showDataLabelsRange val="0"/>
                </c:ext>
                <c:ext xmlns:c16="http://schemas.microsoft.com/office/drawing/2014/chart" uri="{C3380CC4-5D6E-409C-BE32-E72D297353CC}">
                  <c16:uniqueId val="{00000010-23AA-4DF1-8CCC-C3D9F1A18255}"/>
                </c:ext>
              </c:extLst>
            </c:dLbl>
            <c:dLbl>
              <c:idx val="4"/>
              <c:tx>
                <c:strRef>
                  <c:f>'Ch2. Cross filings'!$F$22</c:f>
                  <c:strCache>
                    <c:ptCount val="1"/>
                    <c:pt idx="0">
                      <c:v>32%</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{D7DD1CDF-1B23-4581-8027-53B28B4E40E3}</c15:txfldGUID>
                      <c15:f>'Ch2. Cross filings'!$F$22</c15:f>
                      <c15:dlblFieldTableCache>
                        <c:ptCount val="1"/>
                        <c:pt idx="0">
                          <c:v>32%</c:v>
                        </c:pt>
                      </c15:dlblFieldTableCache>
                    </c15:dlblFTEntry>
                  </c15:dlblFieldTable>
                  <c15:showDataLabelsRange val="0"/>
                </c:ext>
                <c:ext xmlns:c16="http://schemas.microsoft.com/office/drawing/2014/chart" uri="{C3380CC4-5D6E-409C-BE32-E72D297353CC}">
                  <c16:uniqueId val="{00000011-23AA-4DF1-8CCC-C3D9F1A18255}"/>
                </c:ext>
              </c:extLst>
            </c:dLbl>
            <c:dLbl>
              <c:idx val="5"/>
              <c:tx>
                <c:strRef>
                  <c:f>'Ch2. Cross filings'!$G$22</c:f>
                  <c:strCache>
                    <c:ptCount val="1"/>
                    <c:pt idx="0">
                      <c:v>32%</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{4FF6FE5D-4D79-40F6-80D0-B1C9EC156C69}</c15:txfldGUID>
                      <c15:f>'Ch2. Cross filings'!$G$22</c15:f>
                      <c15:dlblFieldTableCache>
                        <c:ptCount val="1"/>
                        <c:pt idx="0">
                          <c:v>32%</c:v>
                        </c:pt>
                      </c15:dlblFieldTableCache>
                    </c15:dlblFTEntry>
                  </c15:dlblFieldTable>
                  <c15:showDataLabelsRange val="0"/>
                </c:ext>
                <c:ext xmlns:c16="http://schemas.microsoft.com/office/drawing/2014/chart" uri="{C3380CC4-5D6E-409C-BE32-E72D297353CC}">
                  <c16:uniqueId val="{00000012-23AA-4DF1-8CCC-C3D9F1A18255}"/>
                </c:ext>
              </c:extLst>
            </c:dLbl>
            <c:dLbl>
              <c:idx val="6"/>
              <c:tx>
                <c:strRef>
                  <c:f>'Ch2. Cross filings'!$H$22</c:f>
                  <c:strCache>
                    <c:ptCount val="1"/>
                    <c:pt idx="0">
                      <c:v>32%</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{E077AFAD-0F29-450D-869C-EA46287074AD}</c15:txfldGUID>
                      <c15:f>'Ch2. Cross filings'!$H$22</c15:f>
                      <c15:dlblFieldTableCache>
                        <c:ptCount val="1"/>
                        <c:pt idx="0">
                          <c:v>32%</c:v>
                        </c:pt>
                      </c15:dlblFieldTableCache>
                    </c15:dlblFTEntry>
                  </c15:dlblFieldTable>
                  <c15:showDataLabelsRange val="0"/>
                </c:ext>
                <c:ext xmlns:c16="http://schemas.microsoft.com/office/drawing/2014/chart" uri="{C3380CC4-5D6E-409C-BE32-E72D297353CC}">
                  <c16:uniqueId val="{00000013-23AA-4DF1-8CCC-C3D9F1A18255}"/>
                </c:ext>
              </c:extLst>
            </c:dLbl>
            <c:dLbl>
              <c:idx val="7"/>
              <c:tx>
                <c:strRef>
                  <c:f>'Ch2. Cross filings'!$I$22</c:f>
                  <c:strCache>
                    <c:ptCount val="1"/>
                    <c:pt idx="0">
                      <c:v>31%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{E54AAE09-0221-4AB3-AA7E-267C1EA8BE26}</c15:txfldGUID>
                      <c15:f>'Ch2. Cross filings'!$I$22</c15:f>
                      <c15:dlblFieldTableCache>
                        <c:ptCount val="1"/>
                        <c:pt idx="0">
                          <c:v>31%</c:v>
                        </c:pt>
                      </c15:dlblFieldTableCache>
                    </c15:dlblFTEntry>
                  </c15:dlblFieldTable>
                  <c15:showDataLabelsRange val="0"/>
                </c:ext>
                <c:ext xmlns:c16="http://schemas.microsoft.com/office/drawing/2014/chart" uri="{C3380CC4-5D6E-409C-BE32-E72D297353CC}">
                  <c16:uniqueId val="{00000014-23AA-4DF1-8CCC-C3D9F1A18255}"/>
                </c:ext>
              </c:extLst>
            </c:dLbl>
            <c:dLbl>
              <c:idx val="8"/>
              <c:tx>
                <c:strRef>
                  <c:f>'Ch2. Cross filings'!$J$22</c:f>
                  <c:strCache>
                    <c:ptCount val="1"/>
                    <c:pt idx="0">
                      <c:v>31%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{AC81EF90-160E-4B2A-AD60-8F51C1E317B5}</c15:txfldGUID>
                      <c15:f>'Ch2. Cross filings'!$J$22</c15:f>
                      <c15:dlblFieldTableCache>
                        <c:ptCount val="1"/>
                        <c:pt idx="0">
                          <c:v>31%</c:v>
                        </c:pt>
                      </c15:dlblFieldTableCache>
                    </c15:dlblFTEntry>
                  </c15:dlblFieldTable>
                  <c15:showDataLabelsRange val="0"/>
                </c:ext>
                <c:ext xmlns:c16="http://schemas.microsoft.com/office/drawing/2014/chart" uri="{C3380CC4-5D6E-409C-BE32-E72D297353CC}">
                  <c16:uniqueId val="{00000015-23AA-4DF1-8CCC-C3D9F1A18255}"/>
                </c:ext>
              </c:extLst>
            </c:dLbl>
            <c:dLbl>
              <c:idx val="9"/>
              <c:tx>
                <c:strRef>
                  <c:f>'Ch2. Cross filings'!$K$22</c:f>
                  <c:strCache>
                    <c:ptCount val="1"/>
                    <c:pt idx="0">
                      <c:v>31%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{26F47E3F-A940-4DD7-8D3A-8FF405B1CF1C}</c15:txfldGUID>
                      <c15:f>'Ch2. Cross filings'!$K$22</c15:f>
                      <c15:dlblFieldTableCache>
                        <c:ptCount val="1"/>
                        <c:pt idx="0">
                          <c:v>31%</c:v>
                        </c:pt>
                      </c15:dlblFieldTableCache>
                    </c15:dlblFTEntry>
                  </c15:dlblFieldTable>
                  <c15:showDataLabelsRange val="0"/>
                </c:ext>
                <c:ext xmlns:c16="http://schemas.microsoft.com/office/drawing/2014/chart" uri="{C3380CC4-5D6E-409C-BE32-E72D297353CC}">
                  <c16:uniqueId val="{00000016-23AA-4DF1-8CCC-C3D9F1A18255}"/>
                </c:ext>
              </c:extLst>
            </c:dLbl>
            <c:dLbl>
              <c:idx val="10"/>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t>32%</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3AA-4DF1-8CCC-C3D9F1A18255}"/>
                </c:ext>
              </c:extLst>
            </c:dLbl>
            <c:dLbl>
              <c:idx val="11"/>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ltLang="ko-KR"/>
                      <a:t>32%</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ltLang="ko-KR"/>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3AA-4DF1-8CCC-C3D9F1A18255}"/>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filings'!$B$7:$M$7</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'Ch2. Cross filings'!$B$12:$M$12</c:f>
              <c:numCache>
                <c:formatCode>#,##0</c:formatCode>
                <c:ptCount val="12"/>
                <c:pt idx="0">
                  <c:v>74768</c:v>
                </c:pt>
                <c:pt idx="1">
                  <c:v>80685</c:v>
                </c:pt>
                <c:pt idx="2">
                  <c:v>89252</c:v>
                </c:pt>
                <c:pt idx="3">
                  <c:v>89937</c:v>
                </c:pt>
                <c:pt idx="4">
                  <c:v>86888</c:v>
                </c:pt>
                <c:pt idx="5">
                  <c:v>88414</c:v>
                </c:pt>
                <c:pt idx="6">
                  <c:v>90059</c:v>
                </c:pt>
                <c:pt idx="7" formatCode="#,##0_);[Red]\(#,##0\)">
                  <c:v>93803</c:v>
                </c:pt>
                <c:pt idx="8" formatCode="#,##0_);[Red]\(#,##0\)">
                  <c:v>98025</c:v>
                </c:pt>
                <c:pt idx="9" formatCode="#,##0_);[Red]\(#,##0\)">
                  <c:v>100169</c:v>
                </c:pt>
                <c:pt idx="10" formatCode="#,##0_);[Red]\(#,##0\)">
                  <c:v>102631</c:v>
                </c:pt>
                <c:pt idx="11" formatCode="#,##0_);[Red]\(#,##0\)">
                  <c:v>100862</c:v>
                </c:pt>
              </c:numCache>
            </c:numRef>
          </c:val>
          <c:extLst>
            <c:ext xmlns:c16="http://schemas.microsoft.com/office/drawing/2014/chart" uri="{C3380CC4-5D6E-409C-BE32-E72D297353CC}">
              <c16:uniqueId val="{00000019-23AA-4DF1-8CCC-C3D9F1A18255}"/>
            </c:ext>
          </c:extLst>
        </c:ser>
        <c:ser>
          <c:idx val="3"/>
          <c:order val="2"/>
          <c:tx>
            <c:strRef>
              <c:f>'Ch2. Cross filings'!$A$11</c:f>
              <c:strCache>
                <c:ptCount val="1"/>
                <c:pt idx="0">
                  <c:v>P.R. China</c:v>
                </c:pt>
              </c:strCache>
            </c:strRef>
          </c:tx>
          <c:spPr>
            <a:solidFill>
              <a:srgbClr val="FFC000"/>
            </a:solidFill>
            <a:ln>
              <a:noFill/>
            </a:ln>
            <a:effectLst/>
          </c:spPr>
          <c:invertIfNegative val="0"/>
          <c:dLbls>
            <c:dLbl>
              <c:idx val="0"/>
              <c:tx>
                <c:strRef>
                  <c:f>'Ch2. Cross filings'!$B$21</c:f>
                  <c:strCache>
                    <c:ptCount val="1"/>
                    <c:pt idx="0">
                      <c:v>5%</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{AFB96026-7E9F-4079-99CA-623BD12D4A63}</c15:txfldGUID>
                      <c15:f>'Ch2. Cross filings'!$B$21</c15:f>
                      <c15:dlblFieldTableCache>
                        <c:ptCount val="1"/>
                        <c:pt idx="0">
                          <c:v>5%</c:v>
                        </c:pt>
                      </c15:dlblFieldTableCache>
                    </c15:dlblFTEntry>
                  </c15:dlblFieldTable>
                  <c15:showDataLabelsRange val="0"/>
                </c:ext>
                <c:ext xmlns:c16="http://schemas.microsoft.com/office/drawing/2014/chart" uri="{C3380CC4-5D6E-409C-BE32-E72D297353CC}">
                  <c16:uniqueId val="{0000001A-23AA-4DF1-8CCC-C3D9F1A18255}"/>
                </c:ext>
              </c:extLst>
            </c:dLbl>
            <c:dLbl>
              <c:idx val="1"/>
              <c:tx>
                <c:strRef>
                  <c:f>'Ch2. Cross filings'!$C$21</c:f>
                  <c:strCache>
                    <c:ptCount val="1"/>
                    <c:pt idx="0">
                      <c:v>5%</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{3C1E6046-3F00-4C20-9EE1-D08E47DF8829}</c15:txfldGUID>
                      <c15:f>'Ch2. Cross filings'!$C$21</c15:f>
                      <c15:dlblFieldTableCache>
                        <c:ptCount val="1"/>
                        <c:pt idx="0">
                          <c:v>5%</c:v>
                        </c:pt>
                      </c15:dlblFieldTableCache>
                    </c15:dlblFTEntry>
                  </c15:dlblFieldTable>
                  <c15:showDataLabelsRange val="0"/>
                </c:ext>
                <c:ext xmlns:c16="http://schemas.microsoft.com/office/drawing/2014/chart" uri="{C3380CC4-5D6E-409C-BE32-E72D297353CC}">
                  <c16:uniqueId val="{0000001B-23AA-4DF1-8CCC-C3D9F1A18255}"/>
                </c:ext>
              </c:extLst>
            </c:dLbl>
            <c:dLbl>
              <c:idx val="2"/>
              <c:tx>
                <c:strRef>
                  <c:f>'Ch2. Cross filings'!$D$21</c:f>
                  <c:strCache>
                    <c:ptCount val="1"/>
                    <c:pt idx="0">
                      <c:v>6%</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{4AE1028E-6871-43AA-8603-C96867C69109}</c15:txfldGUID>
                      <c15:f>'Ch2. Cross filings'!$D$21</c15:f>
                      <c15:dlblFieldTableCache>
                        <c:ptCount val="1"/>
                        <c:pt idx="0">
                          <c:v>6%</c:v>
                        </c:pt>
                      </c15:dlblFieldTableCache>
                    </c15:dlblFTEntry>
                  </c15:dlblFieldTable>
                  <c15:showDataLabelsRange val="0"/>
                </c:ext>
                <c:ext xmlns:c16="http://schemas.microsoft.com/office/drawing/2014/chart" uri="{C3380CC4-5D6E-409C-BE32-E72D297353CC}">
                  <c16:uniqueId val="{0000001C-23AA-4DF1-8CCC-C3D9F1A18255}"/>
                </c:ext>
              </c:extLst>
            </c:dLbl>
            <c:dLbl>
              <c:idx val="3"/>
              <c:tx>
                <c:strRef>
                  <c:f>'Ch2. Cross filings'!$E$21</c:f>
                  <c:strCache>
                    <c:ptCount val="1"/>
                    <c:pt idx="0">
                      <c:v>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{1047373B-0CED-46C5-BE99-EF8613996943}</c15:txfldGUID>
                      <c15:f>'Ch2. Cross filings'!$E$21</c15:f>
                      <c15:dlblFieldTableCache>
                        <c:ptCount val="1"/>
                        <c:pt idx="0">
                          <c:v>7%</c:v>
                        </c:pt>
                      </c15:dlblFieldTableCache>
                    </c15:dlblFTEntry>
                  </c15:dlblFieldTable>
                  <c15:showDataLabelsRange val="0"/>
                </c:ext>
                <c:ext xmlns:c16="http://schemas.microsoft.com/office/drawing/2014/chart" uri="{C3380CC4-5D6E-409C-BE32-E72D297353CC}">
                  <c16:uniqueId val="{0000001D-23AA-4DF1-8CCC-C3D9F1A18255}"/>
                </c:ext>
              </c:extLst>
            </c:dLbl>
            <c:dLbl>
              <c:idx val="4"/>
              <c:tx>
                <c:strRef>
                  <c:f>'Ch2. Cross filings'!$F$21</c:f>
                  <c:strCache>
                    <c:ptCount val="1"/>
                    <c:pt idx="0">
                      <c:v>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{409F3A3F-976F-4C33-8002-06AF3B65C378}</c15:txfldGUID>
                      <c15:f>'Ch2. Cross filings'!$F$21</c15:f>
                      <c15:dlblFieldTableCache>
                        <c:ptCount val="1"/>
                        <c:pt idx="0">
                          <c:v>7%</c:v>
                        </c:pt>
                      </c15:dlblFieldTableCache>
                    </c15:dlblFTEntry>
                  </c15:dlblFieldTable>
                  <c15:showDataLabelsRange val="0"/>
                </c:ext>
                <c:ext xmlns:c16="http://schemas.microsoft.com/office/drawing/2014/chart" uri="{C3380CC4-5D6E-409C-BE32-E72D297353CC}">
                  <c16:uniqueId val="{0000001E-23AA-4DF1-8CCC-C3D9F1A18255}"/>
                </c:ext>
              </c:extLst>
            </c:dLbl>
            <c:dLbl>
              <c:idx val="5"/>
              <c:tx>
                <c:strRef>
                  <c:f>'Ch2. Cross filings'!$G$21</c:f>
                  <c:strCache>
                    <c:ptCount val="1"/>
                    <c:pt idx="0">
                      <c:v>8%</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{9D269DCC-9C8E-4D80-A490-612F4D838E08}</c15:txfldGUID>
                      <c15:f>'Ch2. Cross filings'!$G$21</c15:f>
                      <c15:dlblFieldTableCache>
                        <c:ptCount val="1"/>
                        <c:pt idx="0">
                          <c:v>8%</c:v>
                        </c:pt>
                      </c15:dlblFieldTableCache>
                    </c15:dlblFTEntry>
                  </c15:dlblFieldTable>
                  <c15:showDataLabelsRange val="0"/>
                </c:ext>
                <c:ext xmlns:c16="http://schemas.microsoft.com/office/drawing/2014/chart" uri="{C3380CC4-5D6E-409C-BE32-E72D297353CC}">
                  <c16:uniqueId val="{0000001F-23AA-4DF1-8CCC-C3D9F1A18255}"/>
                </c:ext>
              </c:extLst>
            </c:dLbl>
            <c:dLbl>
              <c:idx val="6"/>
              <c:tx>
                <c:strRef>
                  <c:f>'Ch2. Cross filings'!$H$21</c:f>
                  <c:strCache>
                    <c:ptCount val="1"/>
                    <c:pt idx="0">
                      <c:v>10%</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{11C06A1B-08D3-46E7-A2D6-EB9283793949}</c15:txfldGUID>
                      <c15:f>'Ch2. Cross filings'!$H$21</c15:f>
                      <c15:dlblFieldTableCache>
                        <c:ptCount val="1"/>
                        <c:pt idx="0">
                          <c:v>10%</c:v>
                        </c:pt>
                      </c15:dlblFieldTableCache>
                    </c15:dlblFTEntry>
                  </c15:dlblFieldTable>
                  <c15:showDataLabelsRange val="0"/>
                </c:ext>
                <c:ext xmlns:c16="http://schemas.microsoft.com/office/drawing/2014/chart" uri="{C3380CC4-5D6E-409C-BE32-E72D297353CC}">
                  <c16:uniqueId val="{00000020-23AA-4DF1-8CCC-C3D9F1A18255}"/>
                </c:ext>
              </c:extLst>
            </c:dLbl>
            <c:dLbl>
              <c:idx val="7"/>
              <c:tx>
                <c:strRef>
                  <c:f>'Ch2. Cross filings'!$I$21</c:f>
                  <c:strCache>
                    <c:ptCount val="1"/>
                    <c:pt idx="0">
                      <c:v>11%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{98C2A618-4D6E-457F-94AC-D1E8A9DF38E1}</c15:txfldGUID>
                      <c15:f>'Ch2. Cross filings'!$I$21</c15:f>
                      <c15:dlblFieldTableCache>
                        <c:ptCount val="1"/>
                        <c:pt idx="0">
                          <c:v>11%</c:v>
                        </c:pt>
                      </c15:dlblFieldTableCache>
                    </c15:dlblFTEntry>
                  </c15:dlblFieldTable>
                  <c15:showDataLabelsRange val="0"/>
                </c:ext>
                <c:ext xmlns:c16="http://schemas.microsoft.com/office/drawing/2014/chart" uri="{C3380CC4-5D6E-409C-BE32-E72D297353CC}">
                  <c16:uniqueId val="{00000021-23AA-4DF1-8CCC-C3D9F1A18255}"/>
                </c:ext>
              </c:extLst>
            </c:dLbl>
            <c:dLbl>
              <c:idx val="8"/>
              <c:tx>
                <c:strRef>
                  <c:f>'Ch2. Cross filings'!$J$21</c:f>
                  <c:strCache>
                    <c:ptCount val="1"/>
                    <c:pt idx="0">
                      <c:v>13%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{0C168F49-0A05-4589-B033-783939F4327B}</c15:txfldGUID>
                      <c15:f>'Ch2. Cross filings'!$J$21</c15:f>
                      <c15:dlblFieldTableCache>
                        <c:ptCount val="1"/>
                        <c:pt idx="0">
                          <c:v>13%</c:v>
                        </c:pt>
                      </c15:dlblFieldTableCache>
                    </c15:dlblFTEntry>
                  </c15:dlblFieldTable>
                  <c15:showDataLabelsRange val="0"/>
                </c:ext>
                <c:ext xmlns:c16="http://schemas.microsoft.com/office/drawing/2014/chart" uri="{C3380CC4-5D6E-409C-BE32-E72D297353CC}">
                  <c16:uniqueId val="{00000022-23AA-4DF1-8CCC-C3D9F1A18255}"/>
                </c:ext>
              </c:extLst>
            </c:dLbl>
            <c:dLbl>
              <c:idx val="9"/>
              <c:tx>
                <c:strRef>
                  <c:f>'Ch2. Cross filings'!$K$21</c:f>
                  <c:strCache>
                    <c:ptCount val="1"/>
                    <c:pt idx="0">
                      <c:v>14%</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{063893E8-B5DB-4722-8E5A-C324F1870BB0}</c15:txfldGUID>
                      <c15:f>'Ch2. Cross filings'!$K$21</c15:f>
                      <c15:dlblFieldTableCache>
                        <c:ptCount val="1"/>
                        <c:pt idx="0">
                          <c:v>14%</c:v>
                        </c:pt>
                      </c15:dlblFieldTableCache>
                    </c15:dlblFTEntry>
                  </c15:dlblFieldTable>
                  <c15:showDataLabelsRange val="0"/>
                </c:ext>
                <c:ext xmlns:c16="http://schemas.microsoft.com/office/drawing/2014/chart" uri="{C3380CC4-5D6E-409C-BE32-E72D297353CC}">
                  <c16:uniqueId val="{00000023-23AA-4DF1-8CCC-C3D9F1A18255}"/>
                </c:ext>
              </c:extLst>
            </c:dLbl>
            <c:dLbl>
              <c:idx val="10"/>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t>13%</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23AA-4DF1-8CCC-C3D9F1A18255}"/>
                </c:ext>
              </c:extLst>
            </c:dLbl>
            <c:dLbl>
              <c:idx val="11"/>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ltLang="ko-KR"/>
                      <a:t>15%</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ltLang="ko-KR"/>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23AA-4DF1-8CCC-C3D9F1A18255}"/>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filings'!$B$7:$M$7</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'Ch2. Cross filings'!$B$11:$M$11</c:f>
              <c:numCache>
                <c:formatCode>#,##0</c:formatCode>
                <c:ptCount val="12"/>
                <c:pt idx="0">
                  <c:v>12329</c:v>
                </c:pt>
                <c:pt idx="1">
                  <c:v>13701</c:v>
                </c:pt>
                <c:pt idx="2">
                  <c:v>15954</c:v>
                </c:pt>
                <c:pt idx="3">
                  <c:v>18810</c:v>
                </c:pt>
                <c:pt idx="4">
                  <c:v>20011</c:v>
                </c:pt>
                <c:pt idx="5">
                  <c:v>23184</c:v>
                </c:pt>
                <c:pt idx="6">
                  <c:v>27526</c:v>
                </c:pt>
                <c:pt idx="7" formatCode="#,##0_);[Red]\(#,##0\)">
                  <c:v>34147</c:v>
                </c:pt>
                <c:pt idx="8" formatCode="#,##0_);[Red]\(#,##0\)">
                  <c:v>40283</c:v>
                </c:pt>
                <c:pt idx="9" formatCode="#,##0_);[Red]\(#,##0\)">
                  <c:v>43508</c:v>
                </c:pt>
                <c:pt idx="10" formatCode="#,##0_);[Red]\(#,##0\)">
                  <c:v>48608</c:v>
                </c:pt>
                <c:pt idx="11" formatCode="#,##0_);[Red]\(#,##0\)">
                  <c:v>49195</c:v>
                </c:pt>
              </c:numCache>
            </c:numRef>
          </c:val>
          <c:extLst>
            <c:ext xmlns:c16="http://schemas.microsoft.com/office/drawing/2014/chart" uri="{C3380CC4-5D6E-409C-BE32-E72D297353CC}">
              <c16:uniqueId val="{00000026-23AA-4DF1-8CCC-C3D9F1A18255}"/>
            </c:ext>
          </c:extLst>
        </c:ser>
        <c:ser>
          <c:idx val="2"/>
          <c:order val="3"/>
          <c:tx>
            <c:strRef>
              <c:f>'Ch2. Cross filings'!$A$10</c:f>
              <c:strCache>
                <c:ptCount val="1"/>
                <c:pt idx="0">
                  <c:v>R. Korea</c:v>
                </c:pt>
              </c:strCache>
            </c:strRef>
          </c:tx>
          <c:spPr>
            <a:solidFill>
              <a:srgbClr val="7030A0"/>
            </a:solidFill>
            <a:ln>
              <a:noFill/>
            </a:ln>
            <a:effectLst/>
          </c:spPr>
          <c:invertIfNegative val="0"/>
          <c:dLbls>
            <c:dLbl>
              <c:idx val="0"/>
              <c:tx>
                <c:strRef>
                  <c:f>'Ch2. Cross filings'!$B$20</c:f>
                  <c:strCache>
                    <c:ptCount val="1"/>
                    <c:pt idx="0">
                      <c:v>10%</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{727A633E-D973-4FCE-804C-CCAE009830CA}</c15:txfldGUID>
                      <c15:f>'Ch2. Cross filings'!$B$20</c15:f>
                      <c15:dlblFieldTableCache>
                        <c:ptCount val="1"/>
                        <c:pt idx="0">
                          <c:v>10%</c:v>
                        </c:pt>
                      </c15:dlblFieldTableCache>
                    </c15:dlblFTEntry>
                  </c15:dlblFieldTable>
                  <c15:showDataLabelsRange val="0"/>
                </c:ext>
                <c:ext xmlns:c16="http://schemas.microsoft.com/office/drawing/2014/chart" uri="{C3380CC4-5D6E-409C-BE32-E72D297353CC}">
                  <c16:uniqueId val="{00000027-23AA-4DF1-8CCC-C3D9F1A18255}"/>
                </c:ext>
              </c:extLst>
            </c:dLbl>
            <c:dLbl>
              <c:idx val="1"/>
              <c:tx>
                <c:strRef>
                  <c:f>'Ch2. Cross filings'!$C$20</c:f>
                  <c:strCache>
                    <c:ptCount val="1"/>
                    <c:pt idx="0">
                      <c:v>10%</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{B63ADD2A-3173-4104-B66E-D9331D2270FE}</c15:txfldGUID>
                      <c15:f>'Ch2. Cross filings'!$C$20</c15:f>
                      <c15:dlblFieldTableCache>
                        <c:ptCount val="1"/>
                        <c:pt idx="0">
                          <c:v>10%</c:v>
                        </c:pt>
                      </c15:dlblFieldTableCache>
                    </c15:dlblFTEntry>
                  </c15:dlblFieldTable>
                  <c15:showDataLabelsRange val="0"/>
                </c:ext>
                <c:ext xmlns:c16="http://schemas.microsoft.com/office/drawing/2014/chart" uri="{C3380CC4-5D6E-409C-BE32-E72D297353CC}">
                  <c16:uniqueId val="{00000028-23AA-4DF1-8CCC-C3D9F1A18255}"/>
                </c:ext>
              </c:extLst>
            </c:dLbl>
            <c:dLbl>
              <c:idx val="2"/>
              <c:tx>
                <c:strRef>
                  <c:f>'Ch2. Cross filings'!$D$20</c:f>
                  <c:strCache>
                    <c:ptCount val="1"/>
                    <c:pt idx="0">
                      <c:v>11%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{0C7C62C6-E1A6-40C1-9849-DADB57D2AFB2}</c15:txfldGUID>
                      <c15:f>'Ch2. Cross filings'!$D$20</c15:f>
                      <c15:dlblFieldTableCache>
                        <c:ptCount val="1"/>
                        <c:pt idx="0">
                          <c:v>11%</c:v>
                        </c:pt>
                      </c15:dlblFieldTableCache>
                    </c15:dlblFTEntry>
                  </c15:dlblFieldTable>
                  <c15:showDataLabelsRange val="0"/>
                </c:ext>
                <c:ext xmlns:c16="http://schemas.microsoft.com/office/drawing/2014/chart" uri="{C3380CC4-5D6E-409C-BE32-E72D297353CC}">
                  <c16:uniqueId val="{00000029-23AA-4DF1-8CCC-C3D9F1A18255}"/>
                </c:ext>
              </c:extLst>
            </c:dLbl>
            <c:dLbl>
              <c:idx val="3"/>
              <c:tx>
                <c:strRef>
                  <c:f>'Ch2. Cross filings'!$E$20</c:f>
                  <c:strCache>
                    <c:ptCount val="1"/>
                    <c:pt idx="0">
                      <c:v>12%</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{923164F3-801D-4EB8-9BC0-E5ABEC05A590}</c15:txfldGUID>
                      <c15:f>'Ch2. Cross filings'!$E$20</c15:f>
                      <c15:dlblFieldTableCache>
                        <c:ptCount val="1"/>
                        <c:pt idx="0">
                          <c:v>12%</c:v>
                        </c:pt>
                      </c15:dlblFieldTableCache>
                    </c15:dlblFTEntry>
                  </c15:dlblFieldTable>
                  <c15:showDataLabelsRange val="0"/>
                </c:ext>
                <c:ext xmlns:c16="http://schemas.microsoft.com/office/drawing/2014/chart" uri="{C3380CC4-5D6E-409C-BE32-E72D297353CC}">
                  <c16:uniqueId val="{0000002A-23AA-4DF1-8CCC-C3D9F1A18255}"/>
                </c:ext>
              </c:extLst>
            </c:dLbl>
            <c:dLbl>
              <c:idx val="4"/>
              <c:tx>
                <c:strRef>
                  <c:f>'Ch2. Cross filings'!$F$20</c:f>
                  <c:strCache>
                    <c:ptCount val="1"/>
                    <c:pt idx="0">
                      <c:v>12%</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{2B51E2CF-9729-43E2-B123-DE9AC5D7BF72}</c15:txfldGUID>
                      <c15:f>'Ch2. Cross filings'!$F$20</c15:f>
                      <c15:dlblFieldTableCache>
                        <c:ptCount val="1"/>
                        <c:pt idx="0">
                          <c:v>12%</c:v>
                        </c:pt>
                      </c15:dlblFieldTableCache>
                    </c15:dlblFTEntry>
                  </c15:dlblFieldTable>
                  <c15:showDataLabelsRange val="0"/>
                </c:ext>
                <c:ext xmlns:c16="http://schemas.microsoft.com/office/drawing/2014/chart" uri="{C3380CC4-5D6E-409C-BE32-E72D297353CC}">
                  <c16:uniqueId val="{0000002B-23AA-4DF1-8CCC-C3D9F1A18255}"/>
                </c:ext>
              </c:extLst>
            </c:dLbl>
            <c:dLbl>
              <c:idx val="5"/>
              <c:tx>
                <c:strRef>
                  <c:f>'Ch2. Cross filings'!$G$20</c:f>
                  <c:strCache>
                    <c:ptCount val="1"/>
                    <c:pt idx="0">
                      <c:v>11%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{3675A0EA-BF3C-4639-A2C3-9CB9C8393AE5}</c15:txfldGUID>
                      <c15:f>'Ch2. Cross filings'!$G$20</c15:f>
                      <c15:dlblFieldTableCache>
                        <c:ptCount val="1"/>
                        <c:pt idx="0">
                          <c:v>11%</c:v>
                        </c:pt>
                      </c15:dlblFieldTableCache>
                    </c15:dlblFTEntry>
                  </c15:dlblFieldTable>
                  <c15:showDataLabelsRange val="0"/>
                </c:ext>
                <c:ext xmlns:c16="http://schemas.microsoft.com/office/drawing/2014/chart" uri="{C3380CC4-5D6E-409C-BE32-E72D297353CC}">
                  <c16:uniqueId val="{0000002C-23AA-4DF1-8CCC-C3D9F1A18255}"/>
                </c:ext>
              </c:extLst>
            </c:dLbl>
            <c:dLbl>
              <c:idx val="6"/>
              <c:tx>
                <c:strRef>
                  <c:f>'Ch2. Cross filings'!$H$20</c:f>
                  <c:strCache>
                    <c:ptCount val="1"/>
                    <c:pt idx="0">
                      <c:v>10%</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{324770A5-1B3B-4FC1-8CE7-7A4732084258}</c15:txfldGUID>
                      <c15:f>'Ch2. Cross filings'!$H$20</c15:f>
                      <c15:dlblFieldTableCache>
                        <c:ptCount val="1"/>
                        <c:pt idx="0">
                          <c:v>10%</c:v>
                        </c:pt>
                      </c15:dlblFieldTableCache>
                    </c15:dlblFTEntry>
                  </c15:dlblFieldTable>
                  <c15:showDataLabelsRange val="0"/>
                </c:ext>
                <c:ext xmlns:c16="http://schemas.microsoft.com/office/drawing/2014/chart" uri="{C3380CC4-5D6E-409C-BE32-E72D297353CC}">
                  <c16:uniqueId val="{0000002D-23AA-4DF1-8CCC-C3D9F1A18255}"/>
                </c:ext>
              </c:extLst>
            </c:dLbl>
            <c:dLbl>
              <c:idx val="7"/>
              <c:tx>
                <c:strRef>
                  <c:f>'Ch2. Cross filings'!$I$20</c:f>
                  <c:strCache>
                    <c:ptCount val="1"/>
                    <c:pt idx="0">
                      <c:v>10%</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{59881321-B101-4ED2-BD55-AC6C2554A214}</c15:txfldGUID>
                      <c15:f>'Ch2. Cross filings'!$I$20</c15:f>
                      <c15:dlblFieldTableCache>
                        <c:ptCount val="1"/>
                        <c:pt idx="0">
                          <c:v>10%</c:v>
                        </c:pt>
                      </c15:dlblFieldTableCache>
                    </c15:dlblFTEntry>
                  </c15:dlblFieldTable>
                  <c15:showDataLabelsRange val="0"/>
                </c:ext>
                <c:ext xmlns:c16="http://schemas.microsoft.com/office/drawing/2014/chart" uri="{C3380CC4-5D6E-409C-BE32-E72D297353CC}">
                  <c16:uniqueId val="{0000002E-23AA-4DF1-8CCC-C3D9F1A18255}"/>
                </c:ext>
              </c:extLst>
            </c:dLbl>
            <c:dLbl>
              <c:idx val="8"/>
              <c:tx>
                <c:strRef>
                  <c:f>'Ch2. Cross filings'!$J$20</c:f>
                  <c:strCache>
                    <c:ptCount val="1"/>
                    <c:pt idx="0">
                      <c:v>11%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{0E869FAB-581E-45D3-87C6-B73F6A2F21D5}</c15:txfldGUID>
                      <c15:f>'Ch2. Cross filings'!$J$20</c15:f>
                      <c15:dlblFieldTableCache>
                        <c:ptCount val="1"/>
                        <c:pt idx="0">
                          <c:v>11%</c:v>
                        </c:pt>
                      </c15:dlblFieldTableCache>
                    </c15:dlblFTEntry>
                  </c15:dlblFieldTable>
                  <c15:showDataLabelsRange val="0"/>
                </c:ext>
                <c:ext xmlns:c16="http://schemas.microsoft.com/office/drawing/2014/chart" uri="{C3380CC4-5D6E-409C-BE32-E72D297353CC}">
                  <c16:uniqueId val="{0000002F-23AA-4DF1-8CCC-C3D9F1A18255}"/>
                </c:ext>
              </c:extLst>
            </c:dLbl>
            <c:dLbl>
              <c:idx val="9"/>
              <c:tx>
                <c:strRef>
                  <c:f>'Ch2. Cross filings'!$K$20</c:f>
                  <c:strCache>
                    <c:ptCount val="1"/>
                    <c:pt idx="0">
                      <c:v>11%</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{2D5D59CC-BF07-4CB2-80C5-304F3A0E0881}</c15:txfldGUID>
                      <c15:f>'Ch2. Cross filings'!$K$20</c15:f>
                      <c15:dlblFieldTableCache>
                        <c:ptCount val="1"/>
                        <c:pt idx="0">
                          <c:v>11%</c:v>
                        </c:pt>
                      </c15:dlblFieldTableCache>
                    </c15:dlblFTEntry>
                  </c15:dlblFieldTable>
                  <c15:showDataLabelsRange val="0"/>
                </c:ext>
                <c:ext xmlns:c16="http://schemas.microsoft.com/office/drawing/2014/chart" uri="{C3380CC4-5D6E-409C-BE32-E72D297353CC}">
                  <c16:uniqueId val="{00000030-23AA-4DF1-8CCC-C3D9F1A18255}"/>
                </c:ext>
              </c:extLst>
            </c:dLbl>
            <c:dLbl>
              <c:idx val="10"/>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t>11%</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23AA-4DF1-8CCC-C3D9F1A18255}"/>
                </c:ext>
              </c:extLst>
            </c:dLbl>
            <c:dLbl>
              <c:idx val="11"/>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ltLang="ko-KR"/>
                      <a:t>12%</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ltLang="ko-KR"/>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23AA-4DF1-8CCC-C3D9F1A18255}"/>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filings'!$B$7:$M$7</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'Ch2. Cross filings'!$B$10:$M$10</c:f>
              <c:numCache>
                <c:formatCode>#,##0</c:formatCode>
                <c:ptCount val="12"/>
                <c:pt idx="0">
                  <c:v>24247</c:v>
                </c:pt>
                <c:pt idx="1">
                  <c:v>25654</c:v>
                </c:pt>
                <c:pt idx="2">
                  <c:v>28839</c:v>
                </c:pt>
                <c:pt idx="3">
                  <c:v>32036</c:v>
                </c:pt>
                <c:pt idx="4">
                  <c:v>32577</c:v>
                </c:pt>
                <c:pt idx="5">
                  <c:v>30863</c:v>
                </c:pt>
                <c:pt idx="6">
                  <c:v>29433</c:v>
                </c:pt>
                <c:pt idx="7" formatCode="#,##0_);[Red]\(#,##0\)">
                  <c:v>30276</c:v>
                </c:pt>
                <c:pt idx="8" formatCode="#,##0_);[Red]\(#,##0\)">
                  <c:v>34368</c:v>
                </c:pt>
                <c:pt idx="9" formatCode="#,##0_);[Red]\(#,##0\)">
                  <c:v>36606</c:v>
                </c:pt>
                <c:pt idx="10" formatCode="#,##0_);[Red]\(#,##0\)">
                  <c:v>38636</c:v>
                </c:pt>
                <c:pt idx="11" formatCode="#,##0_);[Red]\(#,##0\)">
                  <c:v>42990</c:v>
                </c:pt>
              </c:numCache>
            </c:numRef>
          </c:val>
          <c:extLst>
            <c:ext xmlns:c16="http://schemas.microsoft.com/office/drawing/2014/chart" uri="{C3380CC4-5D6E-409C-BE32-E72D297353CC}">
              <c16:uniqueId val="{00000033-23AA-4DF1-8CCC-C3D9F1A18255}"/>
            </c:ext>
          </c:extLst>
        </c:ser>
        <c:ser>
          <c:idx val="1"/>
          <c:order val="4"/>
          <c:tx>
            <c:strRef>
              <c:f>'Ch2. Cross filings'!$A$9</c:f>
              <c:strCache>
                <c:ptCount val="1"/>
                <c:pt idx="0">
                  <c:v>Japan</c:v>
                </c:pt>
              </c:strCache>
            </c:strRef>
          </c:tx>
          <c:spPr>
            <a:solidFill>
              <a:srgbClr val="FF0000"/>
            </a:solidFill>
            <a:ln>
              <a:noFill/>
            </a:ln>
            <a:effectLst/>
          </c:spPr>
          <c:invertIfNegative val="0"/>
          <c:dLbls>
            <c:dLbl>
              <c:idx val="0"/>
              <c:tx>
                <c:strRef>
                  <c:f>'Ch2. Cross filings'!$B$19</c:f>
                  <c:strCache>
                    <c:ptCount val="1"/>
                    <c:pt idx="0">
                      <c:v>34%</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{7FA1E343-C023-4F8C-AD33-33BFAEE25893}</c15:txfldGUID>
                      <c15:f>'Ch2. Cross filings'!$B$19</c15:f>
                      <c15:dlblFieldTableCache>
                        <c:ptCount val="1"/>
                        <c:pt idx="0">
                          <c:v>34%</c:v>
                        </c:pt>
                      </c15:dlblFieldTableCache>
                    </c15:dlblFTEntry>
                  </c15:dlblFieldTable>
                  <c15:showDataLabelsRange val="1"/>
                </c:ext>
                <c:ext xmlns:c16="http://schemas.microsoft.com/office/drawing/2014/chart" uri="{C3380CC4-5D6E-409C-BE32-E72D297353CC}">
                  <c16:uniqueId val="{00000034-23AA-4DF1-8CCC-C3D9F1A18255}"/>
                </c:ext>
              </c:extLst>
            </c:dLbl>
            <c:dLbl>
              <c:idx val="1"/>
              <c:tx>
                <c:strRef>
                  <c:f>'Ch2. Cross filings'!$C$19</c:f>
                  <c:strCache>
                    <c:ptCount val="1"/>
                    <c:pt idx="0">
                      <c:v>33%</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{227357F7-007C-4ED1-B1E7-D9D506BCB68D}</c15:txfldGUID>
                      <c15:f>'Ch2. Cross filings'!$C$19</c15:f>
                      <c15:dlblFieldTableCache>
                        <c:ptCount val="1"/>
                        <c:pt idx="0">
                          <c:v>33%</c:v>
                        </c:pt>
                      </c15:dlblFieldTableCache>
                    </c15:dlblFTEntry>
                  </c15:dlblFieldTable>
                  <c15:showDataLabelsRange val="1"/>
                </c:ext>
                <c:ext xmlns:c16="http://schemas.microsoft.com/office/drawing/2014/chart" uri="{C3380CC4-5D6E-409C-BE32-E72D297353CC}">
                  <c16:uniqueId val="{00000035-23AA-4DF1-8CCC-C3D9F1A18255}"/>
                </c:ext>
              </c:extLst>
            </c:dLbl>
            <c:dLbl>
              <c:idx val="2"/>
              <c:tx>
                <c:strRef>
                  <c:f>'Ch2. Cross filings'!$D$19</c:f>
                  <c:strCache>
                    <c:ptCount val="1"/>
                    <c:pt idx="0">
                      <c:v>30%</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{F7BF6BC8-643C-4288-8A84-837A1C35A204}</c15:txfldGUID>
                      <c15:f>'Ch2. Cross filings'!$D$19</c15:f>
                      <c15:dlblFieldTableCache>
                        <c:ptCount val="1"/>
                        <c:pt idx="0">
                          <c:v>30%</c:v>
                        </c:pt>
                      </c15:dlblFieldTableCache>
                    </c15:dlblFTEntry>
                  </c15:dlblFieldTable>
                  <c15:showDataLabelsRange val="1"/>
                </c:ext>
                <c:ext xmlns:c16="http://schemas.microsoft.com/office/drawing/2014/chart" uri="{C3380CC4-5D6E-409C-BE32-E72D297353CC}">
                  <c16:uniqueId val="{00000036-23AA-4DF1-8CCC-C3D9F1A18255}"/>
                </c:ext>
              </c:extLst>
            </c:dLbl>
            <c:dLbl>
              <c:idx val="3"/>
              <c:tx>
                <c:strRef>
                  <c:f>'Ch2. Cross filings'!$E$19</c:f>
                  <c:strCache>
                    <c:ptCount val="1"/>
                    <c:pt idx="0">
                      <c:v>29%</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{3A78B7F9-1C78-4420-944E-C738CB98A57B}</c15:txfldGUID>
                      <c15:f>'Ch2. Cross filings'!$E$19</c15:f>
                      <c15:dlblFieldTableCache>
                        <c:ptCount val="1"/>
                        <c:pt idx="0">
                          <c:v>29%</c:v>
                        </c:pt>
                      </c15:dlblFieldTableCache>
                    </c15:dlblFTEntry>
                  </c15:dlblFieldTable>
                  <c15:showDataLabelsRange val="1"/>
                </c:ext>
                <c:ext xmlns:c16="http://schemas.microsoft.com/office/drawing/2014/chart" uri="{C3380CC4-5D6E-409C-BE32-E72D297353CC}">
                  <c16:uniqueId val="{00000037-23AA-4DF1-8CCC-C3D9F1A18255}"/>
                </c:ext>
              </c:extLst>
            </c:dLbl>
            <c:dLbl>
              <c:idx val="4"/>
              <c:tx>
                <c:strRef>
                  <c:f>'Ch2. Cross filings'!$F$19</c:f>
                  <c:strCache>
                    <c:ptCount val="1"/>
                    <c:pt idx="0">
                      <c:v>29%</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{1E2ECA2A-B5DA-48E7-8D3E-F9C760E733D2}</c15:txfldGUID>
                      <c15:f>'Ch2. Cross filings'!$F$19</c15:f>
                      <c15:dlblFieldTableCache>
                        <c:ptCount val="1"/>
                        <c:pt idx="0">
                          <c:v>29%</c:v>
                        </c:pt>
                      </c15:dlblFieldTableCache>
                    </c15:dlblFTEntry>
                  </c15:dlblFieldTable>
                  <c15:showDataLabelsRange val="1"/>
                </c:ext>
                <c:ext xmlns:c16="http://schemas.microsoft.com/office/drawing/2014/chart" uri="{C3380CC4-5D6E-409C-BE32-E72D297353CC}">
                  <c16:uniqueId val="{00000038-23AA-4DF1-8CCC-C3D9F1A18255}"/>
                </c:ext>
              </c:extLst>
            </c:dLbl>
            <c:dLbl>
              <c:idx val="5"/>
              <c:tx>
                <c:strRef>
                  <c:f>'Ch2. Cross filings'!$G$19</c:f>
                  <c:strCache>
                    <c:ptCount val="1"/>
                    <c:pt idx="0">
                      <c:v>28%</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{6710B25C-5C66-460B-952E-9D3605CF3239}</c15:txfldGUID>
                      <c15:f>'Ch2. Cross filings'!$G$19</c15:f>
                      <c15:dlblFieldTableCache>
                        <c:ptCount val="1"/>
                        <c:pt idx="0">
                          <c:v>28%</c:v>
                        </c:pt>
                      </c15:dlblFieldTableCache>
                    </c15:dlblFTEntry>
                  </c15:dlblFieldTable>
                  <c15:showDataLabelsRange val="1"/>
                </c:ext>
                <c:ext xmlns:c16="http://schemas.microsoft.com/office/drawing/2014/chart" uri="{C3380CC4-5D6E-409C-BE32-E72D297353CC}">
                  <c16:uniqueId val="{00000039-23AA-4DF1-8CCC-C3D9F1A18255}"/>
                </c:ext>
              </c:extLst>
            </c:dLbl>
            <c:dLbl>
              <c:idx val="6"/>
              <c:tx>
                <c:strRef>
                  <c:f>'Ch2. Cross filings'!$H$19</c:f>
                  <c:strCache>
                    <c:ptCount val="1"/>
                    <c:pt idx="0">
                      <c:v>28%</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{5BE0F083-C134-4A94-B2C6-539D34D055A4}</c15:txfldGUID>
                      <c15:f>'Ch2. Cross filings'!$H$19</c15:f>
                      <c15:dlblFieldTableCache>
                        <c:ptCount val="1"/>
                        <c:pt idx="0">
                          <c:v>28%</c:v>
                        </c:pt>
                      </c15:dlblFieldTableCache>
                    </c15:dlblFTEntry>
                  </c15:dlblFieldTable>
                  <c15:showDataLabelsRange val="1"/>
                </c:ext>
                <c:ext xmlns:c16="http://schemas.microsoft.com/office/drawing/2014/chart" uri="{C3380CC4-5D6E-409C-BE32-E72D297353CC}">
                  <c16:uniqueId val="{0000003A-23AA-4DF1-8CCC-C3D9F1A18255}"/>
                </c:ext>
              </c:extLst>
            </c:dLbl>
            <c:dLbl>
              <c:idx val="7"/>
              <c:tx>
                <c:strRef>
                  <c:f>'Ch2. Cross filings'!$I$19</c:f>
                  <c:strCache>
                    <c:ptCount val="1"/>
                    <c:pt idx="0">
                      <c:v>27%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{1AF6DD15-3E48-4815-97AA-6CB418A6B010}</c15:txfldGUID>
                      <c15:f>'Ch2. Cross filings'!$I$19</c15:f>
                      <c15:dlblFieldTableCache>
                        <c:ptCount val="1"/>
                        <c:pt idx="0">
                          <c:v>27%</c:v>
                        </c:pt>
                      </c15:dlblFieldTableCache>
                    </c15:dlblFTEntry>
                  </c15:dlblFieldTable>
                  <c15:showDataLabelsRange val="1"/>
                </c:ext>
                <c:ext xmlns:c16="http://schemas.microsoft.com/office/drawing/2014/chart" uri="{C3380CC4-5D6E-409C-BE32-E72D297353CC}">
                  <c16:uniqueId val="{0000003B-23AA-4DF1-8CCC-C3D9F1A18255}"/>
                </c:ext>
              </c:extLst>
            </c:dLbl>
            <c:dLbl>
              <c:idx val="8"/>
              <c:tx>
                <c:strRef>
                  <c:f>'Ch2. Cross filings'!$J$19</c:f>
                  <c:strCache>
                    <c:ptCount val="1"/>
                    <c:pt idx="0">
                      <c:v>26%</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{41595CF9-BFDD-445B-ADA2-8949B4F22102}</c15:txfldGUID>
                      <c15:f>'Ch2. Cross filings'!$J$19</c15:f>
                      <c15:dlblFieldTableCache>
                        <c:ptCount val="1"/>
                        <c:pt idx="0">
                          <c:v>26%</c:v>
                        </c:pt>
                      </c15:dlblFieldTableCache>
                    </c15:dlblFTEntry>
                  </c15:dlblFieldTable>
                  <c15:showDataLabelsRange val="1"/>
                </c:ext>
                <c:ext xmlns:c16="http://schemas.microsoft.com/office/drawing/2014/chart" uri="{C3380CC4-5D6E-409C-BE32-E72D297353CC}">
                  <c16:uniqueId val="{0000003C-23AA-4DF1-8CCC-C3D9F1A18255}"/>
                </c:ext>
              </c:extLst>
            </c:dLbl>
            <c:dLbl>
              <c:idx val="9"/>
              <c:tx>
                <c:strRef>
                  <c:f>'Ch2. Cross filings'!$K$19</c:f>
                  <c:strCache>
                    <c:ptCount val="1"/>
                    <c:pt idx="0">
                      <c:v>24%</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{02934243-3E84-41EC-87B0-747F5529F2EB}</c15:txfldGUID>
                      <c15:f>'Ch2. Cross filings'!$K$19</c15:f>
                      <c15:dlblFieldTableCache>
                        <c:ptCount val="1"/>
                        <c:pt idx="0">
                          <c:v>24%</c:v>
                        </c:pt>
                      </c15:dlblFieldTableCache>
                    </c15:dlblFTEntry>
                  </c15:dlblFieldTable>
                  <c15:showDataLabelsRange val="1"/>
                </c:ext>
                <c:ext xmlns:c16="http://schemas.microsoft.com/office/drawing/2014/chart" uri="{C3380CC4-5D6E-409C-BE32-E72D297353CC}">
                  <c16:uniqueId val="{0000003D-23AA-4DF1-8CCC-C3D9F1A18255}"/>
                </c:ext>
              </c:extLst>
            </c:dLbl>
            <c:dLbl>
              <c:idx val="10"/>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t>25%</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E-23AA-4DF1-8CCC-C3D9F1A18255}"/>
                </c:ext>
              </c:extLst>
            </c:dLbl>
            <c:dLbl>
              <c:idx val="11"/>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ltLang="ko-KR"/>
                      <a:t>23%</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ltLang="ko-KR"/>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F-23AA-4DF1-8CCC-C3D9F1A18255}"/>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numRef>
              <c:f>'Ch2. Cross filings'!$B$7:$M$7</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'Ch2. Cross filings'!$B$9:$M$9</c:f>
              <c:numCache>
                <c:formatCode>#,##0</c:formatCode>
                <c:ptCount val="12"/>
                <c:pt idx="0">
                  <c:v>81221</c:v>
                </c:pt>
                <c:pt idx="1">
                  <c:v>82470</c:v>
                </c:pt>
                <c:pt idx="2">
                  <c:v>78967</c:v>
                </c:pt>
                <c:pt idx="3">
                  <c:v>78360</c:v>
                </c:pt>
                <c:pt idx="4">
                  <c:v>79016</c:v>
                </c:pt>
                <c:pt idx="5">
                  <c:v>78808</c:v>
                </c:pt>
                <c:pt idx="6">
                  <c:v>80272</c:v>
                </c:pt>
                <c:pt idx="7" formatCode="#,##0_);[Red]\(#,##0\)">
                  <c:v>81144</c:v>
                </c:pt>
                <c:pt idx="8" formatCode="#,##0_);[Red]\(#,##0\)">
                  <c:v>83304</c:v>
                </c:pt>
                <c:pt idx="9" formatCode="#,##0_);[Red]\(#,##0\)">
                  <c:v>77765</c:v>
                </c:pt>
                <c:pt idx="10" formatCode="#,##0_);[Red]\(#,##0\)">
                  <c:v>73364</c:v>
                </c:pt>
                <c:pt idx="11" formatCode="#,##0_);[Red]\(#,##0\)">
                  <c:v>72916</c:v>
                </c:pt>
              </c:numCache>
            </c:numRef>
          </c:val>
          <c:extLst>
            <c:ext xmlns:c15="http://schemas.microsoft.com/office/drawing/2012/chart" uri="{02D57815-91ED-43cb-92C2-25804820EDAC}">
              <c15:datalabelsRange>
                <c15:f>'Ch2. Cross filings'!$B$19:$M$19</c15:f>
                <c15:dlblRangeCache>
                  <c:ptCount val="12"/>
                  <c:pt idx="0">
                    <c:v>34%</c:v>
                  </c:pt>
                  <c:pt idx="1">
                    <c:v>33%</c:v>
                  </c:pt>
                  <c:pt idx="2">
                    <c:v>30%</c:v>
                  </c:pt>
                  <c:pt idx="3">
                    <c:v>29%</c:v>
                  </c:pt>
                  <c:pt idx="4">
                    <c:v>29%</c:v>
                  </c:pt>
                  <c:pt idx="5">
                    <c:v>28%</c:v>
                  </c:pt>
                  <c:pt idx="6">
                    <c:v>28%</c:v>
                  </c:pt>
                  <c:pt idx="7">
                    <c:v>27%</c:v>
                  </c:pt>
                  <c:pt idx="8">
                    <c:v>26%</c:v>
                  </c:pt>
                  <c:pt idx="9">
                    <c:v>24%</c:v>
                  </c:pt>
                  <c:pt idx="10">
                    <c:v>23%</c:v>
                  </c:pt>
                  <c:pt idx="11">
                    <c:v>22%</c:v>
                  </c:pt>
                </c15:dlblRangeCache>
              </c15:datalabelsRange>
            </c:ext>
            <c:ext xmlns:c16="http://schemas.microsoft.com/office/drawing/2014/chart" uri="{C3380CC4-5D6E-409C-BE32-E72D297353CC}">
              <c16:uniqueId val="{00000040-23AA-4DF1-8CCC-C3D9F1A18255}"/>
            </c:ext>
          </c:extLst>
        </c:ser>
        <c:ser>
          <c:idx val="0"/>
          <c:order val="5"/>
          <c:tx>
            <c:strRef>
              <c:f>'Ch2. Cross filings'!$A$8</c:f>
              <c:strCache>
                <c:ptCount val="1"/>
                <c:pt idx="0">
                  <c:v>EPC states</c:v>
                </c:pt>
              </c:strCache>
            </c:strRef>
          </c:tx>
          <c:spPr>
            <a:solidFill>
              <a:schemeClr val="accent1"/>
            </a:solidFill>
            <a:ln>
              <a:noFill/>
            </a:ln>
            <a:effectLst/>
          </c:spPr>
          <c:invertIfNegative val="0"/>
          <c:dLbls>
            <c:dLbl>
              <c:idx val="0"/>
              <c:tx>
                <c:strRef>
                  <c:f>'Ch2. Cross filings'!$B$18</c:f>
                  <c:strCache>
                    <c:ptCount val="1"/>
                    <c:pt idx="0">
                      <c:v>18%</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{50A90B0D-88E0-4FAC-ACFE-6AD7F5A61AFB}</c15:txfldGUID>
                      <c15:f>'Ch2. Cross filings'!$B$18</c15:f>
                      <c15:dlblFieldTableCache>
                        <c:ptCount val="1"/>
                        <c:pt idx="0">
                          <c:v>18%</c:v>
                        </c:pt>
                      </c15:dlblFieldTableCache>
                    </c15:dlblFTEntry>
                  </c15:dlblFieldTable>
                  <c15:showDataLabelsRange val="0"/>
                </c:ext>
                <c:ext xmlns:c16="http://schemas.microsoft.com/office/drawing/2014/chart" uri="{C3380CC4-5D6E-409C-BE32-E72D297353CC}">
                  <c16:uniqueId val="{00000041-23AA-4DF1-8CCC-C3D9F1A18255}"/>
                </c:ext>
              </c:extLst>
            </c:dLbl>
            <c:dLbl>
              <c:idx val="1"/>
              <c:tx>
                <c:strRef>
                  <c:f>'Ch2. Cross filings'!$C$18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{A56F70DB-C602-487B-A188-A0DF8989BFB1}</c15:txfldGUID>
                      <c15:f>'Ch2. Cross filings'!$C$18</c15:f>
                      <c15:dlblFieldTableCache>
                        <c:ptCount val="1"/>
                        <c:pt idx="0">
                          <c:v>17%</c:v>
                        </c:pt>
                      </c15:dlblFieldTableCache>
                    </c15:dlblFTEntry>
                  </c15:dlblFieldTable>
                  <c15:showDataLabelsRange val="0"/>
                </c:ext>
                <c:ext xmlns:c16="http://schemas.microsoft.com/office/drawing/2014/chart" uri="{C3380CC4-5D6E-409C-BE32-E72D297353CC}">
                  <c16:uniqueId val="{00000042-23AA-4DF1-8CCC-C3D9F1A18255}"/>
                </c:ext>
              </c:extLst>
            </c:dLbl>
            <c:dLbl>
              <c:idx val="2"/>
              <c:tx>
                <c:strRef>
                  <c:f>'Ch2. Cross filings'!$D$18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{CB0FAABE-B878-40B3-B40A-D23C4393ECC5}</c15:txfldGUID>
                      <c15:f>'Ch2. Cross filings'!$D$18</c15:f>
                      <c15:dlblFieldTableCache>
                        <c:ptCount val="1"/>
                        <c:pt idx="0">
                          <c:v>17%</c:v>
                        </c:pt>
                      </c15:dlblFieldTableCache>
                    </c15:dlblFTEntry>
                  </c15:dlblFieldTable>
                  <c15:showDataLabelsRange val="0"/>
                </c:ext>
                <c:ext xmlns:c16="http://schemas.microsoft.com/office/drawing/2014/chart" uri="{C3380CC4-5D6E-409C-BE32-E72D297353CC}">
                  <c16:uniqueId val="{00000043-23AA-4DF1-8CCC-C3D9F1A18255}"/>
                </c:ext>
              </c:extLst>
            </c:dLbl>
            <c:dLbl>
              <c:idx val="3"/>
              <c:tx>
                <c:strRef>
                  <c:f>'Ch2. Cross filings'!$E$18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{701B1A57-FFED-4DED-AB17-603F89FA5ACC}</c15:txfldGUID>
                      <c15:f>'Ch2. Cross filings'!$E$18</c15:f>
                      <c15:dlblFieldTableCache>
                        <c:ptCount val="1"/>
                        <c:pt idx="0">
                          <c:v>17%</c:v>
                        </c:pt>
                      </c15:dlblFieldTableCache>
                    </c15:dlblFTEntry>
                  </c15:dlblFieldTable>
                  <c15:showDataLabelsRange val="0"/>
                </c:ext>
                <c:ext xmlns:c16="http://schemas.microsoft.com/office/drawing/2014/chart" uri="{C3380CC4-5D6E-409C-BE32-E72D297353CC}">
                  <c16:uniqueId val="{00000044-23AA-4DF1-8CCC-C3D9F1A18255}"/>
                </c:ext>
              </c:extLst>
            </c:dLbl>
            <c:dLbl>
              <c:idx val="4"/>
              <c:tx>
                <c:strRef>
                  <c:f>'Ch2. Cross filings'!$F$18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{77635AF6-830F-4971-BE7A-ED01A8C70EE3}</c15:txfldGUID>
                      <c15:f>'Ch2. Cross filings'!$F$18</c15:f>
                      <c15:dlblFieldTableCache>
                        <c:ptCount val="1"/>
                        <c:pt idx="0">
                          <c:v>17%</c:v>
                        </c:pt>
                      </c15:dlblFieldTableCache>
                    </c15:dlblFTEntry>
                  </c15:dlblFieldTable>
                  <c15:showDataLabelsRange val="0"/>
                </c:ext>
                <c:ext xmlns:c16="http://schemas.microsoft.com/office/drawing/2014/chart" uri="{C3380CC4-5D6E-409C-BE32-E72D297353CC}">
                  <c16:uniqueId val="{00000045-23AA-4DF1-8CCC-C3D9F1A18255}"/>
                </c:ext>
              </c:extLst>
            </c:dLbl>
            <c:dLbl>
              <c:idx val="5"/>
              <c:tx>
                <c:strRef>
                  <c:f>'Ch2. Cross filings'!$G$18</c:f>
                  <c:strCache>
                    <c:ptCount val="1"/>
                    <c:pt idx="0">
                      <c:v>18%</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{6BB556D1-F812-487F-A0B2-B201BB536A90}</c15:txfldGUID>
                      <c15:f>'Ch2. Cross filings'!$G$18</c15:f>
                      <c15:dlblFieldTableCache>
                        <c:ptCount val="1"/>
                        <c:pt idx="0">
                          <c:v>18%</c:v>
                        </c:pt>
                      </c15:dlblFieldTableCache>
                    </c15:dlblFTEntry>
                  </c15:dlblFieldTable>
                  <c15:showDataLabelsRange val="0"/>
                </c:ext>
                <c:ext xmlns:c16="http://schemas.microsoft.com/office/drawing/2014/chart" uri="{C3380CC4-5D6E-409C-BE32-E72D297353CC}">
                  <c16:uniqueId val="{00000046-23AA-4DF1-8CCC-C3D9F1A18255}"/>
                </c:ext>
              </c:extLst>
            </c:dLbl>
            <c:dLbl>
              <c:idx val="6"/>
              <c:tx>
                <c:strRef>
                  <c:f>'Ch2. Cross filings'!$H$18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{6E7FF42B-53F2-4A6B-9D1C-BC3E3406EF88}</c15:txfldGUID>
                      <c15:f>'Ch2. Cross filings'!$H$18</c15:f>
                      <c15:dlblFieldTableCache>
                        <c:ptCount val="1"/>
                        <c:pt idx="0">
                          <c:v>17%</c:v>
                        </c:pt>
                      </c15:dlblFieldTableCache>
                    </c15:dlblFTEntry>
                  </c15:dlblFieldTable>
                  <c15:showDataLabelsRange val="0"/>
                </c:ext>
                <c:ext xmlns:c16="http://schemas.microsoft.com/office/drawing/2014/chart" uri="{C3380CC4-5D6E-409C-BE32-E72D297353CC}">
                  <c16:uniqueId val="{00000047-23AA-4DF1-8CCC-C3D9F1A18255}"/>
                </c:ext>
              </c:extLst>
            </c:dLbl>
            <c:dLbl>
              <c:idx val="7"/>
              <c:tx>
                <c:strRef>
                  <c:f>'Ch2. Cross filings'!$I$18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{1E6B6E8F-AD49-437A-B474-3074A232B680}</c15:txfldGUID>
                      <c15:f>'Ch2. Cross filings'!$I$18</c15:f>
                      <c15:dlblFieldTableCache>
                        <c:ptCount val="1"/>
                        <c:pt idx="0">
                          <c:v>17%</c:v>
                        </c:pt>
                      </c15:dlblFieldTableCache>
                    </c15:dlblFTEntry>
                  </c15:dlblFieldTable>
                  <c15:showDataLabelsRange val="0"/>
                </c:ext>
                <c:ext xmlns:c16="http://schemas.microsoft.com/office/drawing/2014/chart" uri="{C3380CC4-5D6E-409C-BE32-E72D297353CC}">
                  <c16:uniqueId val="{00000048-23AA-4DF1-8CCC-C3D9F1A18255}"/>
                </c:ext>
              </c:extLst>
            </c:dLbl>
            <c:dLbl>
              <c:idx val="8"/>
              <c:tx>
                <c:strRef>
                  <c:f>'Ch2. Cross filings'!$J$18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{AE57049C-521A-400D-9BEC-F7315F5FF1A3}</c15:txfldGUID>
                      <c15:f>'Ch2. Cross filings'!$J$18</c15:f>
                      <c15:dlblFieldTableCache>
                        <c:ptCount val="1"/>
                        <c:pt idx="0">
                          <c:v>17%</c:v>
                        </c:pt>
                      </c15:dlblFieldTableCache>
                    </c15:dlblFTEntry>
                  </c15:dlblFieldTable>
                  <c15:showDataLabelsRange val="0"/>
                </c:ext>
                <c:ext xmlns:c16="http://schemas.microsoft.com/office/drawing/2014/chart" uri="{C3380CC4-5D6E-409C-BE32-E72D297353CC}">
                  <c16:uniqueId val="{00000049-23AA-4DF1-8CCC-C3D9F1A18255}"/>
                </c:ext>
              </c:extLst>
            </c:dLbl>
            <c:dLbl>
              <c:idx val="9"/>
              <c:tx>
                <c:strRef>
                  <c:f>'Ch2. Cross filings'!$K$18</c:f>
                  <c:strCache>
                    <c:ptCount val="1"/>
                    <c:pt idx="0">
                      <c:v>17%</c:v>
                    </c:pt>
                  </c:strCache>
                </c:strRef>
              </c:tx>
              <c:dLblPos val="ctr"/>
              <c:showLegendKey val="0"/>
              <c:showVal val="1"/>
              <c:showCatName val="0"/>
              <c:showSerName val="0"/>
              <c:showPercent val="0"/>
              <c:showBubbleSize val="0"/>
              <c:extLst>
                <c:ext xmlns:c15="http://schemas.microsoft.com/office/drawing/2012/chart" uri="{CE6537A1-D6FC-4f65-9D91-7224C49458BB}">
                  <c15:dlblFieldTable>
                    <c15:dlblFTEntry>
                      <c15:txfldGUID>{6DDFE726-DA21-4C6D-872D-F049EF55462E}</c15:txfldGUID>
                      <c15:f>'Ch2. Cross filings'!$K$18</c15:f>
                      <c15:dlblFieldTableCache>
                        <c:ptCount val="1"/>
                        <c:pt idx="0">
                          <c:v>17%</c:v>
                        </c:pt>
                      </c15:dlblFieldTableCache>
                    </c15:dlblFTEntry>
                  </c15:dlblFieldTable>
                  <c15:showDataLabelsRange val="0"/>
                </c:ext>
                <c:ext xmlns:c16="http://schemas.microsoft.com/office/drawing/2014/chart" uri="{C3380CC4-5D6E-409C-BE32-E72D297353CC}">
                  <c16:uniqueId val="{0000004A-23AA-4DF1-8CCC-C3D9F1A18255}"/>
                </c:ext>
              </c:extLst>
            </c:dLbl>
            <c:dLbl>
              <c:idx val="10"/>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t>17%</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23AA-4DF1-8CCC-C3D9F1A18255}"/>
                </c:ext>
              </c:extLst>
            </c:dLbl>
            <c:dLbl>
              <c:idx val="11"/>
              <c:tx>
                <c:rich>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r>
                      <a:rPr lang="en-US" altLang="ko-KR"/>
                      <a:t>16%</a:t>
                    </a:r>
                  </a:p>
                </c:rich>
              </c:tx>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en-US" altLang="ko-KR"/>
                </a:p>
              </c:txPr>
              <c:dLblPos val="ct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C-23AA-4DF1-8CCC-C3D9F1A18255}"/>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filings'!$B$7:$M$7</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'Ch2. Cross filings'!$B$8:$M$8</c:f>
              <c:numCache>
                <c:formatCode>#,##0</c:formatCode>
                <c:ptCount val="12"/>
                <c:pt idx="0">
                  <c:v>42192</c:v>
                </c:pt>
                <c:pt idx="1">
                  <c:v>43238</c:v>
                </c:pt>
                <c:pt idx="2">
                  <c:v>43474</c:v>
                </c:pt>
                <c:pt idx="3">
                  <c:v>45976</c:v>
                </c:pt>
                <c:pt idx="4">
                  <c:v>47284</c:v>
                </c:pt>
                <c:pt idx="5">
                  <c:v>48817</c:v>
                </c:pt>
                <c:pt idx="6">
                  <c:v>49354</c:v>
                </c:pt>
                <c:pt idx="7" formatCode="#,##0_);[Red]\(#,##0\)">
                  <c:v>50958</c:v>
                </c:pt>
                <c:pt idx="8" formatCode="#,##0_);[Red]\(#,##0\)">
                  <c:v>52285</c:v>
                </c:pt>
                <c:pt idx="9" formatCode="#,##0_);[Red]\(#,##0\)">
                  <c:v>53682</c:v>
                </c:pt>
                <c:pt idx="10" formatCode="#,##0_);[Red]\(#,##0\)">
                  <c:v>53098</c:v>
                </c:pt>
                <c:pt idx="11" formatCode="#,##0_);[Red]\(#,##0\)">
                  <c:v>51658</c:v>
                </c:pt>
              </c:numCache>
            </c:numRef>
          </c:val>
          <c:extLst>
            <c:ext xmlns:c16="http://schemas.microsoft.com/office/drawing/2014/chart" uri="{C3380CC4-5D6E-409C-BE32-E72D297353CC}">
              <c16:uniqueId val="{0000004D-23AA-4DF1-8CCC-C3D9F1A18255}"/>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'Ch2. Cross filings'!$B$7:$M$7</c:f>
              <c:numCache>
                <c:formatCode>General</c:formatCod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numCache>
            </c:numRef>
          </c:cat>
          <c:val>
            <c:numRef>
              <c:f>'Ch2. Cross filings'!$B$14:$M$14</c:f>
              <c:numCache>
                <c:formatCode>#,##0</c:formatCode>
                <c:ptCount val="12"/>
                <c:pt idx="0">
                  <c:v>240586</c:v>
                </c:pt>
                <c:pt idx="1">
                  <c:v>252140</c:v>
                </c:pt>
                <c:pt idx="2">
                  <c:v>263185</c:v>
                </c:pt>
                <c:pt idx="3">
                  <c:v>272067</c:v>
                </c:pt>
                <c:pt idx="4">
                  <c:v>272631</c:v>
                </c:pt>
                <c:pt idx="5">
                  <c:v>277237</c:v>
                </c:pt>
                <c:pt idx="6">
                  <c:v>284112</c:v>
                </c:pt>
                <c:pt idx="7" formatCode="#,##0_);[Red]\(#,##0\)">
                  <c:v>298236</c:v>
                </c:pt>
                <c:pt idx="8" formatCode="#,##0_);[Red]\(#,##0\)">
                  <c:v>316527</c:v>
                </c:pt>
                <c:pt idx="9" formatCode="#,##0_);[Red]\(#,##0\)">
                  <c:v>320517</c:v>
                </c:pt>
                <c:pt idx="10" formatCode="#,##0_);[Red]\(#,##0\)">
                  <c:v>325572</c:v>
                </c:pt>
                <c:pt idx="11" formatCode="#,##0_);[Red]\(#,##0\)">
                  <c:v>326417</c:v>
                </c:pt>
              </c:numCache>
            </c:numRef>
          </c:val>
          <c:extLst>
            <c:ext xmlns:c16="http://schemas.microsoft.com/office/drawing/2014/chart" uri="{C3380CC4-5D6E-409C-BE32-E72D297353CC}">
              <c16:uniqueId val="{0000004E-23AA-4DF1-8CCC-C3D9F1A18255}"/>
            </c:ext>
          </c:extLst>
        </c:ser>
        <c:dLbls>
          <c:showLegendKey val="0"/>
          <c:showVal val="0"/>
          <c:showCatName val="0"/>
          <c:showSerName val="0"/>
          <c:showPercent val="0"/>
          <c:showBubbleSize val="0"/>
        </c:dLbls>
        <c:gapWidth val="10"/>
        <c:overlap val="100"/>
        <c:axId val="1784864608"/>
        <c:axId val="1784874944"/>
      </c:barChart>
      <c:catAx>
        <c:axId val="17848646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crossAx val="1784874944"/>
        <c:crosses val="autoZero"/>
        <c:auto val="1"/>
        <c:lblAlgn val="ctr"/>
        <c:lblOffset val="100"/>
        <c:noMultiLvlLbl val="0"/>
      </c:catAx>
      <c:valAx>
        <c:axId val="1784874944"/>
        <c:scaling>
          <c:orientation val="minMax"/>
          <c:max val="340000"/>
        </c:scaling>
        <c:delete val="1"/>
        <c:axPos val="l"/>
        <c:numFmt formatCode="#,##0" sourceLinked="1"/>
        <c:majorTickMark val="out"/>
        <c:minorTickMark val="none"/>
        <c:tickLblPos val="nextTo"/>
        <c:crossAx val="1784864608"/>
        <c:crosses val="autoZero"/>
        <c:crossBetween val="between"/>
      </c:valAx>
      <c:spPr>
        <a:noFill/>
        <a:ln>
          <a:noFill/>
        </a:ln>
        <a:effectLst/>
      </c:spPr>
    </c:plotArea>
    <c:legend>
      <c:legendPos val="r"/>
      <c:legendEntry>
        <c:idx val="0"/>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229cc9ef-6fbc-41d4-bfd7-35e643c9f163}"/>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2.4: IP5 CROSS </a:t>
            </a:r>
            <a:r>
              <a:rPr lang="en-GB" b="1" baseline="0"/>
              <a:t>FILINGS - OFFICES INVOLVED</a:t>
            </a:r>
            <a:endParaRPr lang="en-GB" b="1"/>
          </a:p>
        </c:rich>
      </c:tx>
      <c:layout>
        <c:manualLayout>
          <c:xMode val="edge"/>
          <c:yMode val="edge"/>
          <c:x val="3.9952509492501197E-2"/>
          <c:y val="2.2160664819944598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barChart>
        <c:barDir val="col"/>
        <c:grouping val="stacked"/>
        <c:varyColors val="0"/>
        <c:ser>
          <c:idx val="0"/>
          <c:order val="0"/>
          <c:tx>
            <c:strRef>
              <c:f>'Ch2. Cross filings'!$A$43</c:f>
              <c:strCache>
                <c:ptCount val="1"/>
                <c:pt idx="0">
                  <c:v>Bilateral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filings'!$B$41:$M$42</c:f>
              <c:strCach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strCache>
            </c:strRef>
          </c:cat>
          <c:val>
            <c:numRef>
              <c:f>'Ch2. Cross filings'!$B$43:$M$43</c:f>
              <c:numCache>
                <c:formatCode>0%</c:formatCode>
                <c:ptCount val="12"/>
                <c:pt idx="0">
                  <c:v>0.48657029087311798</c:v>
                </c:pt>
                <c:pt idx="1">
                  <c:v>0.49375964211636802</c:v>
                </c:pt>
                <c:pt idx="2">
                  <c:v>0.502826876605316</c:v>
                </c:pt>
                <c:pt idx="3">
                  <c:v>0.511959066799484</c:v>
                </c:pt>
                <c:pt idx="4">
                  <c:v>0.51575572843880602</c:v>
                </c:pt>
                <c:pt idx="5">
                  <c:v>0.508745225204428</c:v>
                </c:pt>
                <c:pt idx="6">
                  <c:v>0.50285802782001499</c:v>
                </c:pt>
                <c:pt idx="7">
                  <c:v>0.49952550693631698</c:v>
                </c:pt>
                <c:pt idx="8">
                  <c:v>0.51421150254843295</c:v>
                </c:pt>
                <c:pt idx="9">
                  <c:v>0.50492289034613402</c:v>
                </c:pt>
                <c:pt idx="10">
                  <c:v>0.52106177142732402</c:v>
                </c:pt>
                <c:pt idx="11">
                  <c:v>0.54559351994534599</c:v>
                </c:pt>
              </c:numCache>
            </c:numRef>
          </c:val>
          <c:extLst>
            <c:ext xmlns:c16="http://schemas.microsoft.com/office/drawing/2014/chart" uri="{C3380CC4-5D6E-409C-BE32-E72D297353CC}">
              <c16:uniqueId val="{00000000-2EC6-4D48-9CA1-C3133E65A7AE}"/>
            </c:ext>
          </c:extLst>
        </c:ser>
        <c:ser>
          <c:idx val="1"/>
          <c:order val="1"/>
          <c:tx>
            <c:strRef>
              <c:f>'Ch2. Cross filings'!$A$44</c:f>
              <c:strCache>
                <c:ptCount val="1"/>
                <c:pt idx="0">
                  <c:v>Trilateral</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filings'!$B$41:$M$42</c:f>
              <c:strCach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strCache>
            </c:strRef>
          </c:cat>
          <c:val>
            <c:numRef>
              <c:f>'Ch2. Cross filings'!$B$44:$M$44</c:f>
              <c:numCache>
                <c:formatCode>0%</c:formatCode>
                <c:ptCount val="12"/>
                <c:pt idx="0">
                  <c:v>0.235404387620227</c:v>
                </c:pt>
                <c:pt idx="1">
                  <c:v>0.23586450868335801</c:v>
                </c:pt>
                <c:pt idx="2">
                  <c:v>0.23447877562806799</c:v>
                </c:pt>
                <c:pt idx="3">
                  <c:v>0.23300606867044299</c:v>
                </c:pt>
                <c:pt idx="4">
                  <c:v>0.23501362647681301</c:v>
                </c:pt>
                <c:pt idx="5">
                  <c:v>0.24296179802840201</c:v>
                </c:pt>
                <c:pt idx="6">
                  <c:v>0.254213127217435</c:v>
                </c:pt>
                <c:pt idx="7">
                  <c:v>0.25826841888180602</c:v>
                </c:pt>
                <c:pt idx="8">
                  <c:v>0.25460945621846098</c:v>
                </c:pt>
                <c:pt idx="9">
                  <c:v>0.252752130126839</c:v>
                </c:pt>
                <c:pt idx="10">
                  <c:v>0.248778632380038</c:v>
                </c:pt>
                <c:pt idx="11">
                  <c:v>0.248059996875163</c:v>
                </c:pt>
              </c:numCache>
            </c:numRef>
          </c:val>
          <c:extLst>
            <c:ext xmlns:c16="http://schemas.microsoft.com/office/drawing/2014/chart" uri="{C3380CC4-5D6E-409C-BE32-E72D297353CC}">
              <c16:uniqueId val="{00000001-2EC6-4D48-9CA1-C3133E65A7AE}"/>
            </c:ext>
          </c:extLst>
        </c:ser>
        <c:ser>
          <c:idx val="2"/>
          <c:order val="2"/>
          <c:tx>
            <c:strRef>
              <c:f>'Ch2. Cross filings'!$A$45</c:f>
              <c:strCache>
                <c:ptCount val="1"/>
                <c:pt idx="0">
                  <c:v>Quadrilateral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filings'!$B$41:$M$42</c:f>
              <c:strCach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strCache>
            </c:strRef>
          </c:cat>
          <c:val>
            <c:numRef>
              <c:f>'Ch2. Cross filings'!$B$45:$M$45</c:f>
              <c:numCache>
                <c:formatCode>0%</c:formatCode>
                <c:ptCount val="12"/>
                <c:pt idx="0">
                  <c:v>0.157814669182745</c:v>
                </c:pt>
                <c:pt idx="1">
                  <c:v>0.15385347552439199</c:v>
                </c:pt>
                <c:pt idx="2">
                  <c:v>0.15302369408939601</c:v>
                </c:pt>
                <c:pt idx="3">
                  <c:v>0.14740877696625301</c:v>
                </c:pt>
                <c:pt idx="4">
                  <c:v>0.14357501531373901</c:v>
                </c:pt>
                <c:pt idx="5">
                  <c:v>0.144334991361182</c:v>
                </c:pt>
                <c:pt idx="6">
                  <c:v>0.142880272568565</c:v>
                </c:pt>
                <c:pt idx="7">
                  <c:v>0.14132516020428401</c:v>
                </c:pt>
                <c:pt idx="8">
                  <c:v>0.136926523608947</c:v>
                </c:pt>
                <c:pt idx="9">
                  <c:v>0.14205429869910699</c:v>
                </c:pt>
                <c:pt idx="10">
                  <c:v>0.136372280956642</c:v>
                </c:pt>
                <c:pt idx="11">
                  <c:v>0.13177928845617701</c:v>
                </c:pt>
              </c:numCache>
            </c:numRef>
          </c:val>
          <c:extLst>
            <c:ext xmlns:c16="http://schemas.microsoft.com/office/drawing/2014/chart" uri="{C3380CC4-5D6E-409C-BE32-E72D297353CC}">
              <c16:uniqueId val="{00000002-2EC6-4D48-9CA1-C3133E65A7AE}"/>
            </c:ext>
          </c:extLst>
        </c:ser>
        <c:ser>
          <c:idx val="3"/>
          <c:order val="3"/>
          <c:tx>
            <c:strRef>
              <c:f>'Ch2. Cross filings'!$A$46</c:f>
              <c:strCache>
                <c:ptCount val="1"/>
                <c:pt idx="0">
                  <c:v>IP5</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'Ch2. Cross filings'!$B$41:$M$42</c:f>
              <c:strCache>
                <c:ptCount val="12"/>
                <c:pt idx="0">
                  <c:v>2011</c:v>
                </c:pt>
                <c:pt idx="1">
                  <c:v>2012</c:v>
                </c:pt>
                <c:pt idx="2">
                  <c:v>2013</c:v>
                </c:pt>
                <c:pt idx="3">
                  <c:v>2014</c:v>
                </c:pt>
                <c:pt idx="4">
                  <c:v>2015</c:v>
                </c:pt>
                <c:pt idx="5">
                  <c:v>2016</c:v>
                </c:pt>
                <c:pt idx="6">
                  <c:v>2017</c:v>
                </c:pt>
                <c:pt idx="7">
                  <c:v>2018</c:v>
                </c:pt>
                <c:pt idx="8">
                  <c:v>2019</c:v>
                </c:pt>
                <c:pt idx="9">
                  <c:v>2020</c:v>
                </c:pt>
                <c:pt idx="10">
                  <c:v>2021</c:v>
                </c:pt>
                <c:pt idx="11">
                  <c:v>2022</c:v>
                </c:pt>
              </c:strCache>
            </c:strRef>
          </c:cat>
          <c:val>
            <c:numRef>
              <c:f>'Ch2. Cross filings'!$B$46:$M$46</c:f>
              <c:numCache>
                <c:formatCode>0%</c:formatCode>
                <c:ptCount val="12"/>
                <c:pt idx="0">
                  <c:v>0.120210652323909</c:v>
                </c:pt>
                <c:pt idx="1">
                  <c:v>0.116522373675882</c:v>
                </c:pt>
                <c:pt idx="2">
                  <c:v>0.109670653677219</c:v>
                </c:pt>
                <c:pt idx="3">
                  <c:v>0.10762608756382</c:v>
                </c:pt>
                <c:pt idx="4">
                  <c:v>0.105655629770642</c:v>
                </c:pt>
                <c:pt idx="5">
                  <c:v>0.103957985405988</c:v>
                </c:pt>
                <c:pt idx="6">
                  <c:v>0.100048572393985</c:v>
                </c:pt>
                <c:pt idx="7">
                  <c:v>0.100880913977593</c:v>
                </c:pt>
                <c:pt idx="8">
                  <c:v>9.4252517624159093E-2</c:v>
                </c:pt>
                <c:pt idx="9">
                  <c:v>0.100270680827921</c:v>
                </c:pt>
                <c:pt idx="10">
                  <c:v>9.3787315235995997E-2</c:v>
                </c:pt>
                <c:pt idx="11">
                  <c:v>7.4567194723313995E-2</c:v>
                </c:pt>
              </c:numCache>
            </c:numRef>
          </c:val>
          <c:extLst>
            <c:ext xmlns:c16="http://schemas.microsoft.com/office/drawing/2014/chart" uri="{C3380CC4-5D6E-409C-BE32-E72D297353CC}">
              <c16:uniqueId val="{00000003-2EC6-4D48-9CA1-C3133E65A7AE}"/>
            </c:ext>
          </c:extLst>
        </c:ser>
        <c:dLbls>
          <c:showLegendKey val="0"/>
          <c:showVal val="0"/>
          <c:showCatName val="0"/>
          <c:showSerName val="0"/>
          <c:showPercent val="0"/>
          <c:showBubbleSize val="0"/>
        </c:dLbls>
        <c:gapWidth val="20"/>
        <c:overlap val="100"/>
        <c:axId val="1784864064"/>
        <c:axId val="1784861344"/>
      </c:barChart>
      <c:catAx>
        <c:axId val="1784864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crossAx val="1784861344"/>
        <c:crosses val="autoZero"/>
        <c:auto val="1"/>
        <c:lblAlgn val="ctr"/>
        <c:lblOffset val="100"/>
        <c:noMultiLvlLbl val="0"/>
      </c:catAx>
      <c:valAx>
        <c:axId val="1784861344"/>
        <c:scaling>
          <c:orientation val="minMax"/>
          <c:max val="1"/>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1784864064"/>
        <c:crosses val="autoZero"/>
        <c:crossBetween val="between"/>
      </c:valAx>
      <c:spPr>
        <a:noFill/>
        <a:ln>
          <a:noFill/>
        </a:ln>
        <a:effectLst/>
      </c:spPr>
    </c:plotArea>
    <c:legend>
      <c:legendPos val="r"/>
      <c:layout>
        <c:manualLayout>
          <c:xMode val="edge"/>
          <c:yMode val="edge"/>
          <c:x val="0.85737433077254299"/>
          <c:y val="0.30069412591143402"/>
          <c:w val="0.14054943389742999"/>
          <c:h val="0.34723609687293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20467e45-bfb0-42c1-a1c4-5131a47f49bd}"/>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endParaRPr lang="zh-CN" altLang="en-US"/>
          </a:p>
        </c:rich>
      </c:tx>
      <c:layout>
        <c:manualLayout>
          <c:xMode val="edge"/>
          <c:yMode val="edge"/>
          <c:x val="8.1591886810082601E-2"/>
          <c:y val="2.34666673236512E-2"/>
        </c:manualLayout>
      </c:layout>
      <c:overlay val="0"/>
    </c:title>
    <c:autoTitleDeleted val="0"/>
    <c:plotArea>
      <c:layout>
        <c:manualLayout>
          <c:layoutTarget val="inner"/>
          <c:xMode val="edge"/>
          <c:yMode val="edge"/>
          <c:x val="8.6204830713403194E-2"/>
          <c:y val="0.13642171422882199"/>
          <c:w val="0.89205664775503501"/>
          <c:h val="0.57367017644183105"/>
        </c:manualLayout>
      </c:layout>
      <c:barChart>
        <c:barDir val="col"/>
        <c:grouping val="clustered"/>
        <c:varyColors val="0"/>
        <c:ser>
          <c:idx val="0"/>
          <c:order val="0"/>
          <c:invertIfNegative val="0"/>
          <c:dPt>
            <c:idx val="0"/>
            <c:invertIfNegative val="0"/>
            <c:bubble3D val="0"/>
            <c:spPr>
              <a:gradFill>
                <a:gsLst>
                  <a:gs pos="0">
                    <a:schemeClr val="accent3">
                      <a:lumMod val="75000"/>
                    </a:schemeClr>
                  </a:gs>
                  <a:gs pos="64000">
                    <a:srgbClr val="C00000"/>
                  </a:gs>
                  <a:gs pos="43000">
                    <a:schemeClr val="accent3">
                      <a:lumMod val="75000"/>
                    </a:schemeClr>
                  </a:gs>
                  <a:gs pos="100000">
                    <a:srgbClr val="C00000"/>
                  </a:gs>
                </a:gsLst>
                <a:lin ang="5400000" scaled="1"/>
              </a:gradFill>
              <a:ln>
                <a:noFill/>
              </a:ln>
            </c:spPr>
            <c:extLst>
              <c:ext xmlns:c16="http://schemas.microsoft.com/office/drawing/2014/chart" uri="{C3380CC4-5D6E-409C-BE32-E72D297353CC}">
                <c16:uniqueId val="{00000001-424D-4C04-A682-6E52F96165B5}"/>
              </c:ext>
            </c:extLst>
          </c:dPt>
          <c:dPt>
            <c:idx val="1"/>
            <c:invertIfNegative val="0"/>
            <c:bubble3D val="0"/>
            <c:spPr>
              <a:gradFill>
                <a:gsLst>
                  <a:gs pos="0">
                    <a:schemeClr val="accent3">
                      <a:lumMod val="75000"/>
                    </a:schemeClr>
                  </a:gs>
                  <a:gs pos="60000">
                    <a:srgbClr val="FFC000"/>
                  </a:gs>
                  <a:gs pos="41000">
                    <a:schemeClr val="accent3">
                      <a:lumMod val="75000"/>
                    </a:schemeClr>
                  </a:gs>
                  <a:gs pos="100000">
                    <a:srgbClr val="FFC000"/>
                  </a:gs>
                </a:gsLst>
                <a:lin ang="5400000" scaled="1"/>
              </a:gradFill>
            </c:spPr>
            <c:extLst>
              <c:ext xmlns:c16="http://schemas.microsoft.com/office/drawing/2014/chart" uri="{C3380CC4-5D6E-409C-BE32-E72D297353CC}">
                <c16:uniqueId val="{00000003-424D-4C04-A682-6E52F96165B5}"/>
              </c:ext>
            </c:extLst>
          </c:dPt>
          <c:dPt>
            <c:idx val="2"/>
            <c:invertIfNegative val="0"/>
            <c:bubble3D val="0"/>
            <c:spPr>
              <a:gradFill>
                <a:gsLst>
                  <a:gs pos="0">
                    <a:schemeClr val="accent3">
                      <a:lumMod val="75000"/>
                    </a:schemeClr>
                  </a:gs>
                  <a:gs pos="59000">
                    <a:srgbClr val="FFC000"/>
                  </a:gs>
                  <a:gs pos="42000">
                    <a:srgbClr val="FFC000"/>
                  </a:gs>
                  <a:gs pos="83000">
                    <a:srgbClr val="0070C0"/>
                  </a:gs>
                  <a:gs pos="17000">
                    <a:schemeClr val="accent3">
                      <a:lumMod val="75000"/>
                    </a:schemeClr>
                  </a:gs>
                  <a:gs pos="100000">
                    <a:srgbClr val="0070C0"/>
                  </a:gs>
                </a:gsLst>
                <a:lin ang="5400000" scaled="1"/>
              </a:gradFill>
            </c:spPr>
            <c:extLst>
              <c:ext xmlns:c16="http://schemas.microsoft.com/office/drawing/2014/chart" uri="{C3380CC4-5D6E-409C-BE32-E72D297353CC}">
                <c16:uniqueId val="{00000005-424D-4C04-A682-6E52F96165B5}"/>
              </c:ext>
            </c:extLst>
          </c:dPt>
          <c:dPt>
            <c:idx val="3"/>
            <c:invertIfNegative val="0"/>
            <c:bubble3D val="0"/>
            <c:spPr>
              <a:gradFill>
                <a:gsLst>
                  <a:gs pos="0">
                    <a:schemeClr val="accent3">
                      <a:lumMod val="75000"/>
                    </a:schemeClr>
                  </a:gs>
                  <a:gs pos="60000">
                    <a:srgbClr val="0070C0"/>
                  </a:gs>
                  <a:gs pos="40000">
                    <a:schemeClr val="accent3">
                      <a:lumMod val="75000"/>
                    </a:schemeClr>
                  </a:gs>
                  <a:gs pos="100000">
                    <a:srgbClr val="0070C0"/>
                  </a:gs>
                </a:gsLst>
                <a:lin ang="5400000" scaled="1"/>
              </a:gradFill>
            </c:spPr>
            <c:extLst>
              <c:ext xmlns:c16="http://schemas.microsoft.com/office/drawing/2014/chart" uri="{C3380CC4-5D6E-409C-BE32-E72D297353CC}">
                <c16:uniqueId val="{00000007-424D-4C04-A682-6E52F96165B5}"/>
              </c:ext>
            </c:extLst>
          </c:dPt>
          <c:dPt>
            <c:idx val="4"/>
            <c:invertIfNegative val="0"/>
            <c:bubble3D val="0"/>
            <c:spPr>
              <a:solidFill>
                <a:schemeClr val="accent2">
                  <a:lumMod val="50000"/>
                </a:schemeClr>
              </a:solidFill>
            </c:spPr>
            <c:extLst>
              <c:ext xmlns:c16="http://schemas.microsoft.com/office/drawing/2014/chart" uri="{C3380CC4-5D6E-409C-BE32-E72D297353CC}">
                <c16:uniqueId val="{00000009-424D-4C04-A682-6E52F96165B5}"/>
              </c:ext>
            </c:extLst>
          </c:dPt>
          <c:dPt>
            <c:idx val="5"/>
            <c:invertIfNegative val="0"/>
            <c:bubble3D val="0"/>
            <c:spPr>
              <a:gradFill>
                <a:gsLst>
                  <a:gs pos="0">
                    <a:schemeClr val="accent3">
                      <a:lumMod val="75000"/>
                    </a:schemeClr>
                  </a:gs>
                  <a:gs pos="71000">
                    <a:srgbClr val="FFC000"/>
                  </a:gs>
                  <a:gs pos="46000">
                    <a:srgbClr val="C00000"/>
                  </a:gs>
                  <a:gs pos="29000">
                    <a:srgbClr val="C00000"/>
                  </a:gs>
                  <a:gs pos="58000">
                    <a:srgbClr val="FFC000"/>
                  </a:gs>
                  <a:gs pos="18000">
                    <a:schemeClr val="accent3">
                      <a:lumMod val="75000"/>
                    </a:schemeClr>
                  </a:gs>
                  <a:gs pos="85000">
                    <a:srgbClr val="0070C0"/>
                  </a:gs>
                  <a:gs pos="100000">
                    <a:srgbClr val="0070C0"/>
                  </a:gs>
                </a:gsLst>
                <a:lin ang="5400000" scaled="0"/>
              </a:gradFill>
            </c:spPr>
            <c:extLst>
              <c:ext xmlns:c16="http://schemas.microsoft.com/office/drawing/2014/chart" uri="{C3380CC4-5D6E-409C-BE32-E72D297353CC}">
                <c16:uniqueId val="{0000000B-424D-4C04-A682-6E52F96165B5}"/>
              </c:ext>
            </c:extLst>
          </c:dPt>
          <c:dPt>
            <c:idx val="6"/>
            <c:invertIfNegative val="0"/>
            <c:bubble3D val="0"/>
            <c:spPr>
              <a:gradFill>
                <a:gsLst>
                  <a:gs pos="0">
                    <a:schemeClr val="accent3">
                      <a:lumMod val="75000"/>
                    </a:schemeClr>
                  </a:gs>
                  <a:gs pos="60000">
                    <a:srgbClr val="C00000"/>
                  </a:gs>
                  <a:gs pos="41000">
                    <a:srgbClr val="C00000"/>
                  </a:gs>
                  <a:gs pos="26000">
                    <a:schemeClr val="accent3">
                      <a:lumMod val="75000"/>
                    </a:schemeClr>
                  </a:gs>
                  <a:gs pos="78000">
                    <a:srgbClr val="FFC000"/>
                  </a:gs>
                  <a:gs pos="100000">
                    <a:srgbClr val="FFC000"/>
                  </a:gs>
                </a:gsLst>
                <a:lin ang="5400000" scaled="1"/>
              </a:gradFill>
            </c:spPr>
            <c:extLst>
              <c:ext xmlns:c16="http://schemas.microsoft.com/office/drawing/2014/chart" uri="{C3380CC4-5D6E-409C-BE32-E72D297353CC}">
                <c16:uniqueId val="{0000000D-424D-4C04-A682-6E52F96165B5}"/>
              </c:ext>
            </c:extLst>
          </c:dPt>
          <c:dPt>
            <c:idx val="7"/>
            <c:invertIfNegative val="0"/>
            <c:bubble3D val="0"/>
            <c:spPr>
              <a:gradFill>
                <a:gsLst>
                  <a:gs pos="0">
                    <a:schemeClr val="accent3">
                      <a:lumMod val="75000"/>
                    </a:schemeClr>
                  </a:gs>
                  <a:gs pos="36000">
                    <a:schemeClr val="accent3">
                      <a:lumMod val="75000"/>
                    </a:schemeClr>
                  </a:gs>
                  <a:gs pos="61000">
                    <a:schemeClr val="accent4">
                      <a:lumMod val="75000"/>
                    </a:schemeClr>
                  </a:gs>
                  <a:gs pos="100000">
                    <a:schemeClr val="accent4">
                      <a:lumMod val="75000"/>
                    </a:schemeClr>
                  </a:gs>
                </a:gsLst>
                <a:lin ang="5400000" scaled="1"/>
              </a:gradFill>
            </c:spPr>
            <c:extLst>
              <c:ext xmlns:c16="http://schemas.microsoft.com/office/drawing/2014/chart" uri="{C3380CC4-5D6E-409C-BE32-E72D297353CC}">
                <c16:uniqueId val="{0000000F-424D-4C04-A682-6E52F96165B5}"/>
              </c:ext>
            </c:extLst>
          </c:dPt>
          <c:dPt>
            <c:idx val="8"/>
            <c:invertIfNegative val="0"/>
            <c:bubble3D val="0"/>
            <c:spPr>
              <a:gradFill>
                <a:gsLst>
                  <a:gs pos="0">
                    <a:schemeClr val="accent3">
                      <a:lumMod val="75000"/>
                    </a:schemeClr>
                  </a:gs>
                  <a:gs pos="71000">
                    <a:srgbClr val="FFC000"/>
                  </a:gs>
                  <a:gs pos="44000">
                    <a:schemeClr val="accent4">
                      <a:lumMod val="75000"/>
                    </a:schemeClr>
                  </a:gs>
                  <a:gs pos="30000">
                    <a:schemeClr val="accent4">
                      <a:lumMod val="75000"/>
                    </a:schemeClr>
                  </a:gs>
                  <a:gs pos="57000">
                    <a:srgbClr val="FFC000"/>
                  </a:gs>
                  <a:gs pos="15000">
                    <a:schemeClr val="accent3">
                      <a:lumMod val="75000"/>
                    </a:schemeClr>
                  </a:gs>
                  <a:gs pos="85000">
                    <a:srgbClr val="0070C0"/>
                  </a:gs>
                  <a:gs pos="100000">
                    <a:schemeClr val="accent1"/>
                  </a:gs>
                </a:gsLst>
                <a:lin ang="5400000" scaled="1"/>
              </a:gradFill>
            </c:spPr>
            <c:extLst>
              <c:ext xmlns:c16="http://schemas.microsoft.com/office/drawing/2014/chart" uri="{C3380CC4-5D6E-409C-BE32-E72D297353CC}">
                <c16:uniqueId val="{00000011-424D-4C04-A682-6E52F96165B5}"/>
              </c:ext>
            </c:extLst>
          </c:dPt>
          <c:dPt>
            <c:idx val="9"/>
            <c:invertIfNegative val="0"/>
            <c:bubble3D val="0"/>
            <c:spPr>
              <a:solidFill>
                <a:srgbClr val="948A54"/>
              </a:solidFill>
            </c:spPr>
            <c:extLst>
              <c:ext xmlns:c16="http://schemas.microsoft.com/office/drawing/2014/chart" uri="{C3380CC4-5D6E-409C-BE32-E72D297353CC}">
                <c16:uniqueId val="{00000013-424D-4C04-A682-6E52F96165B5}"/>
              </c:ext>
            </c:extLst>
          </c:dPt>
          <c:dLbls>
            <c:dLbl>
              <c:idx val="0"/>
              <c:tx>
                <c:strRef>
                  <c:f>'Ch2. Cross filings'!$D$101</c:f>
                  <c:strCache>
                    <c:ptCount val="1"/>
                    <c:pt idx="0">
                      <c:v>13%</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{3568DA91-1082-4201-818A-C485D2A7EAA9}</c15:txfldGUID>
                      <c15:f>'Ch2. Cross filings'!$D$101</c15:f>
                      <c15:dlblFieldTableCache>
                        <c:ptCount val="1"/>
                        <c:pt idx="0">
                          <c:v>13%</c:v>
                        </c:pt>
                      </c15:dlblFieldTableCache>
                    </c15:dlblFTEntry>
                  </c15:dlblFieldTable>
                  <c15:showDataLabelsRange val="0"/>
                </c:ext>
                <c:ext xmlns:c16="http://schemas.microsoft.com/office/drawing/2014/chart" uri="{C3380CC4-5D6E-409C-BE32-E72D297353CC}">
                  <c16:uniqueId val="{00000001-424D-4C04-A682-6E52F96165B5}"/>
                </c:ext>
              </c:extLst>
            </c:dLbl>
            <c:dLbl>
              <c:idx val="1"/>
              <c:tx>
                <c:strRef>
                  <c:f>'Ch2. Cross filings'!$D$102</c:f>
                  <c:strCache>
                    <c:ptCount val="1"/>
                    <c:pt idx="0">
                      <c:v>13%</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{23FC9CE1-48DB-4407-9E9D-B8D979E67A67}</c15:txfldGUID>
                      <c15:f>'Ch2. Cross filings'!$D$102</c15:f>
                      <c15:dlblFieldTableCache>
                        <c:ptCount val="1"/>
                        <c:pt idx="0">
                          <c:v>13%</c:v>
                        </c:pt>
                      </c15:dlblFieldTableCache>
                    </c15:dlblFTEntry>
                  </c15:dlblFieldTable>
                  <c15:showDataLabelsRange val="0"/>
                </c:ext>
                <c:ext xmlns:c16="http://schemas.microsoft.com/office/drawing/2014/chart" uri="{C3380CC4-5D6E-409C-BE32-E72D297353CC}">
                  <c16:uniqueId val="{00000003-424D-4C04-A682-6E52F96165B5}"/>
                </c:ext>
              </c:extLst>
            </c:dLbl>
            <c:dLbl>
              <c:idx val="2"/>
              <c:tx>
                <c:strRef>
                  <c:f>'Ch2. Cross filings'!$D$103</c:f>
                  <c:strCache>
                    <c:ptCount val="1"/>
                    <c:pt idx="0">
                      <c:v>11%</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{1E6B6AC0-2163-4190-A716-D8CB2DFF9446}</c15:txfldGUID>
                      <c15:f>'Ch2. Cross filings'!$D$103</c15:f>
                      <c15:dlblFieldTableCache>
                        <c:ptCount val="1"/>
                        <c:pt idx="0">
                          <c:v>11%</c:v>
                        </c:pt>
                      </c15:dlblFieldTableCache>
                    </c15:dlblFTEntry>
                  </c15:dlblFieldTable>
                  <c15:showDataLabelsRange val="0"/>
                </c:ext>
                <c:ext xmlns:c16="http://schemas.microsoft.com/office/drawing/2014/chart" uri="{C3380CC4-5D6E-409C-BE32-E72D297353CC}">
                  <c16:uniqueId val="{00000005-424D-4C04-A682-6E52F96165B5}"/>
                </c:ext>
              </c:extLst>
            </c:dLbl>
            <c:dLbl>
              <c:idx val="3"/>
              <c:tx>
                <c:strRef>
                  <c:f>'Ch2. Cross filings'!$D$104</c:f>
                  <c:strCache>
                    <c:ptCount val="1"/>
                    <c:pt idx="0">
                      <c:v>11%</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{25701242-1F65-43A0-BB2C-EF32F2EBAB47}</c15:txfldGUID>
                      <c15:f>'Ch2. Cross filings'!$D$104</c15:f>
                      <c15:dlblFieldTableCache>
                        <c:ptCount val="1"/>
                        <c:pt idx="0">
                          <c:v>11%</c:v>
                        </c:pt>
                      </c15:dlblFieldTableCache>
                    </c15:dlblFTEntry>
                  </c15:dlblFieldTable>
                  <c15:showDataLabelsRange val="0"/>
                </c:ext>
                <c:ext xmlns:c16="http://schemas.microsoft.com/office/drawing/2014/chart" uri="{C3380CC4-5D6E-409C-BE32-E72D297353CC}">
                  <c16:uniqueId val="{00000007-424D-4C04-A682-6E52F96165B5}"/>
                </c:ext>
              </c:extLst>
            </c:dLbl>
            <c:dLbl>
              <c:idx val="4"/>
              <c:tx>
                <c:strRef>
                  <c:f>'Ch2. Cross filings'!$D$105</c:f>
                  <c:strCache>
                    <c:ptCount val="1"/>
                    <c:pt idx="0">
                      <c:v>9%</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{3412E688-ACE8-472F-9F75-2600051EC6B1}</c15:txfldGUID>
                      <c15:f>'Ch2. Cross filings'!$D$105</c15:f>
                      <c15:dlblFieldTableCache>
                        <c:ptCount val="1"/>
                        <c:pt idx="0">
                          <c:v>9%</c:v>
                        </c:pt>
                      </c15:dlblFieldTableCache>
                    </c15:dlblFTEntry>
                  </c15:dlblFieldTable>
                  <c15:showDataLabelsRange val="0"/>
                </c:ext>
                <c:ext xmlns:c16="http://schemas.microsoft.com/office/drawing/2014/chart" uri="{C3380CC4-5D6E-409C-BE32-E72D297353CC}">
                  <c16:uniqueId val="{00000009-424D-4C04-A682-6E52F96165B5}"/>
                </c:ext>
              </c:extLst>
            </c:dLbl>
            <c:dLbl>
              <c:idx val="5"/>
              <c:tx>
                <c:strRef>
                  <c:f>'Ch2. Cross filings'!$D$106</c:f>
                  <c:strCache>
                    <c:ptCount val="1"/>
                    <c:pt idx="0">
                      <c:v>7%</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{53942A14-A781-4B4D-BACE-6B96383C35EA}</c15:txfldGUID>
                      <c15:f>'Ch2. Cross filings'!$D$106</c15:f>
                      <c15:dlblFieldTableCache>
                        <c:ptCount val="1"/>
                        <c:pt idx="0">
                          <c:v>7%</c:v>
                        </c:pt>
                      </c15:dlblFieldTableCache>
                    </c15:dlblFTEntry>
                  </c15:dlblFieldTable>
                  <c15:showDataLabelsRange val="0"/>
                </c:ext>
                <c:ext xmlns:c16="http://schemas.microsoft.com/office/drawing/2014/chart" uri="{C3380CC4-5D6E-409C-BE32-E72D297353CC}">
                  <c16:uniqueId val="{0000000B-424D-4C04-A682-6E52F96165B5}"/>
                </c:ext>
              </c:extLst>
            </c:dLbl>
            <c:dLbl>
              <c:idx val="6"/>
              <c:tx>
                <c:strRef>
                  <c:f>'Ch2. Cross filings'!$D$107</c:f>
                  <c:strCache>
                    <c:ptCount val="1"/>
                    <c:pt idx="0">
                      <c:v>5%</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{D00D462D-A8C3-4BA2-96FC-11974AA0F273}</c15:txfldGUID>
                      <c15:f>'Ch2. Cross filings'!$D$107</c15:f>
                      <c15:dlblFieldTableCache>
                        <c:ptCount val="1"/>
                        <c:pt idx="0">
                          <c:v>5%</c:v>
                        </c:pt>
                      </c15:dlblFieldTableCache>
                    </c15:dlblFTEntry>
                  </c15:dlblFieldTable>
                  <c15:showDataLabelsRange val="0"/>
                </c:ext>
                <c:ext xmlns:c16="http://schemas.microsoft.com/office/drawing/2014/chart" uri="{C3380CC4-5D6E-409C-BE32-E72D297353CC}">
                  <c16:uniqueId val="{0000000D-424D-4C04-A682-6E52F96165B5}"/>
                </c:ext>
              </c:extLst>
            </c:dLbl>
            <c:dLbl>
              <c:idx val="7"/>
              <c:tx>
                <c:strRef>
                  <c:f>'Ch2. Cross filings'!$D$108</c:f>
                  <c:strCache>
                    <c:ptCount val="1"/>
                    <c:pt idx="0">
                      <c:v>5%</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{B0557D96-16C7-4C40-B355-97299C9E16E4}</c15:txfldGUID>
                      <c15:f>'Ch2. Cross filings'!$D$108</c15:f>
                      <c15:dlblFieldTableCache>
                        <c:ptCount val="1"/>
                        <c:pt idx="0">
                          <c:v>5%</c:v>
                        </c:pt>
                      </c15:dlblFieldTableCache>
                    </c15:dlblFTEntry>
                  </c15:dlblFieldTable>
                  <c15:showDataLabelsRange val="0"/>
                </c:ext>
                <c:ext xmlns:c16="http://schemas.microsoft.com/office/drawing/2014/chart" uri="{C3380CC4-5D6E-409C-BE32-E72D297353CC}">
                  <c16:uniqueId val="{0000000F-424D-4C04-A682-6E52F96165B5}"/>
                </c:ext>
              </c:extLst>
            </c:dLbl>
            <c:dLbl>
              <c:idx val="8"/>
              <c:tx>
                <c:strRef>
                  <c:f>'Ch2. Cross filings'!$D$109</c:f>
                  <c:strCache>
                    <c:ptCount val="1"/>
                    <c:pt idx="0">
                      <c:v>4%</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{5200EC8B-C3D4-4837-812D-953907A9BB13}</c15:txfldGUID>
                      <c15:f>'Ch2. Cross filings'!$D$109</c15:f>
                      <c15:dlblFieldTableCache>
                        <c:ptCount val="1"/>
                        <c:pt idx="0">
                          <c:v>4%</c:v>
                        </c:pt>
                      </c15:dlblFieldTableCache>
                    </c15:dlblFTEntry>
                  </c15:dlblFieldTable>
                  <c15:showDataLabelsRange val="0"/>
                </c:ext>
                <c:ext xmlns:c16="http://schemas.microsoft.com/office/drawing/2014/chart" uri="{C3380CC4-5D6E-409C-BE32-E72D297353CC}">
                  <c16:uniqueId val="{00000011-424D-4C04-A682-6E52F96165B5}"/>
                </c:ext>
              </c:extLst>
            </c:dLbl>
            <c:dLbl>
              <c:idx val="9"/>
              <c:tx>
                <c:strRef>
                  <c:f>'Ch2. Cross filings'!$D$110</c:f>
                  <c:strCache>
                    <c:ptCount val="1"/>
                    <c:pt idx="0">
                      <c:v>19%</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{DFE3E90E-17E3-4F82-BE0B-5EBC9668EC63}</c15:txfldGUID>
                      <c15:f>'Ch2. Cross filings'!$D$110</c15:f>
                      <c15:dlblFieldTableCache>
                        <c:ptCount val="1"/>
                        <c:pt idx="0">
                          <c:v>19%</c:v>
                        </c:pt>
                      </c15:dlblFieldTableCache>
                    </c15:dlblFTEntry>
                  </c15:dlblFieldTable>
                  <c15:showDataLabelsRange val="0"/>
                </c:ext>
                <c:ext xmlns:c16="http://schemas.microsoft.com/office/drawing/2014/chart" uri="{C3380CC4-5D6E-409C-BE32-E72D297353CC}">
                  <c16:uniqueId val="{00000013-424D-4C04-A682-6E52F96165B5}"/>
                </c:ext>
              </c:extLst>
            </c:dLbl>
            <c:spPr>
              <a:noFill/>
              <a:ln>
                <a:noFill/>
              </a:ln>
              <a:effectLst/>
            </c:spPr>
            <c:txPr>
              <a:bodyPr rot="0" spcFirstLastPara="0"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'Ch2. Cross filings'!$B$101:$B$110</c:f>
              <c:strCache>
                <c:ptCount val="10"/>
                <c:pt idx="0">
                  <c:v>CN-US</c:v>
                </c:pt>
                <c:pt idx="1">
                  <c:v>JP-US</c:v>
                </c:pt>
                <c:pt idx="2">
                  <c:v>EP-CN-US</c:v>
                </c:pt>
                <c:pt idx="3">
                  <c:v>EP-US</c:v>
                </c:pt>
                <c:pt idx="4">
                  <c:v>IP5</c:v>
                </c:pt>
                <c:pt idx="5">
                  <c:v>EP-CN-JP-US</c:v>
                </c:pt>
                <c:pt idx="6">
                  <c:v>KR-US</c:v>
                </c:pt>
                <c:pt idx="7">
                  <c:v>CN-JP-US</c:v>
                </c:pt>
                <c:pt idx="8">
                  <c:v>CN-JP</c:v>
                </c:pt>
                <c:pt idx="9">
                  <c:v>OTHER</c:v>
                </c:pt>
              </c:strCache>
            </c:strRef>
          </c:cat>
          <c:val>
            <c:numRef>
              <c:f>'Ch2. Cross filings'!$C$101:$C$110</c:f>
              <c:numCache>
                <c:formatCode>General</c:formatCode>
                <c:ptCount val="10"/>
                <c:pt idx="0" formatCode="#,##0">
                  <c:v>41736</c:v>
                </c:pt>
                <c:pt idx="1">
                  <c:v>40527</c:v>
                </c:pt>
                <c:pt idx="2">
                  <c:v>34401</c:v>
                </c:pt>
                <c:pt idx="3">
                  <c:v>33750</c:v>
                </c:pt>
                <c:pt idx="4">
                  <c:v>28400</c:v>
                </c:pt>
                <c:pt idx="5">
                  <c:v>22843</c:v>
                </c:pt>
                <c:pt idx="6">
                  <c:v>17144</c:v>
                </c:pt>
                <c:pt idx="7">
                  <c:v>15872</c:v>
                </c:pt>
                <c:pt idx="8">
                  <c:v>11050</c:v>
                </c:pt>
                <c:pt idx="9">
                  <c:v>69710</c:v>
                </c:pt>
              </c:numCache>
            </c:numRef>
          </c:val>
          <c:extLst>
            <c:ext xmlns:c16="http://schemas.microsoft.com/office/drawing/2014/chart" uri="{C3380CC4-5D6E-409C-BE32-E72D297353CC}">
              <c16:uniqueId val="{00000014-424D-4C04-A682-6E52F96165B5}"/>
            </c:ext>
          </c:extLst>
        </c:ser>
        <c:dLbls>
          <c:showLegendKey val="0"/>
          <c:showVal val="0"/>
          <c:showCatName val="0"/>
          <c:showSerName val="0"/>
          <c:showPercent val="0"/>
          <c:showBubbleSize val="0"/>
        </c:dLbls>
        <c:gapWidth val="50"/>
        <c:axId val="1784867872"/>
        <c:axId val="1784872224"/>
      </c:barChart>
      <c:catAx>
        <c:axId val="1784867872"/>
        <c:scaling>
          <c:orientation val="minMax"/>
        </c:scaling>
        <c:delete val="0"/>
        <c:axPos val="b"/>
        <c:numFmt formatCode="General" sourceLinked="0"/>
        <c:majorTickMark val="none"/>
        <c:minorTickMark val="none"/>
        <c:tickLblPos val="nextTo"/>
        <c:spPr>
          <a:ln w="9525" cap="flat" cmpd="sng" algn="ctr">
            <a:noFill/>
            <a:prstDash val="solid"/>
            <a:round/>
          </a:ln>
        </c:spPr>
        <c:txPr>
          <a:bodyPr rot="-5400000" spcFirstLastPara="0"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4872224"/>
        <c:crosses val="autoZero"/>
        <c:auto val="1"/>
        <c:lblAlgn val="ctr"/>
        <c:lblOffset val="100"/>
        <c:noMultiLvlLbl val="0"/>
      </c:catAx>
      <c:valAx>
        <c:axId val="1784872224"/>
        <c:scaling>
          <c:orientation val="minMax"/>
        </c:scaling>
        <c:delete val="0"/>
        <c:axPos val="l"/>
        <c:majorGridlines/>
        <c:numFmt formatCode="#,##0" sourceLinked="1"/>
        <c:majorTickMark val="out"/>
        <c:minorTickMark val="none"/>
        <c:tickLblPos val="nextTo"/>
        <c:spPr>
          <a:ln w="9525" cap="flat" cmpd="sng" algn="ctr">
            <a:noFill/>
            <a:prstDash val="solid"/>
            <a:round/>
          </a:ln>
        </c:spPr>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4867872"/>
        <c:crosses val="autoZero"/>
        <c:crossBetween val="between"/>
      </c:valAx>
    </c:plotArea>
    <c:plotVisOnly val="1"/>
    <c:dispBlanksAs val="gap"/>
    <c:showDLblsOverMax val="0"/>
    <c:extLst>
      <c:ext uri="{0b15fc19-7d7d-44ad-8c2d-2c3a37ce22c3}">
        <chartProps xmlns="https://web.wps.cn/et/2018/main" chartId="{a4b5abf5-55cd-4bb9-989e-dd1da1a0f467}"/>
      </c:ext>
    </c:extLst>
  </c:chart>
  <c:txPr>
    <a:bodyPr/>
    <a:lstStyle/>
    <a:p>
      <a:pPr>
        <a:defRPr lang="zh-CN"/>
      </a:pPr>
      <a:endParaRPr lang="zh-CN"/>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endParaRPr/>
          </a:p>
        </c:rich>
      </c:tx>
      <c:layout>
        <c:manualLayout>
          <c:xMode val="edge"/>
          <c:yMode val="edge"/>
          <c:x val="8.1591886810082601E-2"/>
          <c:y val="2.34666673236512E-2"/>
        </c:manualLayout>
      </c:layout>
      <c:overlay val="0"/>
    </c:title>
    <c:autoTitleDeleted val="0"/>
    <c:plotArea>
      <c:layout/>
      <c:barChart>
        <c:barDir val="col"/>
        <c:grouping val="clustered"/>
        <c:varyColors val="0"/>
        <c:ser>
          <c:idx val="0"/>
          <c:order val="0"/>
          <c:invertIfNegative val="0"/>
          <c:dPt>
            <c:idx val="0"/>
            <c:invertIfNegative val="0"/>
            <c:bubble3D val="0"/>
            <c:spPr>
              <a:gradFill>
                <a:gsLst>
                  <a:gs pos="0">
                    <a:schemeClr val="accent3">
                      <a:lumMod val="75000"/>
                    </a:schemeClr>
                  </a:gs>
                  <a:gs pos="64000">
                    <a:srgbClr val="C00000"/>
                  </a:gs>
                  <a:gs pos="43000">
                    <a:schemeClr val="accent3">
                      <a:lumMod val="75000"/>
                    </a:schemeClr>
                  </a:gs>
                  <a:gs pos="100000">
                    <a:srgbClr val="C00000"/>
                  </a:gs>
                </a:gsLst>
                <a:lin ang="5400000" scaled="1"/>
              </a:gradFill>
              <a:ln>
                <a:noFill/>
              </a:ln>
            </c:spPr>
            <c:extLst>
              <c:ext xmlns:c16="http://schemas.microsoft.com/office/drawing/2014/chart" uri="{C3380CC4-5D6E-409C-BE32-E72D297353CC}">
                <c16:uniqueId val="{00000001-85FD-4597-8049-AA56387FFFB4}"/>
              </c:ext>
            </c:extLst>
          </c:dPt>
          <c:dPt>
            <c:idx val="1"/>
            <c:invertIfNegative val="0"/>
            <c:bubble3D val="0"/>
            <c:spPr>
              <a:gradFill>
                <a:gsLst>
                  <a:gs pos="0">
                    <a:schemeClr val="accent3">
                      <a:lumMod val="75000"/>
                    </a:schemeClr>
                  </a:gs>
                  <a:gs pos="60000">
                    <a:srgbClr val="FFC000"/>
                  </a:gs>
                  <a:gs pos="41000">
                    <a:schemeClr val="accent3">
                      <a:lumMod val="75000"/>
                    </a:schemeClr>
                  </a:gs>
                  <a:gs pos="100000">
                    <a:srgbClr val="FFC000"/>
                  </a:gs>
                </a:gsLst>
                <a:lin ang="5400000" scaled="1"/>
              </a:gradFill>
            </c:spPr>
            <c:extLst>
              <c:ext xmlns:c16="http://schemas.microsoft.com/office/drawing/2014/chart" uri="{C3380CC4-5D6E-409C-BE32-E72D297353CC}">
                <c16:uniqueId val="{00000003-85FD-4597-8049-AA56387FFFB4}"/>
              </c:ext>
            </c:extLst>
          </c:dPt>
          <c:dPt>
            <c:idx val="2"/>
            <c:invertIfNegative val="0"/>
            <c:bubble3D val="0"/>
            <c:spPr>
              <a:gradFill>
                <a:gsLst>
                  <a:gs pos="0">
                    <a:schemeClr val="accent3">
                      <a:lumMod val="75000"/>
                    </a:schemeClr>
                  </a:gs>
                  <a:gs pos="59000">
                    <a:srgbClr val="FFC000"/>
                  </a:gs>
                  <a:gs pos="42000">
                    <a:srgbClr val="FFC000"/>
                  </a:gs>
                  <a:gs pos="83000">
                    <a:srgbClr val="0070C0"/>
                  </a:gs>
                  <a:gs pos="17000">
                    <a:schemeClr val="accent3">
                      <a:lumMod val="75000"/>
                    </a:schemeClr>
                  </a:gs>
                  <a:gs pos="100000">
                    <a:srgbClr val="0070C0"/>
                  </a:gs>
                </a:gsLst>
                <a:lin ang="5400000" scaled="1"/>
              </a:gradFill>
            </c:spPr>
            <c:extLst>
              <c:ext xmlns:c16="http://schemas.microsoft.com/office/drawing/2014/chart" uri="{C3380CC4-5D6E-409C-BE32-E72D297353CC}">
                <c16:uniqueId val="{00000005-85FD-4597-8049-AA56387FFFB4}"/>
              </c:ext>
            </c:extLst>
          </c:dPt>
          <c:dPt>
            <c:idx val="3"/>
            <c:invertIfNegative val="0"/>
            <c:bubble3D val="0"/>
            <c:spPr>
              <a:gradFill>
                <a:gsLst>
                  <a:gs pos="0">
                    <a:schemeClr val="accent3">
                      <a:lumMod val="75000"/>
                    </a:schemeClr>
                  </a:gs>
                  <a:gs pos="60000">
                    <a:srgbClr val="0070C0"/>
                  </a:gs>
                  <a:gs pos="40000">
                    <a:schemeClr val="accent3">
                      <a:lumMod val="75000"/>
                    </a:schemeClr>
                  </a:gs>
                  <a:gs pos="100000">
                    <a:srgbClr val="0070C0"/>
                  </a:gs>
                </a:gsLst>
                <a:lin ang="5400000" scaled="1"/>
              </a:gradFill>
            </c:spPr>
            <c:extLst>
              <c:ext xmlns:c16="http://schemas.microsoft.com/office/drawing/2014/chart" uri="{C3380CC4-5D6E-409C-BE32-E72D297353CC}">
                <c16:uniqueId val="{00000007-85FD-4597-8049-AA56387FFFB4}"/>
              </c:ext>
            </c:extLst>
          </c:dPt>
          <c:dPt>
            <c:idx val="4"/>
            <c:invertIfNegative val="0"/>
            <c:bubble3D val="0"/>
            <c:spPr>
              <a:solidFill>
                <a:schemeClr val="accent2">
                  <a:lumMod val="50000"/>
                </a:schemeClr>
              </a:solidFill>
            </c:spPr>
            <c:extLst>
              <c:ext xmlns:c16="http://schemas.microsoft.com/office/drawing/2014/chart" uri="{C3380CC4-5D6E-409C-BE32-E72D297353CC}">
                <c16:uniqueId val="{00000009-85FD-4597-8049-AA56387FFFB4}"/>
              </c:ext>
            </c:extLst>
          </c:dPt>
          <c:dPt>
            <c:idx val="5"/>
            <c:invertIfNegative val="0"/>
            <c:bubble3D val="0"/>
            <c:spPr>
              <a:gradFill>
                <a:gsLst>
                  <a:gs pos="0">
                    <a:schemeClr val="accent3">
                      <a:lumMod val="75000"/>
                    </a:schemeClr>
                  </a:gs>
                  <a:gs pos="71000">
                    <a:srgbClr val="FFC000"/>
                  </a:gs>
                  <a:gs pos="46000">
                    <a:srgbClr val="C00000"/>
                  </a:gs>
                  <a:gs pos="29000">
                    <a:srgbClr val="C00000"/>
                  </a:gs>
                  <a:gs pos="58000">
                    <a:srgbClr val="FFC000"/>
                  </a:gs>
                  <a:gs pos="18000">
                    <a:schemeClr val="accent3">
                      <a:lumMod val="75000"/>
                    </a:schemeClr>
                  </a:gs>
                  <a:gs pos="85000">
                    <a:srgbClr val="0070C0"/>
                  </a:gs>
                  <a:gs pos="100000">
                    <a:srgbClr val="0070C0"/>
                  </a:gs>
                </a:gsLst>
                <a:lin ang="5400000" scaled="0"/>
              </a:gradFill>
            </c:spPr>
            <c:extLst>
              <c:ext xmlns:c16="http://schemas.microsoft.com/office/drawing/2014/chart" uri="{C3380CC4-5D6E-409C-BE32-E72D297353CC}">
                <c16:uniqueId val="{0000000B-85FD-4597-8049-AA56387FFFB4}"/>
              </c:ext>
            </c:extLst>
          </c:dPt>
          <c:dPt>
            <c:idx val="6"/>
            <c:invertIfNegative val="0"/>
            <c:bubble3D val="0"/>
            <c:spPr>
              <a:gradFill>
                <a:gsLst>
                  <a:gs pos="0">
                    <a:schemeClr val="accent3">
                      <a:lumMod val="75000"/>
                    </a:schemeClr>
                  </a:gs>
                  <a:gs pos="60000">
                    <a:srgbClr val="C00000"/>
                  </a:gs>
                  <a:gs pos="41000">
                    <a:srgbClr val="C00000"/>
                  </a:gs>
                  <a:gs pos="26000">
                    <a:schemeClr val="accent3">
                      <a:lumMod val="75000"/>
                    </a:schemeClr>
                  </a:gs>
                  <a:gs pos="78000">
                    <a:srgbClr val="FFC000"/>
                  </a:gs>
                  <a:gs pos="100000">
                    <a:srgbClr val="FFC000"/>
                  </a:gs>
                </a:gsLst>
                <a:lin ang="5400000" scaled="1"/>
              </a:gradFill>
            </c:spPr>
            <c:extLst>
              <c:ext xmlns:c16="http://schemas.microsoft.com/office/drawing/2014/chart" uri="{C3380CC4-5D6E-409C-BE32-E72D297353CC}">
                <c16:uniqueId val="{0000000D-85FD-4597-8049-AA56387FFFB4}"/>
              </c:ext>
            </c:extLst>
          </c:dPt>
          <c:dPt>
            <c:idx val="7"/>
            <c:invertIfNegative val="0"/>
            <c:bubble3D val="0"/>
            <c:spPr>
              <a:gradFill>
                <a:gsLst>
                  <a:gs pos="0">
                    <a:schemeClr val="accent3">
                      <a:lumMod val="75000"/>
                    </a:schemeClr>
                  </a:gs>
                  <a:gs pos="36000">
                    <a:schemeClr val="accent3">
                      <a:lumMod val="75000"/>
                    </a:schemeClr>
                  </a:gs>
                  <a:gs pos="61000">
                    <a:schemeClr val="accent4">
                      <a:lumMod val="75000"/>
                    </a:schemeClr>
                  </a:gs>
                  <a:gs pos="100000">
                    <a:schemeClr val="accent4">
                      <a:lumMod val="75000"/>
                    </a:schemeClr>
                  </a:gs>
                </a:gsLst>
                <a:lin ang="5400000" scaled="1"/>
              </a:gradFill>
            </c:spPr>
            <c:extLst>
              <c:ext xmlns:c16="http://schemas.microsoft.com/office/drawing/2014/chart" uri="{C3380CC4-5D6E-409C-BE32-E72D297353CC}">
                <c16:uniqueId val="{0000000F-85FD-4597-8049-AA56387FFFB4}"/>
              </c:ext>
            </c:extLst>
          </c:dPt>
          <c:dPt>
            <c:idx val="8"/>
            <c:invertIfNegative val="0"/>
            <c:bubble3D val="0"/>
            <c:spPr>
              <a:gradFill>
                <a:gsLst>
                  <a:gs pos="0">
                    <a:srgbClr val="C00000"/>
                  </a:gs>
                  <a:gs pos="64000">
                    <a:srgbClr val="FFC000"/>
                  </a:gs>
                  <a:gs pos="47000">
                    <a:srgbClr val="C00000"/>
                  </a:gs>
                  <a:gs pos="100000">
                    <a:srgbClr val="FFC000"/>
                  </a:gs>
                </a:gsLst>
                <a:lin ang="5400000" scaled="1"/>
              </a:gradFill>
            </c:spPr>
            <c:extLst>
              <c:ext xmlns:c16="http://schemas.microsoft.com/office/drawing/2014/chart" uri="{C3380CC4-5D6E-409C-BE32-E72D297353CC}">
                <c16:uniqueId val="{00000011-85FD-4597-8049-AA56387FFFB4}"/>
              </c:ext>
            </c:extLst>
          </c:dPt>
          <c:dPt>
            <c:idx val="9"/>
            <c:invertIfNegative val="0"/>
            <c:bubble3D val="0"/>
            <c:spPr>
              <a:gradFill>
                <a:gsLst>
                  <a:gs pos="0">
                    <a:srgbClr val="FFC000"/>
                  </a:gs>
                  <a:gs pos="44000">
                    <a:srgbClr val="FFC000"/>
                  </a:gs>
                  <a:gs pos="63000">
                    <a:srgbClr val="0070C0"/>
                  </a:gs>
                  <a:gs pos="100000">
                    <a:schemeClr val="accent1"/>
                  </a:gs>
                </a:gsLst>
                <a:lin ang="5400000" scaled="1"/>
              </a:gradFill>
            </c:spPr>
            <c:extLst>
              <c:ext xmlns:c16="http://schemas.microsoft.com/office/drawing/2014/chart" uri="{C3380CC4-5D6E-409C-BE32-E72D297353CC}">
                <c16:uniqueId val="{00000013-85FD-4597-8049-AA56387FFFB4}"/>
              </c:ext>
            </c:extLst>
          </c:dPt>
          <c:dLbls>
            <c:dLbl>
              <c:idx val="0"/>
              <c:tx>
                <c:strRef>
                  <c:f>'Ch2. Cross filings'!$D$125</c:f>
                  <c:strCache>
                    <c:ptCount val="1"/>
                    <c:pt idx="0">
                      <c:v>14%</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{BEAC2179-9B42-4381-BA7B-88859D5464A9}</c15:txfldGUID>
                      <c15:f>'Ch2. Cross filings'!$D$125</c15:f>
                      <c15:dlblFieldTableCache>
                        <c:ptCount val="1"/>
                        <c:pt idx="0">
                          <c:v>14%</c:v>
                        </c:pt>
                      </c15:dlblFieldTableCache>
                    </c15:dlblFTEntry>
                  </c15:dlblFieldTable>
                  <c15:showDataLabelsRange val="0"/>
                </c:ext>
                <c:ext xmlns:c16="http://schemas.microsoft.com/office/drawing/2014/chart" uri="{C3380CC4-5D6E-409C-BE32-E72D297353CC}">
                  <c16:uniqueId val="{00000001-85FD-4597-8049-AA56387FFFB4}"/>
                </c:ext>
              </c:extLst>
            </c:dLbl>
            <c:dLbl>
              <c:idx val="1"/>
              <c:tx>
                <c:strRef>
                  <c:f>'Ch2. Cross filings'!$D$126</c:f>
                  <c:strCache>
                    <c:ptCount val="1"/>
                    <c:pt idx="0">
                      <c:v>14%</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{7B448DC2-12F7-4472-AFED-4269CC188DF5}</c15:txfldGUID>
                      <c15:f>'Ch2. Cross filings'!$D$126</c15:f>
                      <c15:dlblFieldTableCache>
                        <c:ptCount val="1"/>
                        <c:pt idx="0">
                          <c:v>14%</c:v>
                        </c:pt>
                      </c15:dlblFieldTableCache>
                    </c15:dlblFTEntry>
                  </c15:dlblFieldTable>
                  <c15:showDataLabelsRange val="0"/>
                </c:ext>
                <c:ext xmlns:c16="http://schemas.microsoft.com/office/drawing/2014/chart" uri="{C3380CC4-5D6E-409C-BE32-E72D297353CC}">
                  <c16:uniqueId val="{00000003-85FD-4597-8049-AA56387FFFB4}"/>
                </c:ext>
              </c:extLst>
            </c:dLbl>
            <c:dLbl>
              <c:idx val="2"/>
              <c:tx>
                <c:strRef>
                  <c:f>'Ch2. Cross filings'!$D$127</c:f>
                  <c:strCache>
                    <c:ptCount val="1"/>
                    <c:pt idx="0">
                      <c:v>11%</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{A518E33D-F8D3-4FD6-A3D6-F4F1866C6067}</c15:txfldGUID>
                      <c15:f>'Ch2. Cross filings'!$D$127</c15:f>
                      <c15:dlblFieldTableCache>
                        <c:ptCount val="1"/>
                        <c:pt idx="0">
                          <c:v>11%</c:v>
                        </c:pt>
                      </c15:dlblFieldTableCache>
                    </c15:dlblFTEntry>
                  </c15:dlblFieldTable>
                  <c15:showDataLabelsRange val="0"/>
                </c:ext>
                <c:ext xmlns:c16="http://schemas.microsoft.com/office/drawing/2014/chart" uri="{C3380CC4-5D6E-409C-BE32-E72D297353CC}">
                  <c16:uniqueId val="{00000005-85FD-4597-8049-AA56387FFFB4}"/>
                </c:ext>
              </c:extLst>
            </c:dLbl>
            <c:dLbl>
              <c:idx val="3"/>
              <c:tx>
                <c:strRef>
                  <c:f>'Ch2. Cross filings'!$D$128</c:f>
                  <c:strCache>
                    <c:ptCount val="1"/>
                    <c:pt idx="0">
                      <c:v>11%</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{BAF5AE82-85F2-47B0-B463-44935617E2A3}</c15:txfldGUID>
                      <c15:f>'Ch2. Cross filings'!$D$128</c15:f>
                      <c15:dlblFieldTableCache>
                        <c:ptCount val="1"/>
                        <c:pt idx="0">
                          <c:v>11%</c:v>
                        </c:pt>
                      </c15:dlblFieldTableCache>
                    </c15:dlblFTEntry>
                  </c15:dlblFieldTable>
                  <c15:showDataLabelsRange val="0"/>
                </c:ext>
                <c:ext xmlns:c16="http://schemas.microsoft.com/office/drawing/2014/chart" uri="{C3380CC4-5D6E-409C-BE32-E72D297353CC}">
                  <c16:uniqueId val="{00000007-85FD-4597-8049-AA56387FFFB4}"/>
                </c:ext>
              </c:extLst>
            </c:dLbl>
            <c:dLbl>
              <c:idx val="4"/>
              <c:tx>
                <c:strRef>
                  <c:f>'Ch2. Cross filings'!$D$129</c:f>
                  <c:strCache>
                    <c:ptCount val="1"/>
                    <c:pt idx="0">
                      <c:v>6%</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{24A5803E-6183-41A7-B91B-304C70DF0C25}</c15:txfldGUID>
                      <c15:f>'Ch2. Cross filings'!$D$129</c15:f>
                      <c15:dlblFieldTableCache>
                        <c:ptCount val="1"/>
                        <c:pt idx="0">
                          <c:v>6%</c:v>
                        </c:pt>
                      </c15:dlblFieldTableCache>
                    </c15:dlblFTEntry>
                  </c15:dlblFieldTable>
                  <c15:showDataLabelsRange val="0"/>
                </c:ext>
                <c:ext xmlns:c16="http://schemas.microsoft.com/office/drawing/2014/chart" uri="{C3380CC4-5D6E-409C-BE32-E72D297353CC}">
                  <c16:uniqueId val="{00000009-85FD-4597-8049-AA56387FFFB4}"/>
                </c:ext>
              </c:extLst>
            </c:dLbl>
            <c:dLbl>
              <c:idx val="5"/>
              <c:tx>
                <c:strRef>
                  <c:f>'Ch2. Cross filings'!$D$130</c:f>
                  <c:strCache>
                    <c:ptCount val="1"/>
                    <c:pt idx="0">
                      <c:v>6%</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{BBD1CB41-5A7B-4213-9CC3-F1C39028F1E9}</c15:txfldGUID>
                      <c15:f>'Ch2. Cross filings'!$D$130</c15:f>
                      <c15:dlblFieldTableCache>
                        <c:ptCount val="1"/>
                        <c:pt idx="0">
                          <c:v>6%</c:v>
                        </c:pt>
                      </c15:dlblFieldTableCache>
                    </c15:dlblFTEntry>
                  </c15:dlblFieldTable>
                  <c15:showDataLabelsRange val="0"/>
                </c:ext>
                <c:ext xmlns:c16="http://schemas.microsoft.com/office/drawing/2014/chart" uri="{C3380CC4-5D6E-409C-BE32-E72D297353CC}">
                  <c16:uniqueId val="{0000000B-85FD-4597-8049-AA56387FFFB4}"/>
                </c:ext>
              </c:extLst>
            </c:dLbl>
            <c:dLbl>
              <c:idx val="6"/>
              <c:tx>
                <c:strRef>
                  <c:f>'Ch2. Cross filings'!$D$131</c:f>
                  <c:strCache>
                    <c:ptCount val="1"/>
                    <c:pt idx="0">
                      <c:v>5%</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{9AC7B4AB-E885-4148-8D0D-995768344612}</c15:txfldGUID>
                      <c15:f>'Ch2. Cross filings'!$D$131</c15:f>
                      <c15:dlblFieldTableCache>
                        <c:ptCount val="1"/>
                        <c:pt idx="0">
                          <c:v>5%</c:v>
                        </c:pt>
                      </c15:dlblFieldTableCache>
                    </c15:dlblFTEntry>
                  </c15:dlblFieldTable>
                  <c15:showDataLabelsRange val="0"/>
                </c:ext>
                <c:ext xmlns:c16="http://schemas.microsoft.com/office/drawing/2014/chart" uri="{C3380CC4-5D6E-409C-BE32-E72D297353CC}">
                  <c16:uniqueId val="{0000000D-85FD-4597-8049-AA56387FFFB4}"/>
                </c:ext>
              </c:extLst>
            </c:dLbl>
            <c:dLbl>
              <c:idx val="7"/>
              <c:tx>
                <c:strRef>
                  <c:f>'Ch2. Cross filings'!$D$132</c:f>
                  <c:strCache>
                    <c:ptCount val="1"/>
                    <c:pt idx="0">
                      <c:v>5%</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{332EA3A5-6D5E-4A20-8936-81020623509D}</c15:txfldGUID>
                      <c15:f>'Ch2. Cross filings'!$D$132</c15:f>
                      <c15:dlblFieldTableCache>
                        <c:ptCount val="1"/>
                        <c:pt idx="0">
                          <c:v>5%</c:v>
                        </c:pt>
                      </c15:dlblFieldTableCache>
                    </c15:dlblFTEntry>
                  </c15:dlblFieldTable>
                  <c15:showDataLabelsRange val="0"/>
                </c:ext>
                <c:ext xmlns:c16="http://schemas.microsoft.com/office/drawing/2014/chart" uri="{C3380CC4-5D6E-409C-BE32-E72D297353CC}">
                  <c16:uniqueId val="{0000000F-85FD-4597-8049-AA56387FFFB4}"/>
                </c:ext>
              </c:extLst>
            </c:dLbl>
            <c:dLbl>
              <c:idx val="8"/>
              <c:tx>
                <c:strRef>
                  <c:f>'Ch2. Cross filings'!$D$133</c:f>
                  <c:strCache>
                    <c:ptCount val="1"/>
                    <c:pt idx="0">
                      <c:v>4%</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{C14D5BC6-1BE5-4242-9C41-E790355D767B}</c15:txfldGUID>
                      <c15:f>'Ch2. Cross filings'!$D$133</c15:f>
                      <c15:dlblFieldTableCache>
                        <c:ptCount val="1"/>
                        <c:pt idx="0">
                          <c:v>4%</c:v>
                        </c:pt>
                      </c15:dlblFieldTableCache>
                    </c15:dlblFTEntry>
                  </c15:dlblFieldTable>
                  <c15:showDataLabelsRange val="0"/>
                </c:ext>
                <c:ext xmlns:c16="http://schemas.microsoft.com/office/drawing/2014/chart" uri="{C3380CC4-5D6E-409C-BE32-E72D297353CC}">
                  <c16:uniqueId val="{00000011-85FD-4597-8049-AA56387FFFB4}"/>
                </c:ext>
              </c:extLst>
            </c:dLbl>
            <c:dLbl>
              <c:idx val="9"/>
              <c:tx>
                <c:strRef>
                  <c:f>'Ch2. Cross filings'!$D$134</c:f>
                  <c:strCache>
                    <c:ptCount val="1"/>
                    <c:pt idx="0">
                      <c:v>4%</c:v>
                    </c:pt>
                  </c:strCache>
                </c:strRef>
              </c:tx>
              <c:dLblPos val="outEnd"/>
              <c:showLegendKey val="0"/>
              <c:showVal val="1"/>
              <c:showCatName val="0"/>
              <c:showSerName val="0"/>
              <c:showPercent val="0"/>
              <c:showBubbleSize val="0"/>
              <c:extLst>
                <c:ext xmlns:c15="http://schemas.microsoft.com/office/drawing/2012/chart" uri="{CE6537A1-D6FC-4f65-9D91-7224C49458BB}">
                  <c15:dlblFieldTable>
                    <c15:dlblFTEntry>
                      <c15:txfldGUID>{E837C93B-B9A8-4022-AC49-4ADC4788C7E5}</c15:txfldGUID>
                      <c15:f>'Ch2. Cross filings'!$D$134</c15:f>
                      <c15:dlblFieldTableCache>
                        <c:ptCount val="1"/>
                        <c:pt idx="0">
                          <c:v>4%</c:v>
                        </c:pt>
                      </c15:dlblFieldTableCache>
                    </c15:dlblFTEntry>
                  </c15:dlblFieldTable>
                  <c15:showDataLabelsRange val="0"/>
                </c:ext>
                <c:ext xmlns:c16="http://schemas.microsoft.com/office/drawing/2014/chart" uri="{C3380CC4-5D6E-409C-BE32-E72D297353CC}">
                  <c16:uniqueId val="{00000013-85FD-4597-8049-AA56387FFFB4}"/>
                </c:ext>
              </c:extLst>
            </c:dLbl>
            <c:spPr>
              <a:noFill/>
              <a:ln>
                <a:noFill/>
              </a:ln>
              <a:effectLst/>
            </c:spPr>
            <c:txPr>
              <a:bodyPr rot="0" spcFirstLastPara="0"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'Ch2. Cross filings'!$B$125:$B$134</c:f>
              <c:strCache>
                <c:ptCount val="10"/>
                <c:pt idx="0">
                  <c:v>JP-US</c:v>
                </c:pt>
                <c:pt idx="1">
                  <c:v>CN-US</c:v>
                </c:pt>
                <c:pt idx="2">
                  <c:v>EP-CN-US</c:v>
                </c:pt>
                <c:pt idx="3">
                  <c:v>EP-US</c:v>
                </c:pt>
                <c:pt idx="4">
                  <c:v>IP5</c:v>
                </c:pt>
                <c:pt idx="5">
                  <c:v>EP-CN-JP-US</c:v>
                </c:pt>
                <c:pt idx="6">
                  <c:v>CN-JP-US</c:v>
                </c:pt>
                <c:pt idx="7">
                  <c:v>KR-US</c:v>
                </c:pt>
                <c:pt idx="8">
                  <c:v>CN-JP</c:v>
                </c:pt>
                <c:pt idx="9">
                  <c:v>EP-CN</c:v>
                </c:pt>
              </c:strCache>
            </c:strRef>
          </c:cat>
          <c:val>
            <c:numRef>
              <c:f>'Ch2. Cross filings'!$C$125:$C$134</c:f>
              <c:numCache>
                <c:formatCode>General</c:formatCode>
                <c:ptCount val="10"/>
                <c:pt idx="0" formatCode="#,##0">
                  <c:v>41400</c:v>
                </c:pt>
                <c:pt idx="1">
                  <c:v>35771</c:v>
                </c:pt>
                <c:pt idx="2">
                  <c:v>31050</c:v>
                </c:pt>
                <c:pt idx="3">
                  <c:v>30632</c:v>
                </c:pt>
                <c:pt idx="4">
                  <c:v>23237</c:v>
                </c:pt>
                <c:pt idx="5">
                  <c:v>19962</c:v>
                </c:pt>
                <c:pt idx="6">
                  <c:v>16275</c:v>
                </c:pt>
                <c:pt idx="7">
                  <c:v>12841</c:v>
                </c:pt>
                <c:pt idx="8">
                  <c:v>10252</c:v>
                </c:pt>
                <c:pt idx="9">
                  <c:v>10158</c:v>
                </c:pt>
              </c:numCache>
            </c:numRef>
          </c:val>
          <c:extLst>
            <c:ext xmlns:c16="http://schemas.microsoft.com/office/drawing/2014/chart" uri="{C3380CC4-5D6E-409C-BE32-E72D297353CC}">
              <c16:uniqueId val="{00000014-85FD-4597-8049-AA56387FFFB4}"/>
            </c:ext>
          </c:extLst>
        </c:ser>
        <c:dLbls>
          <c:showLegendKey val="0"/>
          <c:showVal val="0"/>
          <c:showCatName val="0"/>
          <c:showSerName val="0"/>
          <c:showPercent val="0"/>
          <c:showBubbleSize val="0"/>
        </c:dLbls>
        <c:gapWidth val="50"/>
        <c:axId val="1784862976"/>
        <c:axId val="1784862432"/>
      </c:barChart>
      <c:catAx>
        <c:axId val="1784862976"/>
        <c:scaling>
          <c:orientation val="minMax"/>
        </c:scaling>
        <c:delete val="0"/>
        <c:axPos val="b"/>
        <c:numFmt formatCode="General" sourceLinked="0"/>
        <c:majorTickMark val="none"/>
        <c:minorTickMark val="none"/>
        <c:tickLblPos val="nextTo"/>
        <c:spPr>
          <a:ln w="9525" cap="flat" cmpd="sng" algn="ctr">
            <a:noFill/>
            <a:prstDash val="solid"/>
            <a:round/>
          </a:ln>
        </c:spPr>
        <c:txPr>
          <a:bodyPr rot="-5400000" spcFirstLastPara="0"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4862432"/>
        <c:crosses val="autoZero"/>
        <c:auto val="1"/>
        <c:lblAlgn val="ctr"/>
        <c:lblOffset val="100"/>
        <c:noMultiLvlLbl val="0"/>
      </c:catAx>
      <c:valAx>
        <c:axId val="1784862432"/>
        <c:scaling>
          <c:orientation val="minMax"/>
        </c:scaling>
        <c:delete val="0"/>
        <c:axPos val="l"/>
        <c:majorGridlines/>
        <c:numFmt formatCode="#,##0" sourceLinked="1"/>
        <c:majorTickMark val="out"/>
        <c:minorTickMark val="none"/>
        <c:tickLblPos val="nextTo"/>
        <c:spPr>
          <a:ln w="9525" cap="flat" cmpd="sng" algn="ctr">
            <a:noFill/>
            <a:prstDash val="solid"/>
            <a:round/>
          </a:ln>
        </c:spPr>
        <c:txPr>
          <a:bodyPr rot="-60000000" spcFirstLastPara="0"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4862976"/>
        <c:crosses val="autoZero"/>
        <c:crossBetween val="between"/>
      </c:valAx>
    </c:plotArea>
    <c:plotVisOnly val="1"/>
    <c:dispBlanksAs val="gap"/>
    <c:showDLblsOverMax val="0"/>
    <c:extLst>
      <c:ext uri="{0b15fc19-7d7d-44ad-8c2d-2c3a37ce22c3}">
        <chartProps xmlns="https://web.wps.cn/et/2018/main" chartId="{15462175-160f-4e56-89a0-94cad3ebf4f5}"/>
      </c:ext>
    </c:extLst>
  </c:chart>
  <c:txPr>
    <a:bodyPr/>
    <a:lstStyle/>
    <a:p>
      <a:pPr>
        <a:defRPr lang="zh-CN"/>
      </a:pPr>
      <a:endParaRPr lang="zh-CN"/>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924612828952704E-2"/>
          <c:y val="0.15416666666666701"/>
          <c:w val="0.89876250517317702"/>
          <c:h val="0.57395584375482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gradFill>
                <a:gsLst>
                  <a:gs pos="0">
                    <a:srgbClr val="669900"/>
                  </a:gs>
                  <a:gs pos="64000">
                    <a:schemeClr val="accent4"/>
                  </a:gs>
                  <a:gs pos="43000">
                    <a:srgbClr val="669900"/>
                  </a:gs>
                  <a:gs pos="100000">
                    <a:schemeClr val="accent4"/>
                  </a:gs>
                </a:gsLst>
                <a:lin ang="5400000" scaled="1"/>
              </a:gradFill>
              <a:ln>
                <a:noFill/>
              </a:ln>
              <a:effectLst/>
            </c:spPr>
            <c:extLst>
              <c:ext xmlns:c16="http://schemas.microsoft.com/office/drawing/2014/chart" uri="{C3380CC4-5D6E-409C-BE32-E72D297353CC}">
                <c16:uniqueId val="{00000001-94DF-4C23-93D8-214239D33E5C}"/>
              </c:ext>
            </c:extLst>
          </c:dPt>
          <c:dPt>
            <c:idx val="1"/>
            <c:invertIfNegative val="0"/>
            <c:bubble3D val="0"/>
            <c:spPr>
              <a:gradFill>
                <a:gsLst>
                  <a:gs pos="0">
                    <a:srgbClr val="669900"/>
                  </a:gs>
                  <a:gs pos="60000">
                    <a:srgbClr val="C00000"/>
                  </a:gs>
                  <a:gs pos="40000">
                    <a:srgbClr val="669900"/>
                  </a:gs>
                  <a:gs pos="100000">
                    <a:srgbClr val="C00000"/>
                  </a:gs>
                </a:gsLst>
                <a:lin ang="5400000" scaled="1"/>
              </a:gradFill>
              <a:ln>
                <a:noFill/>
              </a:ln>
              <a:effectLst/>
            </c:spPr>
            <c:extLst>
              <c:ext xmlns:c16="http://schemas.microsoft.com/office/drawing/2014/chart" uri="{C3380CC4-5D6E-409C-BE32-E72D297353CC}">
                <c16:uniqueId val="{00000003-94DF-4C23-93D8-214239D33E5C}"/>
              </c:ext>
            </c:extLst>
          </c:dPt>
          <c:dPt>
            <c:idx val="2"/>
            <c:invertIfNegative val="0"/>
            <c:bubble3D val="0"/>
            <c:spPr>
              <a:gradFill>
                <a:gsLst>
                  <a:gs pos="0">
                    <a:srgbClr val="669900"/>
                  </a:gs>
                  <a:gs pos="67000">
                    <a:srgbClr val="0070C0"/>
                  </a:gs>
                  <a:gs pos="39000">
                    <a:srgbClr val="669900"/>
                  </a:gs>
                  <a:gs pos="100000">
                    <a:srgbClr val="0070C0"/>
                  </a:gs>
                </a:gsLst>
                <a:lin ang="5400000" scaled="1"/>
              </a:gradFill>
              <a:ln>
                <a:noFill/>
              </a:ln>
              <a:effectLst/>
            </c:spPr>
            <c:extLst>
              <c:ext xmlns:c16="http://schemas.microsoft.com/office/drawing/2014/chart" uri="{C3380CC4-5D6E-409C-BE32-E72D297353CC}">
                <c16:uniqueId val="{00000005-94DF-4C23-93D8-214239D33E5C}"/>
              </c:ext>
            </c:extLst>
          </c:dPt>
          <c:dPt>
            <c:idx val="3"/>
            <c:invertIfNegative val="0"/>
            <c:bubble3D val="0"/>
            <c:spPr>
              <a:gradFill>
                <a:gsLst>
                  <a:gs pos="0">
                    <a:srgbClr val="669900"/>
                  </a:gs>
                  <a:gs pos="75000">
                    <a:schemeClr val="accent4"/>
                  </a:gs>
                  <a:gs pos="65000">
                    <a:schemeClr val="accent1"/>
                  </a:gs>
                  <a:gs pos="39000">
                    <a:schemeClr val="accent1"/>
                  </a:gs>
                  <a:gs pos="100000">
                    <a:schemeClr val="accent4"/>
                  </a:gs>
                </a:gsLst>
                <a:lin ang="5400000" scaled="1"/>
              </a:gradFill>
              <a:ln>
                <a:noFill/>
              </a:ln>
              <a:effectLst/>
            </c:spPr>
            <c:extLst>
              <c:ext xmlns:c16="http://schemas.microsoft.com/office/drawing/2014/chart" uri="{C3380CC4-5D6E-409C-BE32-E72D297353CC}">
                <c16:uniqueId val="{00000007-94DF-4C23-93D8-214239D33E5C}"/>
              </c:ext>
            </c:extLst>
          </c:dPt>
          <c:dPt>
            <c:idx val="4"/>
            <c:invertIfNegative val="0"/>
            <c:bubble3D val="0"/>
            <c:spPr>
              <a:solidFill>
                <a:srgbClr val="800000"/>
              </a:solidFill>
              <a:ln>
                <a:noFill/>
              </a:ln>
              <a:effectLst/>
            </c:spPr>
            <c:extLst>
              <c:ext xmlns:c16="http://schemas.microsoft.com/office/drawing/2014/chart" uri="{C3380CC4-5D6E-409C-BE32-E72D297353CC}">
                <c16:uniqueId val="{00000009-94DF-4C23-93D8-214239D33E5C}"/>
              </c:ext>
            </c:extLst>
          </c:dPt>
          <c:dPt>
            <c:idx val="5"/>
            <c:invertIfNegative val="0"/>
            <c:bubble3D val="0"/>
            <c:spPr>
              <a:gradFill>
                <a:gsLst>
                  <a:gs pos="0">
                    <a:srgbClr val="669900"/>
                  </a:gs>
                  <a:gs pos="81000">
                    <a:srgbClr val="FFC000"/>
                  </a:gs>
                  <a:gs pos="18000">
                    <a:srgbClr val="669900"/>
                  </a:gs>
                  <a:gs pos="35500">
                    <a:srgbClr val="C00000"/>
                  </a:gs>
                  <a:gs pos="31000">
                    <a:srgbClr val="C00000"/>
                  </a:gs>
                  <a:gs pos="40000">
                    <a:srgbClr val="C00000"/>
                  </a:gs>
                  <a:gs pos="70000">
                    <a:schemeClr val="accent1"/>
                  </a:gs>
                  <a:gs pos="60000">
                    <a:schemeClr val="accent1"/>
                  </a:gs>
                  <a:gs pos="100000">
                    <a:schemeClr val="accent4"/>
                  </a:gs>
                </a:gsLst>
                <a:lin ang="5400000" scaled="1"/>
              </a:gradFill>
              <a:ln>
                <a:noFill/>
              </a:ln>
              <a:effectLst/>
            </c:spPr>
            <c:extLst>
              <c:ext xmlns:c16="http://schemas.microsoft.com/office/drawing/2014/chart" uri="{C3380CC4-5D6E-409C-BE32-E72D297353CC}">
                <c16:uniqueId val="{0000000B-94DF-4C23-93D8-214239D33E5C}"/>
              </c:ext>
            </c:extLst>
          </c:dPt>
          <c:dPt>
            <c:idx val="6"/>
            <c:invertIfNegative val="0"/>
            <c:bubble3D val="0"/>
            <c:spPr>
              <a:gradFill>
                <a:gsLst>
                  <a:gs pos="0">
                    <a:srgbClr val="669900"/>
                  </a:gs>
                  <a:gs pos="45000">
                    <a:srgbClr val="669900"/>
                  </a:gs>
                  <a:gs pos="55000">
                    <a:srgbClr val="7030A0"/>
                  </a:gs>
                  <a:gs pos="100000">
                    <a:srgbClr val="7030A0"/>
                  </a:gs>
                </a:gsLst>
                <a:lin ang="5400000" scaled="1"/>
              </a:gradFill>
              <a:ln>
                <a:noFill/>
              </a:ln>
              <a:effectLst/>
            </c:spPr>
            <c:extLst>
              <c:ext xmlns:c16="http://schemas.microsoft.com/office/drawing/2014/chart" uri="{C3380CC4-5D6E-409C-BE32-E72D297353CC}">
                <c16:uniqueId val="{0000000D-94DF-4C23-93D8-214239D33E5C}"/>
              </c:ext>
            </c:extLst>
          </c:dPt>
          <c:dPt>
            <c:idx val="7"/>
            <c:invertIfNegative val="0"/>
            <c:bubble3D val="0"/>
            <c:spPr>
              <a:gradFill>
                <a:gsLst>
                  <a:gs pos="0">
                    <a:srgbClr val="669900"/>
                  </a:gs>
                  <a:gs pos="28000">
                    <a:srgbClr val="669900"/>
                  </a:gs>
                  <a:gs pos="98000">
                    <a:schemeClr val="accent4"/>
                  </a:gs>
                  <a:gs pos="74000">
                    <a:schemeClr val="accent4"/>
                  </a:gs>
                  <a:gs pos="38000">
                    <a:srgbClr val="934D00"/>
                  </a:gs>
                  <a:gs pos="54000">
                    <a:srgbClr val="C00000"/>
                  </a:gs>
                </a:gsLst>
                <a:lin ang="5400000" scaled="1"/>
              </a:gradFill>
              <a:ln>
                <a:noFill/>
              </a:ln>
              <a:effectLst/>
            </c:spPr>
            <c:extLst>
              <c:ext xmlns:c16="http://schemas.microsoft.com/office/drawing/2014/chart" uri="{C3380CC4-5D6E-409C-BE32-E72D297353CC}">
                <c16:uniqueId val="{0000000F-94DF-4C23-93D8-214239D33E5C}"/>
              </c:ext>
            </c:extLst>
          </c:dPt>
          <c:dPt>
            <c:idx val="8"/>
            <c:invertIfNegative val="0"/>
            <c:bubble3D val="0"/>
            <c:spPr>
              <a:gradFill>
                <a:gsLst>
                  <a:gs pos="98000">
                    <a:schemeClr val="accent4"/>
                  </a:gs>
                  <a:gs pos="74000">
                    <a:schemeClr val="accent4"/>
                  </a:gs>
                  <a:gs pos="0">
                    <a:srgbClr val="934D00"/>
                  </a:gs>
                  <a:gs pos="37000">
                    <a:srgbClr val="C00000"/>
                  </a:gs>
                </a:gsLst>
                <a:lin ang="5400000" scaled="1"/>
              </a:gradFill>
              <a:ln>
                <a:noFill/>
              </a:ln>
              <a:effectLst/>
            </c:spPr>
            <c:extLst>
              <c:ext xmlns:c16="http://schemas.microsoft.com/office/drawing/2014/chart" uri="{C3380CC4-5D6E-409C-BE32-E72D297353CC}">
                <c16:uniqueId val="{00000011-94DF-4C23-93D8-214239D33E5C}"/>
              </c:ext>
            </c:extLst>
          </c:dPt>
          <c:dPt>
            <c:idx val="9"/>
            <c:invertIfNegative val="0"/>
            <c:bubble3D val="0"/>
            <c:spPr>
              <a:gradFill>
                <a:gsLst>
                  <a:gs pos="98000">
                    <a:schemeClr val="accent4"/>
                  </a:gs>
                  <a:gs pos="74000">
                    <a:schemeClr val="accent4"/>
                  </a:gs>
                  <a:gs pos="0">
                    <a:schemeClr val="accent1"/>
                  </a:gs>
                  <a:gs pos="37000">
                    <a:schemeClr val="accent1"/>
                  </a:gs>
                </a:gsLst>
                <a:lin ang="5400000" scaled="1"/>
              </a:gradFill>
              <a:ln>
                <a:noFill/>
              </a:ln>
              <a:effectLst/>
            </c:spPr>
            <c:extLst>
              <c:ext xmlns:c16="http://schemas.microsoft.com/office/drawing/2014/chart" uri="{C3380CC4-5D6E-409C-BE32-E72D297353CC}">
                <c16:uniqueId val="{00000013-94DF-4C23-93D8-214239D33E5C}"/>
              </c:ext>
            </c:extLst>
          </c:dPt>
          <c:dPt>
            <c:idx val="10"/>
            <c:invertIfNegative val="0"/>
            <c:bubble3D val="0"/>
            <c:spPr>
              <a:gradFill>
                <a:gsLst>
                  <a:gs pos="98000">
                    <a:schemeClr val="accent4"/>
                  </a:gs>
                  <a:gs pos="74000">
                    <a:schemeClr val="accent4"/>
                  </a:gs>
                  <a:gs pos="0">
                    <a:srgbClr val="669900"/>
                  </a:gs>
                  <a:gs pos="36000">
                    <a:srgbClr val="7030A0"/>
                  </a:gs>
                  <a:gs pos="20000">
                    <a:srgbClr val="669900"/>
                  </a:gs>
                </a:gsLst>
                <a:lin ang="5400000" scaled="1"/>
              </a:gradFill>
              <a:ln>
                <a:noFill/>
              </a:ln>
              <a:effectLst/>
            </c:spPr>
            <c:extLst>
              <c:ext xmlns:c16="http://schemas.microsoft.com/office/drawing/2014/chart" uri="{C3380CC4-5D6E-409C-BE32-E72D297353CC}">
                <c16:uniqueId val="{00000015-94DF-4C23-93D8-214239D33E5C}"/>
              </c:ext>
            </c:extLst>
          </c:dPt>
          <c:dPt>
            <c:idx val="11"/>
            <c:invertIfNegative val="0"/>
            <c:bubble3D val="0"/>
            <c:spPr>
              <a:gradFill>
                <a:gsLst>
                  <a:gs pos="60000">
                    <a:schemeClr val="accent1"/>
                  </a:gs>
                  <a:gs pos="98000">
                    <a:schemeClr val="accent4"/>
                  </a:gs>
                  <a:gs pos="74000">
                    <a:schemeClr val="accent4"/>
                  </a:gs>
                  <a:gs pos="0">
                    <a:srgbClr val="669900"/>
                  </a:gs>
                  <a:gs pos="36000">
                    <a:srgbClr val="7030A0"/>
                  </a:gs>
                  <a:gs pos="20000">
                    <a:srgbClr val="669900"/>
                  </a:gs>
                </a:gsLst>
                <a:lin ang="5400000" scaled="1"/>
              </a:gradFill>
              <a:ln>
                <a:noFill/>
              </a:ln>
              <a:effectLst/>
            </c:spPr>
            <c:extLst>
              <c:ext xmlns:c16="http://schemas.microsoft.com/office/drawing/2014/chart" uri="{C3380CC4-5D6E-409C-BE32-E72D297353CC}">
                <c16:uniqueId val="{00000017-94DF-4C23-93D8-214239D33E5C}"/>
              </c:ext>
            </c:extLst>
          </c:dPt>
          <c:dPt>
            <c:idx val="12"/>
            <c:invertIfNegative val="0"/>
            <c:bubble3D val="0"/>
            <c:spPr>
              <a:solidFill>
                <a:srgbClr val="948A54"/>
              </a:solidFill>
              <a:ln>
                <a:noFill/>
              </a:ln>
              <a:effectLst/>
            </c:spPr>
            <c:extLst>
              <c:ext xmlns:c16="http://schemas.microsoft.com/office/drawing/2014/chart" uri="{C3380CC4-5D6E-409C-BE32-E72D297353CC}">
                <c16:uniqueId val="{00000019-94DF-4C23-93D8-214239D33E5C}"/>
              </c:ext>
            </c:extLst>
          </c:dPt>
          <c:cat>
            <c:strRef>
              <c:f>'Ch2. Cross filings'!$B$78:$B$90</c:f>
              <c:strCache>
                <c:ptCount val="13"/>
                <c:pt idx="0">
                  <c:v>CN-US</c:v>
                </c:pt>
                <c:pt idx="1">
                  <c:v>JP-US</c:v>
                </c:pt>
                <c:pt idx="2">
                  <c:v>EP-US</c:v>
                </c:pt>
                <c:pt idx="3">
                  <c:v>CN-EP-US</c:v>
                </c:pt>
                <c:pt idx="4">
                  <c:v>IP5</c:v>
                </c:pt>
                <c:pt idx="5">
                  <c:v>CN-EP-JP-US</c:v>
                </c:pt>
                <c:pt idx="6">
                  <c:v>KR-US</c:v>
                </c:pt>
                <c:pt idx="7">
                  <c:v>CN-JP-US</c:v>
                </c:pt>
                <c:pt idx="8">
                  <c:v>CN-JP</c:v>
                </c:pt>
                <c:pt idx="9">
                  <c:v>CN-EP</c:v>
                </c:pt>
                <c:pt idx="10">
                  <c:v>CN-KR-US</c:v>
                </c:pt>
                <c:pt idx="11">
                  <c:v>CN-EP-KR-US</c:v>
                </c:pt>
                <c:pt idx="12">
                  <c:v>others</c:v>
                </c:pt>
              </c:strCache>
            </c:strRef>
          </c:cat>
          <c:val>
            <c:numRef>
              <c:f>'Ch2. Cross filings'!$C$78:$C$90</c:f>
              <c:numCache>
                <c:formatCode>General</c:formatCode>
                <c:ptCount val="13"/>
                <c:pt idx="0" formatCode="#,##0">
                  <c:v>45009</c:v>
                </c:pt>
                <c:pt idx="1">
                  <c:v>40156</c:v>
                </c:pt>
                <c:pt idx="2">
                  <c:v>36580</c:v>
                </c:pt>
                <c:pt idx="3">
                  <c:v>32134</c:v>
                </c:pt>
                <c:pt idx="4">
                  <c:v>30082</c:v>
                </c:pt>
                <c:pt idx="5">
                  <c:v>21767</c:v>
                </c:pt>
                <c:pt idx="6">
                  <c:v>17157</c:v>
                </c:pt>
                <c:pt idx="7">
                  <c:v>15028</c:v>
                </c:pt>
                <c:pt idx="8">
                  <c:v>10069</c:v>
                </c:pt>
                <c:pt idx="9">
                  <c:v>9419</c:v>
                </c:pt>
                <c:pt idx="10">
                  <c:v>9075</c:v>
                </c:pt>
                <c:pt idx="11">
                  <c:v>8008</c:v>
                </c:pt>
                <c:pt idx="12">
                  <c:v>46263</c:v>
                </c:pt>
              </c:numCache>
            </c:numRef>
          </c:val>
          <c:extLst>
            <c:ext xmlns:c16="http://schemas.microsoft.com/office/drawing/2014/chart" uri="{C3380CC4-5D6E-409C-BE32-E72D297353CC}">
              <c16:uniqueId val="{0000001A-94DF-4C23-93D8-214239D33E5C}"/>
            </c:ext>
          </c:extLst>
        </c:ser>
        <c:dLbls>
          <c:showLegendKey val="0"/>
          <c:showVal val="0"/>
          <c:showCatName val="0"/>
          <c:showSerName val="0"/>
          <c:showPercent val="0"/>
          <c:showBubbleSize val="0"/>
        </c:dLbls>
        <c:gapWidth val="40"/>
        <c:overlap val="-27"/>
        <c:axId val="1784866784"/>
        <c:axId val="1784873856"/>
      </c:barChart>
      <c:catAx>
        <c:axId val="178486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lang="zh-CN" sz="1050" b="0" i="0" u="none" strike="noStrike" kern="1200" baseline="0">
                <a:solidFill>
                  <a:schemeClr val="tx1"/>
                </a:solidFill>
                <a:latin typeface="+mn-lt"/>
                <a:ea typeface="+mn-ea"/>
                <a:cs typeface="+mn-cs"/>
              </a:defRPr>
            </a:pPr>
            <a:endParaRPr lang="zh-CN"/>
          </a:p>
        </c:txPr>
        <c:crossAx val="1784873856"/>
        <c:crosses val="autoZero"/>
        <c:auto val="1"/>
        <c:lblAlgn val="ctr"/>
        <c:lblOffset val="100"/>
        <c:noMultiLvlLbl val="0"/>
      </c:catAx>
      <c:valAx>
        <c:axId val="1784873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4866784"/>
        <c:crosses val="autoZero"/>
        <c:crossBetween val="between"/>
      </c:valAx>
      <c:spPr>
        <a:noFill/>
        <a:ln>
          <a:noFill/>
        </a:ln>
        <a:effectLst/>
      </c:spPr>
    </c:plotArea>
    <c:plotVisOnly val="1"/>
    <c:dispBlanksAs val="gap"/>
    <c:showDLblsOverMax val="0"/>
    <c:extLst>
      <c:ext uri="{0b15fc19-7d7d-44ad-8c2d-2c3a37ce22c3}">
        <chartProps xmlns="https://web.wps.cn/et/2018/main" chartId="{be1f86b7-3fe5-4fd6-9a15-a2003c2baf5c}"/>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924612828952704E-2"/>
          <c:y val="0.15416666666666701"/>
          <c:w val="0.89876250517317702"/>
          <c:h val="0.573955843754825"/>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gradFill>
                <a:gsLst>
                  <a:gs pos="0">
                    <a:srgbClr val="669900"/>
                  </a:gs>
                  <a:gs pos="64000">
                    <a:schemeClr val="accent4"/>
                  </a:gs>
                  <a:gs pos="43000">
                    <a:srgbClr val="669900"/>
                  </a:gs>
                  <a:gs pos="100000">
                    <a:schemeClr val="accent4"/>
                  </a:gs>
                </a:gsLst>
                <a:lin ang="5400000" scaled="1"/>
              </a:gradFill>
              <a:ln>
                <a:noFill/>
              </a:ln>
              <a:effectLst/>
            </c:spPr>
            <c:extLst>
              <c:ext xmlns:c16="http://schemas.microsoft.com/office/drawing/2014/chart" uri="{C3380CC4-5D6E-409C-BE32-E72D297353CC}">
                <c16:uniqueId val="{00000001-6585-4A42-8B2C-1CA495DEB5CA}"/>
              </c:ext>
            </c:extLst>
          </c:dPt>
          <c:dPt>
            <c:idx val="1"/>
            <c:invertIfNegative val="0"/>
            <c:bubble3D val="0"/>
            <c:spPr>
              <a:gradFill>
                <a:gsLst>
                  <a:gs pos="0">
                    <a:srgbClr val="669900"/>
                  </a:gs>
                  <a:gs pos="60000">
                    <a:srgbClr val="C00000"/>
                  </a:gs>
                  <a:gs pos="40000">
                    <a:srgbClr val="669900"/>
                  </a:gs>
                  <a:gs pos="100000">
                    <a:srgbClr val="C00000"/>
                  </a:gs>
                </a:gsLst>
                <a:lin ang="5400000" scaled="1"/>
              </a:gradFill>
              <a:ln>
                <a:noFill/>
              </a:ln>
              <a:effectLst/>
            </c:spPr>
            <c:extLst>
              <c:ext xmlns:c16="http://schemas.microsoft.com/office/drawing/2014/chart" uri="{C3380CC4-5D6E-409C-BE32-E72D297353CC}">
                <c16:uniqueId val="{00000003-6585-4A42-8B2C-1CA495DEB5CA}"/>
              </c:ext>
            </c:extLst>
          </c:dPt>
          <c:dPt>
            <c:idx val="2"/>
            <c:invertIfNegative val="0"/>
            <c:bubble3D val="0"/>
            <c:spPr>
              <a:gradFill>
                <a:gsLst>
                  <a:gs pos="0">
                    <a:srgbClr val="669900"/>
                  </a:gs>
                  <a:gs pos="67000">
                    <a:srgbClr val="0070C0"/>
                  </a:gs>
                  <a:gs pos="39000">
                    <a:srgbClr val="669900"/>
                  </a:gs>
                  <a:gs pos="100000">
                    <a:srgbClr val="0070C0"/>
                  </a:gs>
                </a:gsLst>
                <a:lin ang="5400000" scaled="1"/>
              </a:gradFill>
              <a:ln>
                <a:noFill/>
              </a:ln>
              <a:effectLst/>
            </c:spPr>
            <c:extLst>
              <c:ext xmlns:c16="http://schemas.microsoft.com/office/drawing/2014/chart" uri="{C3380CC4-5D6E-409C-BE32-E72D297353CC}">
                <c16:uniqueId val="{00000005-6585-4A42-8B2C-1CA495DEB5CA}"/>
              </c:ext>
            </c:extLst>
          </c:dPt>
          <c:dPt>
            <c:idx val="3"/>
            <c:invertIfNegative val="0"/>
            <c:bubble3D val="0"/>
            <c:spPr>
              <a:gradFill>
                <a:gsLst>
                  <a:gs pos="0">
                    <a:srgbClr val="669900"/>
                  </a:gs>
                  <a:gs pos="75000">
                    <a:schemeClr val="accent4"/>
                  </a:gs>
                  <a:gs pos="65000">
                    <a:schemeClr val="accent1"/>
                  </a:gs>
                  <a:gs pos="39000">
                    <a:schemeClr val="accent1"/>
                  </a:gs>
                  <a:gs pos="100000">
                    <a:schemeClr val="accent4"/>
                  </a:gs>
                </a:gsLst>
                <a:lin ang="5400000" scaled="1"/>
              </a:gradFill>
              <a:ln>
                <a:noFill/>
              </a:ln>
              <a:effectLst/>
            </c:spPr>
            <c:extLst>
              <c:ext xmlns:c16="http://schemas.microsoft.com/office/drawing/2014/chart" uri="{C3380CC4-5D6E-409C-BE32-E72D297353CC}">
                <c16:uniqueId val="{00000007-6585-4A42-8B2C-1CA495DEB5CA}"/>
              </c:ext>
            </c:extLst>
          </c:dPt>
          <c:dPt>
            <c:idx val="4"/>
            <c:invertIfNegative val="0"/>
            <c:bubble3D val="0"/>
            <c:spPr>
              <a:solidFill>
                <a:srgbClr val="800000"/>
              </a:solidFill>
              <a:ln>
                <a:noFill/>
              </a:ln>
              <a:effectLst/>
            </c:spPr>
            <c:extLst>
              <c:ext xmlns:c16="http://schemas.microsoft.com/office/drawing/2014/chart" uri="{C3380CC4-5D6E-409C-BE32-E72D297353CC}">
                <c16:uniqueId val="{00000009-6585-4A42-8B2C-1CA495DEB5CA}"/>
              </c:ext>
            </c:extLst>
          </c:dPt>
          <c:dPt>
            <c:idx val="5"/>
            <c:invertIfNegative val="0"/>
            <c:bubble3D val="0"/>
            <c:spPr>
              <a:gradFill>
                <a:gsLst>
                  <a:gs pos="0">
                    <a:srgbClr val="669900"/>
                  </a:gs>
                  <a:gs pos="81000">
                    <a:srgbClr val="FFC000"/>
                  </a:gs>
                  <a:gs pos="18000">
                    <a:srgbClr val="669900"/>
                  </a:gs>
                  <a:gs pos="35500">
                    <a:srgbClr val="C00000"/>
                  </a:gs>
                  <a:gs pos="31000">
                    <a:srgbClr val="C00000"/>
                  </a:gs>
                  <a:gs pos="40000">
                    <a:srgbClr val="C00000"/>
                  </a:gs>
                  <a:gs pos="70000">
                    <a:schemeClr val="accent1"/>
                  </a:gs>
                  <a:gs pos="60000">
                    <a:schemeClr val="accent1"/>
                  </a:gs>
                  <a:gs pos="100000">
                    <a:schemeClr val="accent4"/>
                  </a:gs>
                </a:gsLst>
                <a:lin ang="5400000" scaled="1"/>
              </a:gradFill>
              <a:ln>
                <a:noFill/>
              </a:ln>
              <a:effectLst/>
            </c:spPr>
            <c:extLst>
              <c:ext xmlns:c16="http://schemas.microsoft.com/office/drawing/2014/chart" uri="{C3380CC4-5D6E-409C-BE32-E72D297353CC}">
                <c16:uniqueId val="{0000000B-6585-4A42-8B2C-1CA495DEB5CA}"/>
              </c:ext>
            </c:extLst>
          </c:dPt>
          <c:dPt>
            <c:idx val="6"/>
            <c:invertIfNegative val="0"/>
            <c:bubble3D val="0"/>
            <c:spPr>
              <a:gradFill>
                <a:gsLst>
                  <a:gs pos="0">
                    <a:srgbClr val="669900"/>
                  </a:gs>
                  <a:gs pos="45000">
                    <a:srgbClr val="669900"/>
                  </a:gs>
                  <a:gs pos="55000">
                    <a:srgbClr val="7030A0"/>
                  </a:gs>
                  <a:gs pos="100000">
                    <a:srgbClr val="7030A0"/>
                  </a:gs>
                </a:gsLst>
                <a:lin ang="5400000" scaled="1"/>
              </a:gradFill>
              <a:ln>
                <a:noFill/>
              </a:ln>
              <a:effectLst/>
            </c:spPr>
            <c:extLst>
              <c:ext xmlns:c16="http://schemas.microsoft.com/office/drawing/2014/chart" uri="{C3380CC4-5D6E-409C-BE32-E72D297353CC}">
                <c16:uniqueId val="{0000000D-6585-4A42-8B2C-1CA495DEB5CA}"/>
              </c:ext>
            </c:extLst>
          </c:dPt>
          <c:dPt>
            <c:idx val="7"/>
            <c:invertIfNegative val="0"/>
            <c:bubble3D val="0"/>
            <c:spPr>
              <a:gradFill>
                <a:gsLst>
                  <a:gs pos="0">
                    <a:srgbClr val="669900"/>
                  </a:gs>
                  <a:gs pos="28000">
                    <a:srgbClr val="669900"/>
                  </a:gs>
                  <a:gs pos="98000">
                    <a:schemeClr val="accent4"/>
                  </a:gs>
                  <a:gs pos="74000">
                    <a:schemeClr val="accent4"/>
                  </a:gs>
                  <a:gs pos="38000">
                    <a:srgbClr val="934D00"/>
                  </a:gs>
                  <a:gs pos="54000">
                    <a:srgbClr val="C00000"/>
                  </a:gs>
                </a:gsLst>
                <a:lin ang="5400000" scaled="1"/>
              </a:gradFill>
              <a:ln>
                <a:noFill/>
              </a:ln>
              <a:effectLst/>
            </c:spPr>
            <c:extLst>
              <c:ext xmlns:c16="http://schemas.microsoft.com/office/drawing/2014/chart" uri="{C3380CC4-5D6E-409C-BE32-E72D297353CC}">
                <c16:uniqueId val="{0000000F-6585-4A42-8B2C-1CA495DEB5CA}"/>
              </c:ext>
            </c:extLst>
          </c:dPt>
          <c:dPt>
            <c:idx val="8"/>
            <c:invertIfNegative val="0"/>
            <c:bubble3D val="0"/>
            <c:spPr>
              <a:gradFill>
                <a:gsLst>
                  <a:gs pos="98000">
                    <a:schemeClr val="accent4"/>
                  </a:gs>
                  <a:gs pos="74000">
                    <a:schemeClr val="accent4"/>
                  </a:gs>
                  <a:gs pos="0">
                    <a:srgbClr val="934D00"/>
                  </a:gs>
                  <a:gs pos="37000">
                    <a:srgbClr val="C00000"/>
                  </a:gs>
                </a:gsLst>
                <a:lin ang="5400000" scaled="1"/>
              </a:gradFill>
              <a:ln>
                <a:noFill/>
              </a:ln>
              <a:effectLst/>
            </c:spPr>
            <c:extLst>
              <c:ext xmlns:c16="http://schemas.microsoft.com/office/drawing/2014/chart" uri="{C3380CC4-5D6E-409C-BE32-E72D297353CC}">
                <c16:uniqueId val="{00000011-6585-4A42-8B2C-1CA495DEB5CA}"/>
              </c:ext>
            </c:extLst>
          </c:dPt>
          <c:dPt>
            <c:idx val="9"/>
            <c:invertIfNegative val="0"/>
            <c:bubble3D val="0"/>
            <c:spPr>
              <a:gradFill>
                <a:gsLst>
                  <a:gs pos="98000">
                    <a:schemeClr val="accent4"/>
                  </a:gs>
                  <a:gs pos="74000">
                    <a:schemeClr val="accent4"/>
                  </a:gs>
                  <a:gs pos="0">
                    <a:schemeClr val="accent1"/>
                  </a:gs>
                  <a:gs pos="37000">
                    <a:schemeClr val="accent1"/>
                  </a:gs>
                </a:gsLst>
                <a:lin ang="5400000" scaled="1"/>
              </a:gradFill>
              <a:ln>
                <a:noFill/>
              </a:ln>
              <a:effectLst/>
            </c:spPr>
            <c:extLst>
              <c:ext xmlns:c16="http://schemas.microsoft.com/office/drawing/2014/chart" uri="{C3380CC4-5D6E-409C-BE32-E72D297353CC}">
                <c16:uniqueId val="{00000013-6585-4A42-8B2C-1CA495DEB5CA}"/>
              </c:ext>
            </c:extLst>
          </c:dPt>
          <c:dPt>
            <c:idx val="10"/>
            <c:invertIfNegative val="0"/>
            <c:bubble3D val="0"/>
            <c:spPr>
              <a:gradFill>
                <a:gsLst>
                  <a:gs pos="98000">
                    <a:schemeClr val="accent4"/>
                  </a:gs>
                  <a:gs pos="74000">
                    <a:schemeClr val="accent4"/>
                  </a:gs>
                  <a:gs pos="0">
                    <a:srgbClr val="669900"/>
                  </a:gs>
                  <a:gs pos="36000">
                    <a:srgbClr val="7030A0"/>
                  </a:gs>
                  <a:gs pos="20000">
                    <a:srgbClr val="669900"/>
                  </a:gs>
                </a:gsLst>
                <a:lin ang="5400000" scaled="1"/>
              </a:gradFill>
              <a:ln>
                <a:noFill/>
              </a:ln>
              <a:effectLst/>
            </c:spPr>
            <c:extLst>
              <c:ext xmlns:c16="http://schemas.microsoft.com/office/drawing/2014/chart" uri="{C3380CC4-5D6E-409C-BE32-E72D297353CC}">
                <c16:uniqueId val="{00000015-6585-4A42-8B2C-1CA495DEB5CA}"/>
              </c:ext>
            </c:extLst>
          </c:dPt>
          <c:dPt>
            <c:idx val="11"/>
            <c:invertIfNegative val="0"/>
            <c:bubble3D val="0"/>
            <c:spPr>
              <a:gradFill>
                <a:gsLst>
                  <a:gs pos="60000">
                    <a:schemeClr val="accent1"/>
                  </a:gs>
                  <a:gs pos="98000">
                    <a:schemeClr val="accent4"/>
                  </a:gs>
                  <a:gs pos="74000">
                    <a:schemeClr val="accent4"/>
                  </a:gs>
                  <a:gs pos="0">
                    <a:srgbClr val="669900"/>
                  </a:gs>
                  <a:gs pos="36000">
                    <a:srgbClr val="7030A0"/>
                  </a:gs>
                  <a:gs pos="20000">
                    <a:srgbClr val="669900"/>
                  </a:gs>
                </a:gsLst>
                <a:lin ang="5400000" scaled="1"/>
              </a:gradFill>
              <a:ln>
                <a:noFill/>
              </a:ln>
              <a:effectLst/>
            </c:spPr>
            <c:extLst>
              <c:ext xmlns:c16="http://schemas.microsoft.com/office/drawing/2014/chart" uri="{C3380CC4-5D6E-409C-BE32-E72D297353CC}">
                <c16:uniqueId val="{00000017-6585-4A42-8B2C-1CA495DEB5CA}"/>
              </c:ext>
            </c:extLst>
          </c:dPt>
          <c:dPt>
            <c:idx val="12"/>
            <c:invertIfNegative val="0"/>
            <c:bubble3D val="0"/>
            <c:spPr>
              <a:solidFill>
                <a:srgbClr val="948A54"/>
              </a:solidFill>
              <a:ln>
                <a:noFill/>
              </a:ln>
              <a:effectLst/>
            </c:spPr>
            <c:extLst>
              <c:ext xmlns:c16="http://schemas.microsoft.com/office/drawing/2014/chart" uri="{C3380CC4-5D6E-409C-BE32-E72D297353CC}">
                <c16:uniqueId val="{00000019-6585-4A42-8B2C-1CA495DEB5CA}"/>
              </c:ext>
            </c:extLst>
          </c:dPt>
          <c:dLbls>
            <c:dLbl>
              <c:idx val="0"/>
              <c:tx>
                <c:rich>
                  <a:bodyPr/>
                  <a:lstStyle/>
                  <a:p>
                    <a:fld id="{7D356738-505B-4A33-9A26-7A4AC247DFA1}" type="CELLRANGE">
                      <a:rPr lang="en-US" altLang="zh-CN"/>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585-4A42-8B2C-1CA495DEB5CA}"/>
                </c:ext>
              </c:extLst>
            </c:dLbl>
            <c:dLbl>
              <c:idx val="1"/>
              <c:tx>
                <c:rich>
                  <a:bodyPr/>
                  <a:lstStyle/>
                  <a:p>
                    <a:fld id="{C5D2CF90-EA8A-4A34-9E8D-426E02463413}"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6585-4A42-8B2C-1CA495DEB5CA}"/>
                </c:ext>
              </c:extLst>
            </c:dLbl>
            <c:dLbl>
              <c:idx val="2"/>
              <c:tx>
                <c:rich>
                  <a:bodyPr/>
                  <a:lstStyle/>
                  <a:p>
                    <a:fld id="{9550EEB0-1FDB-4761-A348-D1A8093CAE87}"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6585-4A42-8B2C-1CA495DEB5CA}"/>
                </c:ext>
              </c:extLst>
            </c:dLbl>
            <c:dLbl>
              <c:idx val="3"/>
              <c:tx>
                <c:rich>
                  <a:bodyPr/>
                  <a:lstStyle/>
                  <a:p>
                    <a:fld id="{30B2F2AB-CB82-4F64-B743-36BD6F364779}"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6585-4A42-8B2C-1CA495DEB5CA}"/>
                </c:ext>
              </c:extLst>
            </c:dLbl>
            <c:dLbl>
              <c:idx val="4"/>
              <c:tx>
                <c:rich>
                  <a:bodyPr/>
                  <a:lstStyle/>
                  <a:p>
                    <a:fld id="{1381050D-4B55-4D6A-8673-AC02E3B2AD88}"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6585-4A42-8B2C-1CA495DEB5CA}"/>
                </c:ext>
              </c:extLst>
            </c:dLbl>
            <c:dLbl>
              <c:idx val="5"/>
              <c:tx>
                <c:rich>
                  <a:bodyPr/>
                  <a:lstStyle/>
                  <a:p>
                    <a:fld id="{3F6633FA-2639-4351-A0F7-EC1E0E1E0EDB}"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6585-4A42-8B2C-1CA495DEB5CA}"/>
                </c:ext>
              </c:extLst>
            </c:dLbl>
            <c:dLbl>
              <c:idx val="6"/>
              <c:tx>
                <c:rich>
                  <a:bodyPr/>
                  <a:lstStyle/>
                  <a:p>
                    <a:fld id="{A0302CAE-85FB-40E9-854A-82A33938866A}"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6585-4A42-8B2C-1CA495DEB5CA}"/>
                </c:ext>
              </c:extLst>
            </c:dLbl>
            <c:dLbl>
              <c:idx val="7"/>
              <c:tx>
                <c:rich>
                  <a:bodyPr/>
                  <a:lstStyle/>
                  <a:p>
                    <a:fld id="{BB738B4A-E91E-43DB-A3CF-9043582A172A}"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6585-4A42-8B2C-1CA495DEB5CA}"/>
                </c:ext>
              </c:extLst>
            </c:dLbl>
            <c:dLbl>
              <c:idx val="8"/>
              <c:tx>
                <c:rich>
                  <a:bodyPr/>
                  <a:lstStyle/>
                  <a:p>
                    <a:fld id="{E8871C58-89EB-4E0B-BED3-94680D9ACBD3}"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6585-4A42-8B2C-1CA495DEB5CA}"/>
                </c:ext>
              </c:extLst>
            </c:dLbl>
            <c:dLbl>
              <c:idx val="9"/>
              <c:tx>
                <c:rich>
                  <a:bodyPr/>
                  <a:lstStyle/>
                  <a:p>
                    <a:fld id="{B555E205-7509-49CA-8F3B-4AD2EBE702D6}"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6585-4A42-8B2C-1CA495DEB5CA}"/>
                </c:ext>
              </c:extLst>
            </c:dLbl>
            <c:dLbl>
              <c:idx val="10"/>
              <c:tx>
                <c:rich>
                  <a:bodyPr/>
                  <a:lstStyle/>
                  <a:p>
                    <a:fld id="{4C63447D-B931-4CE4-9B98-6A36311F8F76}"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6585-4A42-8B2C-1CA495DEB5CA}"/>
                </c:ext>
              </c:extLst>
            </c:dLbl>
            <c:dLbl>
              <c:idx val="11"/>
              <c:tx>
                <c:rich>
                  <a:bodyPr/>
                  <a:lstStyle/>
                  <a:p>
                    <a:fld id="{3E90B2D2-DCFF-4BEF-83C1-9BC734E4ED6D}"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6585-4A42-8B2C-1CA495DEB5CA}"/>
                </c:ext>
              </c:extLst>
            </c:dLbl>
            <c:dLbl>
              <c:idx val="12"/>
              <c:tx>
                <c:rich>
                  <a:bodyPr/>
                  <a:lstStyle/>
                  <a:p>
                    <a:fld id="{F9187411-3AD2-4B53-B20C-CCC0131B707F}" type="CELLRANGE">
                      <a:rPr lang="zh-CN" altLang="en-US"/>
                      <a:pPr/>
                      <a:t>[CELLRANGE]</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6585-4A42-8B2C-1CA495DEB5CA}"/>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'Ch2. Cross filings'!$B$59:$B$71</c:f>
              <c:strCache>
                <c:ptCount val="13"/>
                <c:pt idx="0">
                  <c:v>CN-US</c:v>
                </c:pt>
                <c:pt idx="1">
                  <c:v>JP-US</c:v>
                </c:pt>
                <c:pt idx="2">
                  <c:v>EP-US</c:v>
                </c:pt>
                <c:pt idx="3">
                  <c:v>CN-EP-US</c:v>
                </c:pt>
                <c:pt idx="4">
                  <c:v>IP5</c:v>
                </c:pt>
                <c:pt idx="5">
                  <c:v>KR-US</c:v>
                </c:pt>
                <c:pt idx="6">
                  <c:v>CN-EP-JP-US</c:v>
                </c:pt>
                <c:pt idx="7">
                  <c:v>CN-JP-US</c:v>
                </c:pt>
                <c:pt idx="8">
                  <c:v>CN-EP</c:v>
                </c:pt>
                <c:pt idx="9">
                  <c:v>CN-JP</c:v>
                </c:pt>
                <c:pt idx="10">
                  <c:v>EP-JP-US</c:v>
                </c:pt>
                <c:pt idx="11">
                  <c:v>CN-KR-US</c:v>
                </c:pt>
                <c:pt idx="12">
                  <c:v>others</c:v>
                </c:pt>
              </c:strCache>
            </c:strRef>
          </c:cat>
          <c:val>
            <c:numRef>
              <c:f>'Ch2. Cross filings'!$C$59:$C$71</c:f>
              <c:numCache>
                <c:formatCode>General</c:formatCode>
                <c:ptCount val="13"/>
                <c:pt idx="0" formatCode="#,##0">
                  <c:v>46700</c:v>
                </c:pt>
                <c:pt idx="1">
                  <c:v>42968</c:v>
                </c:pt>
                <c:pt idx="2">
                  <c:v>38048</c:v>
                </c:pt>
                <c:pt idx="3">
                  <c:v>29348</c:v>
                </c:pt>
                <c:pt idx="4">
                  <c:v>24340</c:v>
                </c:pt>
                <c:pt idx="5">
                  <c:v>19131</c:v>
                </c:pt>
                <c:pt idx="6">
                  <c:v>18206</c:v>
                </c:pt>
                <c:pt idx="7">
                  <c:v>13996</c:v>
                </c:pt>
                <c:pt idx="8">
                  <c:v>11008</c:v>
                </c:pt>
                <c:pt idx="9">
                  <c:v>10041</c:v>
                </c:pt>
                <c:pt idx="10">
                  <c:v>9545</c:v>
                </c:pt>
                <c:pt idx="11">
                  <c:v>9364</c:v>
                </c:pt>
                <c:pt idx="12">
                  <c:v>53722</c:v>
                </c:pt>
              </c:numCache>
            </c:numRef>
          </c:val>
          <c:extLst>
            <c:ext xmlns:c15="http://schemas.microsoft.com/office/drawing/2012/chart" uri="{02D57815-91ED-43cb-92C2-25804820EDAC}">
              <c15:datalabelsRange>
                <c15:f>'Ch2. Cross filings'!$D$59:$D$71</c15:f>
                <c15:dlblRangeCache>
                  <c:ptCount val="13"/>
                  <c:pt idx="0">
                    <c:v>14%</c:v>
                  </c:pt>
                  <c:pt idx="1">
                    <c:v>13%</c:v>
                  </c:pt>
                  <c:pt idx="2">
                    <c:v>12%</c:v>
                  </c:pt>
                  <c:pt idx="3">
                    <c:v>9%</c:v>
                  </c:pt>
                  <c:pt idx="4">
                    <c:v>7%</c:v>
                  </c:pt>
                  <c:pt idx="5">
                    <c:v>6%</c:v>
                  </c:pt>
                  <c:pt idx="6">
                    <c:v>6%</c:v>
                  </c:pt>
                  <c:pt idx="7">
                    <c:v>4%</c:v>
                  </c:pt>
                  <c:pt idx="8">
                    <c:v>3%</c:v>
                  </c:pt>
                  <c:pt idx="9">
                    <c:v>3%</c:v>
                  </c:pt>
                  <c:pt idx="10">
                    <c:v>3%</c:v>
                  </c:pt>
                  <c:pt idx="11">
                    <c:v>3%</c:v>
                  </c:pt>
                  <c:pt idx="12">
                    <c:v>16%</c:v>
                  </c:pt>
                </c15:dlblRangeCache>
              </c15:datalabelsRange>
            </c:ext>
            <c:ext xmlns:c16="http://schemas.microsoft.com/office/drawing/2014/chart" uri="{C3380CC4-5D6E-409C-BE32-E72D297353CC}">
              <c16:uniqueId val="{0000001A-6585-4A42-8B2C-1CA495DEB5CA}"/>
            </c:ext>
          </c:extLst>
        </c:ser>
        <c:dLbls>
          <c:showLegendKey val="0"/>
          <c:showVal val="1"/>
          <c:showCatName val="0"/>
          <c:showSerName val="0"/>
          <c:showPercent val="0"/>
          <c:showBubbleSize val="0"/>
        </c:dLbls>
        <c:gapWidth val="40"/>
        <c:overlap val="-27"/>
        <c:axId val="1784866784"/>
        <c:axId val="1784873856"/>
      </c:barChart>
      <c:catAx>
        <c:axId val="1784866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lang="zh-CN" sz="1050" b="0" i="0" u="none" strike="noStrike" kern="1200" baseline="0">
                <a:solidFill>
                  <a:schemeClr val="tx1"/>
                </a:solidFill>
                <a:latin typeface="+mn-lt"/>
                <a:ea typeface="+mn-ea"/>
                <a:cs typeface="+mn-cs"/>
              </a:defRPr>
            </a:pPr>
            <a:endParaRPr lang="zh-CN"/>
          </a:p>
        </c:txPr>
        <c:crossAx val="1784873856"/>
        <c:crosses val="autoZero"/>
        <c:auto val="1"/>
        <c:lblAlgn val="ctr"/>
        <c:lblOffset val="100"/>
        <c:noMultiLvlLbl val="0"/>
      </c:catAx>
      <c:valAx>
        <c:axId val="17848738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4866784"/>
        <c:crosses val="autoZero"/>
        <c:crossBetween val="between"/>
      </c:valAx>
      <c:spPr>
        <a:noFill/>
        <a:ln>
          <a:noFill/>
        </a:ln>
        <a:effectLst/>
      </c:spPr>
    </c:plotArea>
    <c:plotVisOnly val="1"/>
    <c:dispBlanksAs val="gap"/>
    <c:showDLblsOverMax val="0"/>
    <c:extLst>
      <c:ext uri="{0b15fc19-7d7d-44ad-8c2d-2c3a37ce22c3}">
        <chartProps xmlns="https://web.wps.cn/et/2018/main" chartId="{be1f86b7-3fe5-4fd6-9a15-a2003c2baf5c}"/>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r>
              <a:rPr lang="en-US" sz="1800" b="1"/>
              <a:t>EPC states</a:t>
            </a:r>
          </a:p>
        </c:rich>
      </c:tx>
      <c:overlay val="0"/>
      <c:spPr>
        <a:noFill/>
        <a:ln>
          <a:noFill/>
        </a:ln>
        <a:effectLst/>
      </c:spPr>
      <c:txPr>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square"/>
            <c:size val="7"/>
            <c:spPr>
              <a:solidFill>
                <a:schemeClr val="bg1"/>
              </a:solidFill>
              <a:ln w="19050">
                <a:solidFill>
                  <a:schemeClr val="accent1"/>
                </a:solidFill>
              </a:ln>
              <a:effectLst/>
            </c:spPr>
          </c:marker>
          <c:dLbls>
            <c:spPr>
              <a:solidFill>
                <a:schemeClr val="bg1"/>
              </a:solid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filings'!$M$62:$AB$62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filings'!$M$63:$AB$63</c:f>
              <c:numCache>
                <c:formatCode>0%</c:formatCode>
                <c:ptCount val="16"/>
                <c:pt idx="0">
                  <c:v>0.57772587674936104</c:v>
                </c:pt>
                <c:pt idx="1">
                  <c:v>0.577547852694828</c:v>
                </c:pt>
                <c:pt idx="2">
                  <c:v>0.55597958579207596</c:v>
                </c:pt>
                <c:pt idx="3">
                  <c:v>0.56065925458080301</c:v>
                </c:pt>
                <c:pt idx="4">
                  <c:v>0.54793967096365503</c:v>
                </c:pt>
                <c:pt idx="5">
                  <c:v>0.54282457182254396</c:v>
                </c:pt>
                <c:pt idx="6">
                  <c:v>0.543883271141544</c:v>
                </c:pt>
                <c:pt idx="7">
                  <c:v>0.52354977374789402</c:v>
                </c:pt>
                <c:pt idx="8">
                  <c:v>0.53439797763784902</c:v>
                </c:pt>
                <c:pt idx="9">
                  <c:v>0.53936379471352203</c:v>
                </c:pt>
                <c:pt idx="10">
                  <c:v>0.53205306706977495</c:v>
                </c:pt>
                <c:pt idx="11">
                  <c:v>0.53475565959937199</c:v>
                </c:pt>
                <c:pt idx="12">
                  <c:v>0.53462827953213998</c:v>
                </c:pt>
                <c:pt idx="13">
                  <c:v>0.53</c:v>
                </c:pt>
                <c:pt idx="14">
                  <c:v>0.52134219645003899</c:v>
                </c:pt>
                <c:pt idx="15">
                  <c:v>0.51511736267876895</c:v>
                </c:pt>
              </c:numCache>
            </c:numRef>
          </c:val>
          <c:smooth val="0"/>
          <c:extLst>
            <c:ext xmlns:c16="http://schemas.microsoft.com/office/drawing/2014/chart" uri="{C3380CC4-5D6E-409C-BE32-E72D297353CC}">
              <c16:uniqueId val="{00000000-22C3-4683-B23F-D723743C6E4D}"/>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1784870592"/>
        <c:axId val="1784868416"/>
      </c:lineChart>
      <c:catAx>
        <c:axId val="178487059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784868416"/>
        <c:crosses val="autoZero"/>
        <c:auto val="1"/>
        <c:lblAlgn val="ctr"/>
        <c:lblOffset val="100"/>
        <c:noMultiLvlLbl val="0"/>
      </c:catAx>
      <c:valAx>
        <c:axId val="1784868416"/>
        <c:scaling>
          <c:orientation val="minMax"/>
          <c:max val="1"/>
          <c:min val="0"/>
        </c:scaling>
        <c:delete val="1"/>
        <c:axPos val="l"/>
        <c:numFmt formatCode="0%" sourceLinked="1"/>
        <c:majorTickMark val="none"/>
        <c:minorTickMark val="none"/>
        <c:tickLblPos val="nextTo"/>
        <c:crossAx val="1784870592"/>
        <c:crosses val="autoZero"/>
        <c:crossBetween val="midCat"/>
      </c:valAx>
      <c:spPr>
        <a:noFill/>
        <a:ln>
          <a:noFill/>
        </a:ln>
        <a:effectLst/>
      </c:spPr>
    </c:plotArea>
    <c:plotVisOnly val="1"/>
    <c:dispBlanksAs val="gap"/>
    <c:showDLblsOverMax val="0"/>
    <c:extLst>
      <c:ext uri="{0b15fc19-7d7d-44ad-8c2d-2c3a37ce22c3}">
        <chartProps xmlns="https://web.wps.cn/et/2018/main" chartId="{b7d076eb-86ee-4770-8f2a-d15ed6b93c84}"/>
      </c:ext>
    </c:extLst>
  </c:chart>
  <c:spPr>
    <a:solidFill>
      <a:srgbClr val="CCECFF"/>
    </a:solidFill>
    <a:ln w="9525" cap="flat" cmpd="sng" algn="ctr">
      <a:solidFill>
        <a:schemeClr val="tx1">
          <a:lumMod val="15000"/>
          <a:lumOff val="8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r>
              <a:rPr lang="en-US" sz="1800" b="1"/>
              <a:t>Japan</a:t>
            </a:r>
          </a:p>
        </c:rich>
      </c:tx>
      <c:overlay val="0"/>
      <c:spPr>
        <a:noFill/>
        <a:ln>
          <a:noFill/>
        </a:ln>
        <a:effectLst/>
      </c:spPr>
      <c:txPr>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FF0000"/>
              </a:solidFill>
              <a:round/>
            </a:ln>
            <a:effectLst/>
          </c:spPr>
          <c:marker>
            <c:symbol val="square"/>
            <c:size val="7"/>
            <c:spPr>
              <a:solidFill>
                <a:schemeClr val="bg1"/>
              </a:solidFill>
              <a:ln w="19050">
                <a:solidFill>
                  <a:srgbClr val="FF000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filings'!$M$62:$AB$62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filings'!$M$64:$AB$64</c:f>
              <c:numCache>
                <c:formatCode>0%</c:formatCode>
                <c:ptCount val="16"/>
                <c:pt idx="0">
                  <c:v>0.70548726077873503</c:v>
                </c:pt>
                <c:pt idx="1">
                  <c:v>0.68447348007369302</c:v>
                </c:pt>
                <c:pt idx="2">
                  <c:v>0.67947758990610796</c:v>
                </c:pt>
                <c:pt idx="3">
                  <c:v>0.652372170755954</c:v>
                </c:pt>
                <c:pt idx="4">
                  <c:v>0.643824114099531</c:v>
                </c:pt>
                <c:pt idx="5">
                  <c:v>0.64109559116760295</c:v>
                </c:pt>
                <c:pt idx="6">
                  <c:v>0.64080477032494298</c:v>
                </c:pt>
                <c:pt idx="7">
                  <c:v>0.62697667053731698</c:v>
                </c:pt>
                <c:pt idx="8">
                  <c:v>0.62825480818690904</c:v>
                </c:pt>
                <c:pt idx="9">
                  <c:v>0.62421977812894702</c:v>
                </c:pt>
                <c:pt idx="10">
                  <c:v>0.60807523270931896</c:v>
                </c:pt>
                <c:pt idx="11">
                  <c:v>0.59671604400392098</c:v>
                </c:pt>
                <c:pt idx="12">
                  <c:v>0.59231353585036195</c:v>
                </c:pt>
                <c:pt idx="13">
                  <c:v>0.6</c:v>
                </c:pt>
                <c:pt idx="14">
                  <c:v>0.59301019217303397</c:v>
                </c:pt>
                <c:pt idx="15">
                  <c:v>0.59984514084380203</c:v>
                </c:pt>
              </c:numCache>
            </c:numRef>
          </c:val>
          <c:smooth val="0"/>
          <c:extLst>
            <c:ext xmlns:c16="http://schemas.microsoft.com/office/drawing/2014/chart" uri="{C3380CC4-5D6E-409C-BE32-E72D297353CC}">
              <c16:uniqueId val="{00000000-E5D4-4ADD-B0E4-D53D58F28432}"/>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1784873312"/>
        <c:axId val="1784863520"/>
      </c:lineChart>
      <c:catAx>
        <c:axId val="178487331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784863520"/>
        <c:crosses val="autoZero"/>
        <c:auto val="1"/>
        <c:lblAlgn val="ctr"/>
        <c:lblOffset val="100"/>
        <c:noMultiLvlLbl val="0"/>
      </c:catAx>
      <c:valAx>
        <c:axId val="1784863520"/>
        <c:scaling>
          <c:orientation val="minMax"/>
          <c:max val="1"/>
          <c:min val="0"/>
        </c:scaling>
        <c:delete val="1"/>
        <c:axPos val="l"/>
        <c:numFmt formatCode="0%" sourceLinked="1"/>
        <c:majorTickMark val="none"/>
        <c:minorTickMark val="none"/>
        <c:tickLblPos val="nextTo"/>
        <c:crossAx val="1784873312"/>
        <c:crosses val="autoZero"/>
        <c:crossBetween val="midCat"/>
      </c:valAx>
      <c:spPr>
        <a:noFill/>
        <a:ln>
          <a:noFill/>
        </a:ln>
        <a:effectLst/>
      </c:spPr>
    </c:plotArea>
    <c:plotVisOnly val="1"/>
    <c:dispBlanksAs val="gap"/>
    <c:showDLblsOverMax val="0"/>
    <c:extLst>
      <c:ext uri="{0b15fc19-7d7d-44ad-8c2d-2c3a37ce22c3}">
        <chartProps xmlns="https://web.wps.cn/et/2018/main" chartId="{4af29697-76af-4312-973c-781d60cbce2b}"/>
      </c:ext>
    </c:extLst>
  </c:chart>
  <c:spPr>
    <a:solidFill>
      <a:srgbClr val="FCB7A2"/>
    </a:solidFill>
    <a:ln w="9525" cap="flat" cmpd="sng" algn="ctr">
      <a:solidFill>
        <a:schemeClr val="tx1">
          <a:lumMod val="15000"/>
          <a:lumOff val="8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2008</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6AF3-4ACB-ADA6-A8DCF84E4C1A}"/>
              </c:ext>
            </c:extLst>
          </c:dPt>
          <c:dPt>
            <c:idx val="1"/>
            <c:bubble3D val="0"/>
            <c:spPr>
              <a:solidFill>
                <a:srgbClr val="FF0000"/>
              </a:solidFill>
              <a:ln>
                <a:solidFill>
                  <a:schemeClr val="bg1"/>
                </a:solidFill>
              </a:ln>
            </c:spPr>
            <c:extLst>
              <c:ext xmlns:c16="http://schemas.microsoft.com/office/drawing/2014/chart" uri="{C3380CC4-5D6E-409C-BE32-E72D297353CC}">
                <c16:uniqueId val="{00000003-6AF3-4ACB-ADA6-A8DCF84E4C1A}"/>
              </c:ext>
            </c:extLst>
          </c:dPt>
          <c:dPt>
            <c:idx val="2"/>
            <c:bubble3D val="0"/>
            <c:spPr>
              <a:solidFill>
                <a:srgbClr val="7030A0"/>
              </a:solidFill>
              <a:ln>
                <a:solidFill>
                  <a:schemeClr val="bg1"/>
                </a:solidFill>
              </a:ln>
            </c:spPr>
            <c:extLst>
              <c:ext xmlns:c16="http://schemas.microsoft.com/office/drawing/2014/chart" uri="{C3380CC4-5D6E-409C-BE32-E72D297353CC}">
                <c16:uniqueId val="{00000005-6AF3-4ACB-ADA6-A8DCF84E4C1A}"/>
              </c:ext>
            </c:extLst>
          </c:dPt>
          <c:dPt>
            <c:idx val="3"/>
            <c:bubble3D val="0"/>
            <c:extLst>
              <c:ext xmlns:c16="http://schemas.microsoft.com/office/drawing/2014/chart" uri="{C3380CC4-5D6E-409C-BE32-E72D297353CC}">
                <c16:uniqueId val="{00000007-6AF3-4ACB-ADA6-A8DCF84E4C1A}"/>
              </c:ext>
            </c:extLst>
          </c:dPt>
          <c:dPt>
            <c:idx val="4"/>
            <c:bubble3D val="0"/>
            <c:spPr>
              <a:solidFill>
                <a:srgbClr val="008000"/>
              </a:solidFill>
              <a:ln>
                <a:solidFill>
                  <a:schemeClr val="bg1"/>
                </a:solidFill>
              </a:ln>
            </c:spPr>
            <c:extLst>
              <c:ext xmlns:c16="http://schemas.microsoft.com/office/drawing/2014/chart" uri="{C3380CC4-5D6E-409C-BE32-E72D297353CC}">
                <c16:uniqueId val="{00000009-6AF3-4ACB-ADA6-A8DCF84E4C1A}"/>
              </c:ext>
            </c:extLst>
          </c:dPt>
          <c:dPt>
            <c:idx val="5"/>
            <c:bubble3D val="0"/>
            <c:spPr>
              <a:solidFill>
                <a:schemeClr val="accent2"/>
              </a:solidFill>
              <a:ln>
                <a:solidFill>
                  <a:schemeClr val="bg1"/>
                </a:solidFill>
              </a:ln>
            </c:spPr>
            <c:extLst>
              <c:ext xmlns:c16="http://schemas.microsoft.com/office/drawing/2014/chart" uri="{C3380CC4-5D6E-409C-BE32-E72D297353CC}">
                <c16:uniqueId val="{0000000B-6AF3-4ACB-ADA6-A8DCF84E4C1A}"/>
              </c:ext>
            </c:extLst>
          </c:dPt>
          <c:dLbls>
            <c:dLbl>
              <c:idx val="0"/>
              <c:spPr>
                <a:noFill/>
                <a:ln>
                  <a:noFill/>
                </a:ln>
                <a:effectLst/>
              </c:spPr>
              <c:txPr>
                <a:bodyPr rot="0" spcFirstLastPara="0" vertOverflow="ellipsis" vert="horz" wrap="square" lIns="38100" tIns="19050" rIns="38100" bIns="19050" anchor="ctr" anchorCtr="1">
                  <a:no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1-6AF3-4ACB-ADA6-A8DCF84E4C1A}"/>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Patents-in-Force'!$B$8:$B$13</c:f>
              <c:numCache>
                <c:formatCode>#,##0</c:formatCode>
                <c:ptCount val="6"/>
                <c:pt idx="0">
                  <c:v>2365000</c:v>
                </c:pt>
                <c:pt idx="1">
                  <c:v>1270000</c:v>
                </c:pt>
                <c:pt idx="2">
                  <c:v>624000</c:v>
                </c:pt>
                <c:pt idx="4">
                  <c:v>1873000</c:v>
                </c:pt>
                <c:pt idx="5">
                  <c:v>630000</c:v>
                </c:pt>
              </c:numCache>
            </c:numRef>
          </c:val>
          <c:extLst>
            <c:ext xmlns:c16="http://schemas.microsoft.com/office/drawing/2014/chart" uri="{C3380CC4-5D6E-409C-BE32-E72D297353CC}">
              <c16:uniqueId val="{0000000C-6AF3-4ACB-ADA6-A8DCF84E4C1A}"/>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6AF3-4ACB-ADA6-A8DCF84E4C1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6AF3-4ACB-ADA6-A8DCF84E4C1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6AF3-4ACB-ADA6-A8DCF84E4C1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6AF3-4ACB-ADA6-A8DCF84E4C1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6AF3-4ACB-ADA6-A8DCF84E4C1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6AF3-4ACB-ADA6-A8DCF84E4C1A}"/>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6AF3-4ACB-ADA6-A8DCF84E4C1A}"/>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extLst>
      <c:ext uri="{0b15fc19-7d7d-44ad-8c2d-2c3a37ce22c3}">
        <chartProps xmlns="https://web.wps.cn/et/2018/main" chartId="{37ed7ff3-1560-49a4-b3b6-dd9b08a15e02}"/>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r>
              <a:rPr lang="en-US" sz="1800" b="1"/>
              <a:t>R. Korea</a:t>
            </a:r>
          </a:p>
        </c:rich>
      </c:tx>
      <c:overlay val="0"/>
      <c:spPr>
        <a:noFill/>
        <a:ln>
          <a:noFill/>
        </a:ln>
        <a:effectLst/>
      </c:spPr>
      <c:txPr>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7030A0"/>
              </a:solidFill>
              <a:round/>
            </a:ln>
            <a:effectLst/>
          </c:spPr>
          <c:marker>
            <c:symbol val="square"/>
            <c:size val="7"/>
            <c:spPr>
              <a:solidFill>
                <a:schemeClr val="bg1"/>
              </a:solidFill>
              <a:ln w="19050">
                <a:solidFill>
                  <a:srgbClr val="7030A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filings'!$M$62:$AB$62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filings'!$M$65:$AB$65</c:f>
              <c:numCache>
                <c:formatCode>0%</c:formatCode>
                <c:ptCount val="16"/>
                <c:pt idx="0">
                  <c:v>0.73364299855906101</c:v>
                </c:pt>
                <c:pt idx="1">
                  <c:v>0.76747531155189697</c:v>
                </c:pt>
                <c:pt idx="2">
                  <c:v>0.75337111812810498</c:v>
                </c:pt>
                <c:pt idx="3">
                  <c:v>0.74866766727573297</c:v>
                </c:pt>
                <c:pt idx="4">
                  <c:v>0.74520666828126303</c:v>
                </c:pt>
                <c:pt idx="5">
                  <c:v>0.73518983601713706</c:v>
                </c:pt>
                <c:pt idx="6">
                  <c:v>0.73364324217397803</c:v>
                </c:pt>
                <c:pt idx="7">
                  <c:v>0.72534812140870397</c:v>
                </c:pt>
                <c:pt idx="8">
                  <c:v>0.72477314136686799</c:v>
                </c:pt>
                <c:pt idx="9">
                  <c:v>0.73203237435040702</c:v>
                </c:pt>
                <c:pt idx="10">
                  <c:v>0.73509870530293697</c:v>
                </c:pt>
                <c:pt idx="11">
                  <c:v>0.728041500549096</c:v>
                </c:pt>
                <c:pt idx="12">
                  <c:v>0.72962734131113405</c:v>
                </c:pt>
                <c:pt idx="13">
                  <c:v>0.73133713887591301</c:v>
                </c:pt>
                <c:pt idx="14">
                  <c:v>0.71164477553420902</c:v>
                </c:pt>
                <c:pt idx="15">
                  <c:v>0.69866256930003701</c:v>
                </c:pt>
              </c:numCache>
            </c:numRef>
          </c:val>
          <c:smooth val="0"/>
          <c:extLst>
            <c:ext xmlns:c16="http://schemas.microsoft.com/office/drawing/2014/chart" uri="{C3380CC4-5D6E-409C-BE32-E72D297353CC}">
              <c16:uniqueId val="{00000000-BA6C-44BE-BDBB-4DD3B1E0CF4D}"/>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1784865152"/>
        <c:axId val="1784871136"/>
      </c:lineChart>
      <c:catAx>
        <c:axId val="178486515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784871136"/>
        <c:crosses val="autoZero"/>
        <c:auto val="1"/>
        <c:lblAlgn val="ctr"/>
        <c:lblOffset val="100"/>
        <c:noMultiLvlLbl val="0"/>
      </c:catAx>
      <c:valAx>
        <c:axId val="1784871136"/>
        <c:scaling>
          <c:orientation val="minMax"/>
          <c:max val="1"/>
          <c:min val="0"/>
        </c:scaling>
        <c:delete val="1"/>
        <c:axPos val="l"/>
        <c:numFmt formatCode="0%" sourceLinked="1"/>
        <c:majorTickMark val="none"/>
        <c:minorTickMark val="none"/>
        <c:tickLblPos val="nextTo"/>
        <c:crossAx val="1784865152"/>
        <c:crosses val="autoZero"/>
        <c:crossBetween val="midCat"/>
      </c:valAx>
      <c:spPr>
        <a:noFill/>
        <a:ln>
          <a:noFill/>
        </a:ln>
        <a:effectLst/>
      </c:spPr>
    </c:plotArea>
    <c:plotVisOnly val="1"/>
    <c:dispBlanksAs val="gap"/>
    <c:showDLblsOverMax val="0"/>
    <c:extLst>
      <c:ext uri="{0b15fc19-7d7d-44ad-8c2d-2c3a37ce22c3}">
        <chartProps xmlns="https://web.wps.cn/et/2018/main" chartId="{ac2a00dc-9f56-4039-9e78-51a996af0728}"/>
      </c:ext>
    </c:extLst>
  </c:chart>
  <c:spPr>
    <a:solidFill>
      <a:srgbClr val="AB8CF8"/>
    </a:solidFill>
    <a:ln w="9525" cap="flat" cmpd="sng" algn="ctr">
      <a:solidFill>
        <a:schemeClr val="tx1">
          <a:lumMod val="15000"/>
          <a:lumOff val="8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r>
              <a:rPr lang="en-US" sz="1800" b="1"/>
              <a:t>P.R. China</a:t>
            </a:r>
          </a:p>
        </c:rich>
      </c:tx>
      <c:overlay val="0"/>
      <c:spPr>
        <a:noFill/>
        <a:ln>
          <a:noFill/>
        </a:ln>
        <a:effectLst/>
      </c:spPr>
      <c:txPr>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FFC000"/>
              </a:solidFill>
              <a:round/>
            </a:ln>
            <a:effectLst/>
          </c:spPr>
          <c:marker>
            <c:symbol val="square"/>
            <c:size val="7"/>
            <c:spPr>
              <a:solidFill>
                <a:schemeClr val="bg1"/>
              </a:solidFill>
              <a:ln w="19050">
                <a:solidFill>
                  <a:srgbClr val="FFC00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filings'!$M$62:$AB$62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filings'!$M$66:$AB$66</c:f>
              <c:numCache>
                <c:formatCode>0%</c:formatCode>
                <c:ptCount val="16"/>
                <c:pt idx="0">
                  <c:v>0.93495025066306903</c:v>
                </c:pt>
                <c:pt idx="1">
                  <c:v>0.93632194366231802</c:v>
                </c:pt>
                <c:pt idx="2">
                  <c:v>0.93425107277596997</c:v>
                </c:pt>
                <c:pt idx="3">
                  <c:v>0.941376256849073</c:v>
                </c:pt>
                <c:pt idx="4">
                  <c:v>0.947709746617449</c:v>
                </c:pt>
                <c:pt idx="5">
                  <c:v>0.952988146241604</c:v>
                </c:pt>
                <c:pt idx="6">
                  <c:v>0.95108220258794296</c:v>
                </c:pt>
                <c:pt idx="7">
                  <c:v>0.95383029567506805</c:v>
                </c:pt>
                <c:pt idx="8">
                  <c:v>0.94859242190043602</c:v>
                </c:pt>
                <c:pt idx="9">
                  <c:v>0.94431180776546497</c:v>
                </c:pt>
                <c:pt idx="10">
                  <c:v>0.94347397683293099</c:v>
                </c:pt>
                <c:pt idx="11">
                  <c:v>0.92982330135729796</c:v>
                </c:pt>
                <c:pt idx="12">
                  <c:v>0.92256554107895306</c:v>
                </c:pt>
                <c:pt idx="13">
                  <c:v>0.92</c:v>
                </c:pt>
                <c:pt idx="14">
                  <c:v>0.92322072339126504</c:v>
                </c:pt>
                <c:pt idx="15">
                  <c:v>0.92378409754664004</c:v>
                </c:pt>
              </c:numCache>
            </c:numRef>
          </c:val>
          <c:smooth val="0"/>
          <c:extLst>
            <c:ext xmlns:c16="http://schemas.microsoft.com/office/drawing/2014/chart" uri="{C3380CC4-5D6E-409C-BE32-E72D297353CC}">
              <c16:uniqueId val="{00000000-F614-4CA7-808E-03FA19FEC26F}"/>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1784865696"/>
        <c:axId val="1784875488"/>
      </c:lineChart>
      <c:catAx>
        <c:axId val="178486569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784875488"/>
        <c:crosses val="autoZero"/>
        <c:auto val="1"/>
        <c:lblAlgn val="ctr"/>
        <c:lblOffset val="100"/>
        <c:noMultiLvlLbl val="0"/>
      </c:catAx>
      <c:valAx>
        <c:axId val="1784875488"/>
        <c:scaling>
          <c:orientation val="minMax"/>
          <c:max val="1"/>
          <c:min val="0"/>
        </c:scaling>
        <c:delete val="1"/>
        <c:axPos val="l"/>
        <c:numFmt formatCode="0%" sourceLinked="1"/>
        <c:majorTickMark val="none"/>
        <c:minorTickMark val="none"/>
        <c:tickLblPos val="nextTo"/>
        <c:crossAx val="1784865696"/>
        <c:crosses val="autoZero"/>
        <c:crossBetween val="midCat"/>
      </c:valAx>
      <c:spPr>
        <a:noFill/>
        <a:ln>
          <a:noFill/>
        </a:ln>
        <a:effectLst/>
      </c:spPr>
    </c:plotArea>
    <c:plotVisOnly val="1"/>
    <c:dispBlanksAs val="gap"/>
    <c:showDLblsOverMax val="0"/>
    <c:extLst>
      <c:ext uri="{0b15fc19-7d7d-44ad-8c2d-2c3a37ce22c3}">
        <chartProps xmlns="https://web.wps.cn/et/2018/main" chartId="{6499943a-3001-40ce-a5a3-60e4b3021b49}"/>
      </c:ext>
    </c:extLst>
  </c:chart>
  <c:spPr>
    <a:solidFill>
      <a:schemeClr val="accent4">
        <a:lumMod val="20000"/>
        <a:lumOff val="80000"/>
      </a:schemeClr>
    </a:solidFill>
    <a:ln w="9525" cap="flat" cmpd="sng" algn="ctr">
      <a:solidFill>
        <a:schemeClr val="tx1">
          <a:lumMod val="15000"/>
          <a:lumOff val="8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r>
              <a:rPr lang="en-US" sz="1800" b="1"/>
              <a:t>U.S.</a:t>
            </a:r>
          </a:p>
        </c:rich>
      </c:tx>
      <c:overlay val="0"/>
      <c:spPr>
        <a:noFill/>
        <a:ln>
          <a:noFill/>
        </a:ln>
        <a:effectLst/>
      </c:spPr>
      <c:txPr>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rgbClr val="008000"/>
              </a:solidFill>
              <a:round/>
            </a:ln>
            <a:effectLst/>
          </c:spPr>
          <c:marker>
            <c:symbol val="square"/>
            <c:size val="7"/>
            <c:spPr>
              <a:solidFill>
                <a:schemeClr val="bg1"/>
              </a:solidFill>
              <a:ln w="19050">
                <a:solidFill>
                  <a:srgbClr val="008000"/>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filings'!$M$62:$AB$62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filings'!$M$67:$AB$67</c:f>
              <c:numCache>
                <c:formatCode>0%</c:formatCode>
                <c:ptCount val="16"/>
                <c:pt idx="0">
                  <c:v>0.68246085958762304</c:v>
                </c:pt>
                <c:pt idx="1">
                  <c:v>0.706733926332756</c:v>
                </c:pt>
                <c:pt idx="2">
                  <c:v>0.69660328454101705</c:v>
                </c:pt>
                <c:pt idx="3">
                  <c:v>0.68229215760203599</c:v>
                </c:pt>
                <c:pt idx="4">
                  <c:v>0.68210321758868597</c:v>
                </c:pt>
                <c:pt idx="5">
                  <c:v>0.68421786663429696</c:v>
                </c:pt>
                <c:pt idx="6">
                  <c:v>0.67387751202596502</c:v>
                </c:pt>
                <c:pt idx="7">
                  <c:v>0.67894967496895797</c:v>
                </c:pt>
                <c:pt idx="8">
                  <c:v>0.67120161280097401</c:v>
                </c:pt>
                <c:pt idx="9">
                  <c:v>0.67435937875704899</c:v>
                </c:pt>
                <c:pt idx="10">
                  <c:v>0.66311588080589201</c:v>
                </c:pt>
                <c:pt idx="11">
                  <c:v>0.65662910066191904</c:v>
                </c:pt>
                <c:pt idx="12">
                  <c:v>0.64907298775780897</c:v>
                </c:pt>
                <c:pt idx="13">
                  <c:v>0.63</c:v>
                </c:pt>
                <c:pt idx="14">
                  <c:v>0.62111119477766297</c:v>
                </c:pt>
                <c:pt idx="15">
                  <c:v>0.65645343788648303</c:v>
                </c:pt>
              </c:numCache>
            </c:numRef>
          </c:val>
          <c:smooth val="0"/>
          <c:extLst>
            <c:ext xmlns:c16="http://schemas.microsoft.com/office/drawing/2014/chart" uri="{C3380CC4-5D6E-409C-BE32-E72D297353CC}">
              <c16:uniqueId val="{00000000-E0C0-4A0E-9845-EB92F8F6E2A3}"/>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1784871680"/>
        <c:axId val="1784866240"/>
      </c:lineChart>
      <c:catAx>
        <c:axId val="178487168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784866240"/>
        <c:crosses val="autoZero"/>
        <c:auto val="1"/>
        <c:lblAlgn val="ctr"/>
        <c:lblOffset val="100"/>
        <c:noMultiLvlLbl val="0"/>
      </c:catAx>
      <c:valAx>
        <c:axId val="1784866240"/>
        <c:scaling>
          <c:orientation val="minMax"/>
          <c:max val="1"/>
          <c:min val="0"/>
        </c:scaling>
        <c:delete val="1"/>
        <c:axPos val="l"/>
        <c:numFmt formatCode="0%" sourceLinked="1"/>
        <c:majorTickMark val="none"/>
        <c:minorTickMark val="none"/>
        <c:tickLblPos val="nextTo"/>
        <c:crossAx val="1784871680"/>
        <c:crosses val="autoZero"/>
        <c:crossBetween val="midCat"/>
      </c:valAx>
      <c:spPr>
        <a:noFill/>
        <a:ln>
          <a:noFill/>
        </a:ln>
        <a:effectLst/>
      </c:spPr>
    </c:plotArea>
    <c:plotVisOnly val="1"/>
    <c:dispBlanksAs val="gap"/>
    <c:showDLblsOverMax val="0"/>
    <c:extLst>
      <c:ext uri="{0b15fc19-7d7d-44ad-8c2d-2c3a37ce22c3}">
        <chartProps xmlns="https://web.wps.cn/et/2018/main" chartId="{389e21dd-baf6-4a3a-a1f8-c5c2a5f5b86d}"/>
      </c:ext>
    </c:extLst>
  </c:chart>
  <c:spPr>
    <a:solidFill>
      <a:schemeClr val="accent6">
        <a:lumMod val="20000"/>
        <a:lumOff val="80000"/>
      </a:schemeClr>
    </a:solidFill>
    <a:ln w="9525" cap="flat" cmpd="sng" algn="ctr">
      <a:solidFill>
        <a:schemeClr val="tx1">
          <a:lumMod val="15000"/>
          <a:lumOff val="8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r>
              <a:rPr lang="en-US" sz="1800" b="1"/>
              <a:t>Others</a:t>
            </a:r>
          </a:p>
        </c:rich>
      </c:tx>
      <c:overlay val="0"/>
      <c:spPr>
        <a:noFill/>
        <a:ln>
          <a:noFill/>
        </a:ln>
        <a:effectLst/>
      </c:spPr>
      <c:txPr>
        <a:bodyPr rot="0" spcFirstLastPara="1" vertOverflow="ellipsis" vert="horz" wrap="square" anchor="ctr" anchorCtr="1"/>
        <a:lstStyle/>
        <a:p>
          <a:pPr>
            <a:defRPr lang="zh-CN" sz="1800" b="1" i="0" u="none" strike="noStrike" kern="1200" spc="0" baseline="0">
              <a:solidFill>
                <a:schemeClr val="tx1"/>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2"/>
              </a:solidFill>
              <a:round/>
            </a:ln>
            <a:effectLst/>
          </c:spPr>
          <c:marker>
            <c:symbol val="square"/>
            <c:size val="7"/>
            <c:spPr>
              <a:solidFill>
                <a:schemeClr val="bg1"/>
              </a:solidFill>
              <a:ln w="19050">
                <a:solidFill>
                  <a:schemeClr val="accent2"/>
                </a:solidFill>
              </a:ln>
              <a:effectLst/>
            </c:spPr>
          </c:marker>
          <c:dLbls>
            <c:spPr>
              <a:solidFill>
                <a:schemeClr val="bg1"/>
              </a:solid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filings'!$M$62:$AB$62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filings'!$M$68:$AB$68</c:f>
              <c:numCache>
                <c:formatCode>0%</c:formatCode>
                <c:ptCount val="16"/>
                <c:pt idx="0">
                  <c:v>0.52645295600043795</c:v>
                </c:pt>
                <c:pt idx="1">
                  <c:v>0.60565930956423297</c:v>
                </c:pt>
                <c:pt idx="2">
                  <c:v>0.53664187380362105</c:v>
                </c:pt>
                <c:pt idx="3">
                  <c:v>0.52089923262600402</c:v>
                </c:pt>
                <c:pt idx="4">
                  <c:v>0.53709573491795903</c:v>
                </c:pt>
                <c:pt idx="5">
                  <c:v>0.54896506084633401</c:v>
                </c:pt>
                <c:pt idx="6">
                  <c:v>0.53531621830133402</c:v>
                </c:pt>
                <c:pt idx="7">
                  <c:v>0.51134873110920998</c:v>
                </c:pt>
                <c:pt idx="8">
                  <c:v>0.54292802228021098</c:v>
                </c:pt>
                <c:pt idx="9">
                  <c:v>0.53322054752383896</c:v>
                </c:pt>
                <c:pt idx="10">
                  <c:v>0.52120549001377603</c:v>
                </c:pt>
                <c:pt idx="11">
                  <c:v>0.474520823504404</c:v>
                </c:pt>
                <c:pt idx="12">
                  <c:v>0.51150368117797695</c:v>
                </c:pt>
                <c:pt idx="13">
                  <c:v>0.48905817846571897</c:v>
                </c:pt>
                <c:pt idx="14">
                  <c:v>0.54176123240073104</c:v>
                </c:pt>
                <c:pt idx="15">
                  <c:v>0.58783991544153003</c:v>
                </c:pt>
              </c:numCache>
            </c:numRef>
          </c:val>
          <c:smooth val="0"/>
          <c:extLst>
            <c:ext xmlns:c16="http://schemas.microsoft.com/office/drawing/2014/chart" uri="{C3380CC4-5D6E-409C-BE32-E72D297353CC}">
              <c16:uniqueId val="{00000000-D47E-42EF-9C84-A902502F3722}"/>
            </c:ext>
          </c:extLst>
        </c:ser>
        <c:dLbls>
          <c:showLegendKey val="0"/>
          <c:showVal val="0"/>
          <c:showCatName val="0"/>
          <c:showSerName val="0"/>
          <c:showPercent val="0"/>
          <c:showBubbleSize val="0"/>
        </c:dLbls>
        <c:dropLines>
          <c:spPr>
            <a:ln w="19050" cap="flat" cmpd="sng" algn="ctr">
              <a:gradFill flip="none" rotWithShape="1">
                <a:gsLst>
                  <a:gs pos="0">
                    <a:schemeClr val="tx1"/>
                  </a:gs>
                  <a:gs pos="100000">
                    <a:schemeClr val="bg1">
                      <a:lumMod val="95000"/>
                    </a:schemeClr>
                  </a:gs>
                </a:gsLst>
                <a:path path="circle">
                  <a:fillToRect l="50000" t="-80000" r="50000" b="180000"/>
                </a:path>
                <a:tileRect/>
              </a:gradFill>
              <a:round/>
              <a:headEnd type="none"/>
              <a:tailEnd type="none"/>
            </a:ln>
            <a:effectLst/>
          </c:spPr>
        </c:dropLines>
        <c:marker val="1"/>
        <c:smooth val="0"/>
        <c:axId val="1784868960"/>
        <c:axId val="1784869504"/>
      </c:lineChart>
      <c:catAx>
        <c:axId val="178486896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784869504"/>
        <c:crosses val="autoZero"/>
        <c:auto val="1"/>
        <c:lblAlgn val="ctr"/>
        <c:lblOffset val="100"/>
        <c:noMultiLvlLbl val="0"/>
      </c:catAx>
      <c:valAx>
        <c:axId val="1784869504"/>
        <c:scaling>
          <c:orientation val="minMax"/>
          <c:max val="1"/>
          <c:min val="0"/>
        </c:scaling>
        <c:delete val="1"/>
        <c:axPos val="l"/>
        <c:numFmt formatCode="0%" sourceLinked="1"/>
        <c:majorTickMark val="none"/>
        <c:minorTickMark val="none"/>
        <c:tickLblPos val="nextTo"/>
        <c:crossAx val="1784868960"/>
        <c:crosses val="autoZero"/>
        <c:crossBetween val="midCat"/>
      </c:valAx>
      <c:spPr>
        <a:noFill/>
        <a:ln>
          <a:noFill/>
        </a:ln>
        <a:effectLst/>
      </c:spPr>
    </c:plotArea>
    <c:plotVisOnly val="1"/>
    <c:dispBlanksAs val="gap"/>
    <c:showDLblsOverMax val="0"/>
    <c:extLst>
      <c:ext uri="{0b15fc19-7d7d-44ad-8c2d-2c3a37ce22c3}">
        <chartProps xmlns="https://web.wps.cn/et/2018/main" chartId="{1892ed24-9c73-4612-860b-a9b9c3b490a8}"/>
      </c:ext>
    </c:extLst>
  </c:chart>
  <c:spPr>
    <a:solidFill>
      <a:schemeClr val="accent2">
        <a:lumMod val="20000"/>
        <a:lumOff val="80000"/>
      </a:schemeClr>
    </a:solidFill>
    <a:ln w="9525" cap="flat" cmpd="sng" algn="ctr">
      <a:solidFill>
        <a:schemeClr val="tx1">
          <a:lumMod val="15000"/>
          <a:lumOff val="8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 3.2: WORLDWIDE PATENT FILINGS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64332409291921E-2"/>
          <c:y val="0.112393966211875"/>
          <c:w val="0.96713351814161597"/>
          <c:h val="0.72071694600738401"/>
        </c:manualLayout>
      </c:layout>
      <c:barChart>
        <c:barDir val="col"/>
        <c:grouping val="stacked"/>
        <c:varyColors val="0"/>
        <c:ser>
          <c:idx val="5"/>
          <c:order val="0"/>
          <c:tx>
            <c:strRef>
              <c:f>'Ch3. Patent filings'!$B$48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filings'!$M$42:$AB$42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filings'!$M$48:$AB$48</c:f>
              <c:numCache>
                <c:formatCode>#,##0</c:formatCode>
                <c:ptCount val="16"/>
                <c:pt idx="0">
                  <c:v>127774</c:v>
                </c:pt>
                <c:pt idx="1">
                  <c:v>150195</c:v>
                </c:pt>
                <c:pt idx="2">
                  <c:v>141573</c:v>
                </c:pt>
                <c:pt idx="3">
                  <c:v>138785</c:v>
                </c:pt>
                <c:pt idx="4">
                  <c:v>153643</c:v>
                </c:pt>
                <c:pt idx="5">
                  <c:v>163198</c:v>
                </c:pt>
                <c:pt idx="6">
                  <c:v>159431</c:v>
                </c:pt>
                <c:pt idx="7">
                  <c:v>175350</c:v>
                </c:pt>
                <c:pt idx="8">
                  <c:v>170914</c:v>
                </c:pt>
                <c:pt idx="9">
                  <c:v>169052</c:v>
                </c:pt>
                <c:pt idx="10">
                  <c:v>176393</c:v>
                </c:pt>
                <c:pt idx="11">
                  <c:v>192883</c:v>
                </c:pt>
                <c:pt idx="12">
                  <c:v>199936</c:v>
                </c:pt>
                <c:pt idx="13">
                  <c:v>185481</c:v>
                </c:pt>
                <c:pt idx="14">
                  <c:v>199156</c:v>
                </c:pt>
                <c:pt idx="15">
                  <c:v>208140</c:v>
                </c:pt>
              </c:numCache>
            </c:numRef>
          </c:val>
          <c:extLst>
            <c:ext xmlns:c16="http://schemas.microsoft.com/office/drawing/2014/chart" uri="{C3380CC4-5D6E-409C-BE32-E72D297353CC}">
              <c16:uniqueId val="{00000000-1B77-4BE7-8224-ABE61C43A53C}"/>
            </c:ext>
          </c:extLst>
        </c:ser>
        <c:ser>
          <c:idx val="4"/>
          <c:order val="1"/>
          <c:tx>
            <c:strRef>
              <c:f>'Ch3. Patent filings'!$B$47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filings'!$M$42:$AB$42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filings'!$M$47:$AB$47</c:f>
              <c:numCache>
                <c:formatCode>#,##0</c:formatCode>
                <c:ptCount val="16"/>
                <c:pt idx="0">
                  <c:v>316361</c:v>
                </c:pt>
                <c:pt idx="1">
                  <c:v>301518</c:v>
                </c:pt>
                <c:pt idx="2">
                  <c:v>327169</c:v>
                </c:pt>
                <c:pt idx="3">
                  <c:v>339488</c:v>
                </c:pt>
                <c:pt idx="4">
                  <c:v>367418</c:v>
                </c:pt>
                <c:pt idx="5">
                  <c:v>387191</c:v>
                </c:pt>
                <c:pt idx="6">
                  <c:v>387287</c:v>
                </c:pt>
                <c:pt idx="7">
                  <c:v>383348</c:v>
                </c:pt>
                <c:pt idx="8">
                  <c:v>394345</c:v>
                </c:pt>
                <c:pt idx="9">
                  <c:v>386773</c:v>
                </c:pt>
                <c:pt idx="10">
                  <c:v>377569</c:v>
                </c:pt>
                <c:pt idx="11">
                  <c:v>378445</c:v>
                </c:pt>
                <c:pt idx="12">
                  <c:v>358841</c:v>
                </c:pt>
                <c:pt idx="13">
                  <c:v>355827</c:v>
                </c:pt>
                <c:pt idx="14">
                  <c:v>345286</c:v>
                </c:pt>
                <c:pt idx="15">
                  <c:v>380030</c:v>
                </c:pt>
              </c:numCache>
            </c:numRef>
          </c:val>
          <c:extLst>
            <c:ext xmlns:c16="http://schemas.microsoft.com/office/drawing/2014/chart" uri="{C3380CC4-5D6E-409C-BE32-E72D297353CC}">
              <c16:uniqueId val="{00000001-1B77-4BE7-8224-ABE61C43A53C}"/>
            </c:ext>
          </c:extLst>
        </c:ser>
        <c:ser>
          <c:idx val="3"/>
          <c:order val="2"/>
          <c:tx>
            <c:strRef>
              <c:f>'Ch3. Patent filings'!$B$46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filings'!$M$42:$AB$42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filings'!$M$46:$AB$46</c:f>
              <c:numCache>
                <c:formatCode>#,##0</c:formatCode>
                <c:ptCount val="16"/>
                <c:pt idx="0">
                  <c:v>130454</c:v>
                </c:pt>
                <c:pt idx="1">
                  <c:v>243993</c:v>
                </c:pt>
                <c:pt idx="2">
                  <c:v>312507</c:v>
                </c:pt>
                <c:pt idx="3">
                  <c:v>439293</c:v>
                </c:pt>
                <c:pt idx="4">
                  <c:v>562667</c:v>
                </c:pt>
                <c:pt idx="5">
                  <c:v>736644</c:v>
                </c:pt>
                <c:pt idx="6">
                  <c:v>839122</c:v>
                </c:pt>
                <c:pt idx="7">
                  <c:v>1011854</c:v>
                </c:pt>
                <c:pt idx="8">
                  <c:v>1265436</c:v>
                </c:pt>
                <c:pt idx="9">
                  <c:v>1318556</c:v>
                </c:pt>
                <c:pt idx="10">
                  <c:v>1476665</c:v>
                </c:pt>
                <c:pt idx="11">
                  <c:v>1336626</c:v>
                </c:pt>
                <c:pt idx="12">
                  <c:v>1456987</c:v>
                </c:pt>
                <c:pt idx="13">
                  <c:v>1545527</c:v>
                </c:pt>
                <c:pt idx="14">
                  <c:v>1585532</c:v>
                </c:pt>
                <c:pt idx="15">
                  <c:v>1646966</c:v>
                </c:pt>
              </c:numCache>
            </c:numRef>
          </c:val>
          <c:extLst>
            <c:ext xmlns:c16="http://schemas.microsoft.com/office/drawing/2014/chart" uri="{C3380CC4-5D6E-409C-BE32-E72D297353CC}">
              <c16:uniqueId val="{00000002-1B77-4BE7-8224-ABE61C43A53C}"/>
            </c:ext>
          </c:extLst>
        </c:ser>
        <c:ser>
          <c:idx val="2"/>
          <c:order val="3"/>
          <c:tx>
            <c:strRef>
              <c:f>'Ch3. Patent filings'!$B$45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filings'!$M$42:$AB$42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filings'!$M$45:$AB$45</c:f>
              <c:numCache>
                <c:formatCode>#,##0</c:formatCode>
                <c:ptCount val="16"/>
                <c:pt idx="0">
                  <c:v>170722</c:v>
                </c:pt>
                <c:pt idx="1">
                  <c:v>165462</c:v>
                </c:pt>
                <c:pt idx="2">
                  <c:v>174497</c:v>
                </c:pt>
                <c:pt idx="3">
                  <c:v>183888</c:v>
                </c:pt>
                <c:pt idx="4">
                  <c:v>198192</c:v>
                </c:pt>
                <c:pt idx="5">
                  <c:v>216608</c:v>
                </c:pt>
                <c:pt idx="6">
                  <c:v>222431</c:v>
                </c:pt>
                <c:pt idx="7">
                  <c:v>229374</c:v>
                </c:pt>
                <c:pt idx="8">
                  <c:v>223928</c:v>
                </c:pt>
                <c:pt idx="9">
                  <c:v>216097</c:v>
                </c:pt>
                <c:pt idx="10">
                  <c:v>219897</c:v>
                </c:pt>
                <c:pt idx="11">
                  <c:v>234021</c:v>
                </c:pt>
                <c:pt idx="12">
                  <c:v>246016</c:v>
                </c:pt>
                <c:pt idx="13">
                  <c:v>252614</c:v>
                </c:pt>
                <c:pt idx="14">
                  <c:v>255050</c:v>
                </c:pt>
                <c:pt idx="15">
                  <c:v>270743</c:v>
                </c:pt>
              </c:numCache>
            </c:numRef>
          </c:val>
          <c:extLst>
            <c:ext xmlns:c16="http://schemas.microsoft.com/office/drawing/2014/chart" uri="{C3380CC4-5D6E-409C-BE32-E72D297353CC}">
              <c16:uniqueId val="{00000003-1B77-4BE7-8224-ABE61C43A53C}"/>
            </c:ext>
          </c:extLst>
        </c:ser>
        <c:ser>
          <c:idx val="1"/>
          <c:order val="4"/>
          <c:tx>
            <c:strRef>
              <c:f>'Ch3. Patent filings'!$B$44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filings'!$M$42:$AB$42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filings'!$M$44:$AB$44</c:f>
              <c:numCache>
                <c:formatCode>#,##0</c:formatCode>
                <c:ptCount val="16"/>
                <c:pt idx="0">
                  <c:v>476285</c:v>
                </c:pt>
                <c:pt idx="1">
                  <c:v>412520</c:v>
                </c:pt>
                <c:pt idx="2">
                  <c:v>406424</c:v>
                </c:pt>
                <c:pt idx="3">
                  <c:v>416454</c:v>
                </c:pt>
                <c:pt idx="4">
                  <c:v>418021</c:v>
                </c:pt>
                <c:pt idx="5">
                  <c:v>393687</c:v>
                </c:pt>
                <c:pt idx="6">
                  <c:v>382867</c:v>
                </c:pt>
                <c:pt idx="7">
                  <c:v>378920</c:v>
                </c:pt>
                <c:pt idx="8">
                  <c:v>379093</c:v>
                </c:pt>
                <c:pt idx="9">
                  <c:v>378418</c:v>
                </c:pt>
                <c:pt idx="10">
                  <c:v>376113</c:v>
                </c:pt>
                <c:pt idx="11">
                  <c:v>367240</c:v>
                </c:pt>
                <c:pt idx="12">
                  <c:v>338309</c:v>
                </c:pt>
                <c:pt idx="13">
                  <c:v>325674</c:v>
                </c:pt>
                <c:pt idx="14">
                  <c:v>321325</c:v>
                </c:pt>
                <c:pt idx="15">
                  <c:v>333206</c:v>
                </c:pt>
              </c:numCache>
            </c:numRef>
          </c:val>
          <c:extLst>
            <c:ext xmlns:c16="http://schemas.microsoft.com/office/drawing/2014/chart" uri="{C3380CC4-5D6E-409C-BE32-E72D297353CC}">
              <c16:uniqueId val="{00000004-1B77-4BE7-8224-ABE61C43A53C}"/>
            </c:ext>
          </c:extLst>
        </c:ser>
        <c:ser>
          <c:idx val="0"/>
          <c:order val="5"/>
          <c:tx>
            <c:strRef>
              <c:f>'Ch3. Patent filings'!$B$43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filings'!$M$42:$AB$42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filings'!$M$43:$AB$43</c:f>
              <c:numCache>
                <c:formatCode>#,##0</c:formatCode>
                <c:ptCount val="16"/>
                <c:pt idx="0">
                  <c:v>271885</c:v>
                </c:pt>
                <c:pt idx="1">
                  <c:v>269943</c:v>
                </c:pt>
                <c:pt idx="2">
                  <c:v>263346</c:v>
                </c:pt>
                <c:pt idx="3">
                  <c:v>283411</c:v>
                </c:pt>
                <c:pt idx="4">
                  <c:v>292065</c:v>
                </c:pt>
                <c:pt idx="5">
                  <c:v>292986</c:v>
                </c:pt>
                <c:pt idx="6">
                  <c:v>295591</c:v>
                </c:pt>
                <c:pt idx="7">
                  <c:v>291489</c:v>
                </c:pt>
                <c:pt idx="8">
                  <c:v>303012</c:v>
                </c:pt>
                <c:pt idx="9">
                  <c:v>301978</c:v>
                </c:pt>
                <c:pt idx="10">
                  <c:v>301656</c:v>
                </c:pt>
                <c:pt idx="11">
                  <c:v>300728</c:v>
                </c:pt>
                <c:pt idx="12">
                  <c:v>290514</c:v>
                </c:pt>
                <c:pt idx="13">
                  <c:v>285853</c:v>
                </c:pt>
                <c:pt idx="14">
                  <c:v>282820</c:v>
                </c:pt>
                <c:pt idx="15">
                  <c:v>297241</c:v>
                </c:pt>
              </c:numCache>
            </c:numRef>
          </c:val>
          <c:extLst>
            <c:ext xmlns:c16="http://schemas.microsoft.com/office/drawing/2014/chart" uri="{C3380CC4-5D6E-409C-BE32-E72D297353CC}">
              <c16:uniqueId val="{00000005-1B77-4BE7-8224-ABE61C43A53C}"/>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filings'!$M$42:$AB$42</c:f>
              <c:numCache>
                <c:formatCode>General</c:formatCode>
                <c:ptCount val="16"/>
                <c:pt idx="0">
                  <c:v>2006</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'Ch3. Patent filings'!$M$49:$AB$49</c:f>
              <c:numCache>
                <c:formatCode>#,##0</c:formatCode>
                <c:ptCount val="16"/>
                <c:pt idx="0">
                  <c:v>1493481</c:v>
                </c:pt>
                <c:pt idx="1">
                  <c:v>1543631</c:v>
                </c:pt>
                <c:pt idx="2">
                  <c:v>1625516</c:v>
                </c:pt>
                <c:pt idx="3">
                  <c:v>1801319</c:v>
                </c:pt>
                <c:pt idx="4">
                  <c:v>1992006</c:v>
                </c:pt>
                <c:pt idx="5">
                  <c:v>2190314</c:v>
                </c:pt>
                <c:pt idx="6">
                  <c:v>2286729</c:v>
                </c:pt>
                <c:pt idx="7">
                  <c:v>2470335</c:v>
                </c:pt>
                <c:pt idx="8">
                  <c:v>2736728</c:v>
                </c:pt>
                <c:pt idx="9">
                  <c:v>2770874</c:v>
                </c:pt>
                <c:pt idx="10">
                  <c:v>2928293</c:v>
                </c:pt>
                <c:pt idx="11">
                  <c:v>2809943</c:v>
                </c:pt>
                <c:pt idx="12">
                  <c:v>2890603</c:v>
                </c:pt>
                <c:pt idx="13">
                  <c:v>2950976</c:v>
                </c:pt>
                <c:pt idx="14">
                  <c:v>2989169</c:v>
                </c:pt>
                <c:pt idx="15">
                  <c:v>3136326</c:v>
                </c:pt>
              </c:numCache>
            </c:numRef>
          </c:val>
          <c:extLst>
            <c:ext xmlns:c16="http://schemas.microsoft.com/office/drawing/2014/chart" uri="{C3380CC4-5D6E-409C-BE32-E72D297353CC}">
              <c16:uniqueId val="{00000006-1B77-4BE7-8224-ABE61C43A53C}"/>
            </c:ext>
          </c:extLst>
        </c:ser>
        <c:dLbls>
          <c:showLegendKey val="0"/>
          <c:showVal val="0"/>
          <c:showCatName val="0"/>
          <c:showSerName val="0"/>
          <c:showPercent val="0"/>
          <c:showBubbleSize val="0"/>
        </c:dLbls>
        <c:gapWidth val="10"/>
        <c:overlap val="100"/>
        <c:axId val="1784876032"/>
        <c:axId val="1784870048"/>
      </c:barChart>
      <c:catAx>
        <c:axId val="178487603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4870048"/>
        <c:crosses val="autoZero"/>
        <c:auto val="1"/>
        <c:lblAlgn val="ctr"/>
        <c:lblOffset val="100"/>
        <c:noMultiLvlLbl val="0"/>
      </c:catAx>
      <c:valAx>
        <c:axId val="1784870048"/>
        <c:scaling>
          <c:orientation val="minMax"/>
          <c:max val="3330000"/>
          <c:min val="-50000"/>
        </c:scaling>
        <c:delete val="0"/>
        <c:axPos val="l"/>
        <c:numFmt formatCode="#,##0" sourceLinked="1"/>
        <c:majorTickMark val="out"/>
        <c:minorTickMark val="none"/>
        <c:tickLblPos val="nextTo"/>
        <c:spPr>
          <a:noFill/>
          <a:ln>
            <a:noFill/>
          </a:ln>
          <a:effectLst/>
        </c:spPr>
        <c:txPr>
          <a:bodyPr rot="-60000000" spcFirstLastPara="0"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784876032"/>
        <c:crosses val="autoZero"/>
        <c:crossBetween val="between"/>
      </c:valAx>
      <c:spPr>
        <a:noFill/>
        <a:ln w="25400">
          <a:noFill/>
        </a:ln>
        <a:effectLst/>
      </c:spPr>
    </c:plotArea>
    <c:legend>
      <c:legendPos val="b"/>
      <c:legendEntry>
        <c:idx val="2"/>
        <c:delete val="1"/>
      </c:legendEntry>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4d764e91-1526-4063-8096-7311b4b4c147}"/>
      </c:ext>
    </c:extLst>
  </c:chart>
  <c:spPr>
    <a:solidFill>
      <a:schemeClr val="bg1"/>
    </a:solidFill>
    <a:ln w="9525" cap="flat" cmpd="sng" algn="ctr">
      <a:solidFill>
        <a:schemeClr val="tx1">
          <a:lumMod val="75000"/>
          <a:lumOff val="2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 3.1: WORLDWIDE PATENT FILINGS - FILING PROCEDURES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1532395235270399E-2"/>
          <c:y val="0.10311418586345"/>
          <c:w val="0.98356675702806495"/>
          <c:h val="0.72999660537065103"/>
        </c:manualLayout>
      </c:layout>
      <c:barChart>
        <c:barDir val="col"/>
        <c:grouping val="stacked"/>
        <c:varyColors val="0"/>
        <c:ser>
          <c:idx val="0"/>
          <c:order val="0"/>
          <c:tx>
            <c:strRef>
              <c:f>'Ch3. Patent filings'!$B$35</c:f>
              <c:strCache>
                <c:ptCount val="1"/>
                <c:pt idx="0">
                  <c:v>Direct national</c:v>
                </c:pt>
              </c:strCache>
            </c:strRef>
          </c:tx>
          <c:spPr>
            <a:solidFill>
              <a:srgbClr val="00B0F0"/>
            </a:solidFill>
            <a:ln>
              <a:noFill/>
            </a:ln>
            <a:effectLst/>
          </c:spPr>
          <c:invertIfNegative val="0"/>
          <c:dLbls>
            <c:numFmt formatCode="#,##0" sourceLinked="0"/>
            <c:spPr>
              <a:noFill/>
              <a:ln>
                <a:noFill/>
              </a:ln>
              <a:effectLst/>
            </c:spPr>
            <c:txPr>
              <a:bodyPr rot="-5400000" spcFirstLastPara="1" vertOverflow="ellipsis"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filings'!$C$34:$AB$34</c:f>
              <c:numCache>
                <c:formatCode>General</c:formatCode>
                <c:ptCount val="26"/>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'Ch3. Patent filings'!$C$35:$AB$35</c:f>
              <c:numCache>
                <c:formatCode>General</c:formatCode>
                <c:ptCount val="26"/>
                <c:pt idx="0">
                  <c:v>907686</c:v>
                </c:pt>
                <c:pt idx="1">
                  <c:v>905406</c:v>
                </c:pt>
                <c:pt idx="2">
                  <c:v>974456</c:v>
                </c:pt>
                <c:pt idx="3">
                  <c:v>1003732</c:v>
                </c:pt>
                <c:pt idx="4">
                  <c:v>1104657</c:v>
                </c:pt>
                <c:pt idx="5">
                  <c:v>1103560</c:v>
                </c:pt>
                <c:pt idx="6">
                  <c:v>1080582</c:v>
                </c:pt>
                <c:pt idx="7">
                  <c:v>1127238</c:v>
                </c:pt>
                <c:pt idx="8">
                  <c:v>1149981</c:v>
                </c:pt>
                <c:pt idx="9">
                  <c:v>1237028</c:v>
                </c:pt>
                <c:pt idx="10" formatCode="#,##0">
                  <c:v>1282384</c:v>
                </c:pt>
                <c:pt idx="11" formatCode="#,##0">
                  <c:v>1331777</c:v>
                </c:pt>
                <c:pt idx="12" formatCode="#,##0">
                  <c:v>1389232</c:v>
                </c:pt>
                <c:pt idx="13" formatCode="#,##0">
                  <c:v>1555711</c:v>
                </c:pt>
                <c:pt idx="14" formatCode="#,##0">
                  <c:v>1728578</c:v>
                </c:pt>
                <c:pt idx="15" formatCode="#,##0">
                  <c:v>1921441</c:v>
                </c:pt>
                <c:pt idx="16" formatCode="#,##0">
                  <c:v>2008933</c:v>
                </c:pt>
                <c:pt idx="17" formatCode="#,##0">
                  <c:v>2188932</c:v>
                </c:pt>
                <c:pt idx="18" formatCode="#,##0">
                  <c:v>2436257</c:v>
                </c:pt>
                <c:pt idx="19" formatCode="#,##0">
                  <c:v>2456411</c:v>
                </c:pt>
                <c:pt idx="20" formatCode="#,##0">
                  <c:v>2600036</c:v>
                </c:pt>
                <c:pt idx="21" formatCode="#,##0">
                  <c:v>2465543</c:v>
                </c:pt>
                <c:pt idx="22" formatCode="#,##0">
                  <c:v>2538782</c:v>
                </c:pt>
                <c:pt idx="23" formatCode="#,##0">
                  <c:v>2598438</c:v>
                </c:pt>
                <c:pt idx="24" formatCode="#,##0">
                  <c:v>2642997</c:v>
                </c:pt>
                <c:pt idx="25" formatCode="#,##0">
                  <c:v>2783286</c:v>
                </c:pt>
              </c:numCache>
            </c:numRef>
          </c:val>
          <c:extLst>
            <c:ext xmlns:c16="http://schemas.microsoft.com/office/drawing/2014/chart" uri="{C3380CC4-5D6E-409C-BE32-E72D297353CC}">
              <c16:uniqueId val="{00000000-0581-4F0F-B9F5-71842A0390C0}"/>
            </c:ext>
          </c:extLst>
        </c:ser>
        <c:ser>
          <c:idx val="1"/>
          <c:order val="1"/>
          <c:tx>
            <c:strRef>
              <c:f>'Ch3. Patent filings'!$B$36</c:f>
              <c:strCache>
                <c:ptCount val="1"/>
                <c:pt idx="0">
                  <c:v>Direct 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filings'!$C$34:$AB$34</c:f>
              <c:numCache>
                <c:formatCode>General</c:formatCode>
                <c:ptCount val="26"/>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'Ch3. Patent filings'!$C$36:$AB$36</c:f>
              <c:numCache>
                <c:formatCode>General</c:formatCode>
                <c:ptCount val="26"/>
                <c:pt idx="0">
                  <c:v>41258</c:v>
                </c:pt>
                <c:pt idx="1">
                  <c:v>45627</c:v>
                </c:pt>
                <c:pt idx="2">
                  <c:v>49385</c:v>
                </c:pt>
                <c:pt idx="3">
                  <c:v>50450</c:v>
                </c:pt>
                <c:pt idx="4">
                  <c:v>54843</c:v>
                </c:pt>
                <c:pt idx="5">
                  <c:v>57098</c:v>
                </c:pt>
                <c:pt idx="6">
                  <c:v>53268</c:v>
                </c:pt>
                <c:pt idx="7">
                  <c:v>56049</c:v>
                </c:pt>
                <c:pt idx="8">
                  <c:v>58784</c:v>
                </c:pt>
                <c:pt idx="9">
                  <c:v>61203</c:v>
                </c:pt>
                <c:pt idx="10" formatCode="#,##0">
                  <c:v>61434</c:v>
                </c:pt>
                <c:pt idx="11" formatCode="#,##0">
                  <c:v>56448</c:v>
                </c:pt>
                <c:pt idx="12" formatCode="#,##0">
                  <c:v>71945</c:v>
                </c:pt>
                <c:pt idx="13" formatCode="#,##0">
                  <c:v>63183</c:v>
                </c:pt>
                <c:pt idx="14" formatCode="#,##0">
                  <c:v>68097</c:v>
                </c:pt>
                <c:pt idx="15" formatCode="#,##0">
                  <c:v>64431</c:v>
                </c:pt>
                <c:pt idx="16" formatCode="#,##0">
                  <c:v>63733</c:v>
                </c:pt>
                <c:pt idx="17" formatCode="#,##0">
                  <c:v>64548</c:v>
                </c:pt>
                <c:pt idx="18" formatCode="#,##0">
                  <c:v>67559</c:v>
                </c:pt>
                <c:pt idx="19" formatCode="#,##0">
                  <c:v>70944</c:v>
                </c:pt>
                <c:pt idx="20" formatCode="#,##0">
                  <c:v>75478</c:v>
                </c:pt>
                <c:pt idx="21" formatCode="#,##0">
                  <c:v>79019</c:v>
                </c:pt>
                <c:pt idx="22" formatCode="#,##0">
                  <c:v>76930</c:v>
                </c:pt>
                <c:pt idx="23" formatCode="#,##0">
                  <c:v>75129</c:v>
                </c:pt>
                <c:pt idx="24" formatCode="#,##0">
                  <c:v>74049</c:v>
                </c:pt>
                <c:pt idx="25" formatCode="#,##0">
                  <c:v>79677</c:v>
                </c:pt>
              </c:numCache>
            </c:numRef>
          </c:val>
          <c:extLst>
            <c:ext xmlns:c16="http://schemas.microsoft.com/office/drawing/2014/chart" uri="{C3380CC4-5D6E-409C-BE32-E72D297353CC}">
              <c16:uniqueId val="{00000001-0581-4F0F-B9F5-71842A0390C0}"/>
            </c:ext>
          </c:extLst>
        </c:ser>
        <c:ser>
          <c:idx val="2"/>
          <c:order val="2"/>
          <c:tx>
            <c:strRef>
              <c:f>'Ch3. Patent filings'!$B$37</c:f>
              <c:strCache>
                <c:ptCount val="1"/>
                <c:pt idx="0">
                  <c:v>PCT international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filings'!$C$34:$AB$34</c:f>
              <c:numCache>
                <c:formatCode>General</c:formatCode>
                <c:ptCount val="26"/>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'Ch3. Patent filings'!$C$37:$AB$37</c:f>
              <c:numCache>
                <c:formatCode>General</c:formatCode>
                <c:ptCount val="26"/>
                <c:pt idx="0">
                  <c:v>47291</c:v>
                </c:pt>
                <c:pt idx="1">
                  <c:v>54422</c:v>
                </c:pt>
                <c:pt idx="2">
                  <c:v>67007</c:v>
                </c:pt>
                <c:pt idx="3">
                  <c:v>76358</c:v>
                </c:pt>
                <c:pt idx="4">
                  <c:v>93237</c:v>
                </c:pt>
                <c:pt idx="5">
                  <c:v>108230</c:v>
                </c:pt>
                <c:pt idx="6">
                  <c:v>110392</c:v>
                </c:pt>
                <c:pt idx="7">
                  <c:v>115204</c:v>
                </c:pt>
                <c:pt idx="8">
                  <c:v>122633</c:v>
                </c:pt>
                <c:pt idx="9">
                  <c:v>136752</c:v>
                </c:pt>
                <c:pt idx="10" formatCode="#,##0">
                  <c:v>149663</c:v>
                </c:pt>
                <c:pt idx="11" formatCode="#,##0">
                  <c:v>155400</c:v>
                </c:pt>
                <c:pt idx="12" formatCode="#,##0">
                  <c:v>164339</c:v>
                </c:pt>
                <c:pt idx="13" formatCode="#,##0">
                  <c:v>182425</c:v>
                </c:pt>
                <c:pt idx="14" formatCode="#,##0">
                  <c:v>195331</c:v>
                </c:pt>
                <c:pt idx="15" formatCode="#,##0">
                  <c:v>204442</c:v>
                </c:pt>
                <c:pt idx="16" formatCode="#,##0">
                  <c:v>214063</c:v>
                </c:pt>
                <c:pt idx="17" formatCode="#,##0">
                  <c:v>216855</c:v>
                </c:pt>
                <c:pt idx="18" formatCode="#,##0">
                  <c:v>232912</c:v>
                </c:pt>
                <c:pt idx="19" formatCode="#,##0">
                  <c:v>243519</c:v>
                </c:pt>
                <c:pt idx="20" formatCode="#,##0">
                  <c:v>252779</c:v>
                </c:pt>
                <c:pt idx="21" formatCode="#,##0">
                  <c:v>265381</c:v>
                </c:pt>
                <c:pt idx="22" formatCode="#,##0">
                  <c:v>274891</c:v>
                </c:pt>
                <c:pt idx="23" formatCode="#,##0">
                  <c:v>277409</c:v>
                </c:pt>
                <c:pt idx="24" formatCode="#,##0">
                  <c:v>272123</c:v>
                </c:pt>
                <c:pt idx="25" formatCode="#,##0">
                  <c:v>273363</c:v>
                </c:pt>
              </c:numCache>
            </c:numRef>
          </c:val>
          <c:extLst>
            <c:ext xmlns:c16="http://schemas.microsoft.com/office/drawing/2014/chart" uri="{C3380CC4-5D6E-409C-BE32-E72D297353CC}">
              <c16:uniqueId val="{00000002-0581-4F0F-B9F5-71842A0390C0}"/>
            </c:ext>
          </c:extLst>
        </c:ser>
        <c:ser>
          <c:idx val="3"/>
          <c:order val="3"/>
          <c:spPr>
            <a:no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filings'!$C$34:$AB$34</c:f>
              <c:numCache>
                <c:formatCode>General</c:formatCode>
                <c:ptCount val="26"/>
                <c:pt idx="0">
                  <c:v>1996</c:v>
                </c:pt>
                <c:pt idx="1">
                  <c:v>1997</c:v>
                </c:pt>
                <c:pt idx="2">
                  <c:v>1998</c:v>
                </c:pt>
                <c:pt idx="3">
                  <c:v>1999</c:v>
                </c:pt>
                <c:pt idx="4">
                  <c:v>2000</c:v>
                </c:pt>
                <c:pt idx="5">
                  <c:v>2001</c:v>
                </c:pt>
                <c:pt idx="6">
                  <c:v>2002</c:v>
                </c:pt>
                <c:pt idx="7">
                  <c:v>2003</c:v>
                </c:pt>
                <c:pt idx="8">
                  <c:v>2004</c:v>
                </c:pt>
                <c:pt idx="9">
                  <c:v>2005</c:v>
                </c:pt>
                <c:pt idx="10">
                  <c:v>2006</c:v>
                </c:pt>
                <c:pt idx="11">
                  <c:v>2009</c:v>
                </c:pt>
                <c:pt idx="12">
                  <c:v>2010</c:v>
                </c:pt>
                <c:pt idx="13">
                  <c:v>2011</c:v>
                </c:pt>
                <c:pt idx="14">
                  <c:v>2012</c:v>
                </c:pt>
                <c:pt idx="15">
                  <c:v>2013</c:v>
                </c:pt>
                <c:pt idx="16">
                  <c:v>2014</c:v>
                </c:pt>
                <c:pt idx="17">
                  <c:v>2015</c:v>
                </c:pt>
                <c:pt idx="18">
                  <c:v>2016</c:v>
                </c:pt>
                <c:pt idx="19">
                  <c:v>2017</c:v>
                </c:pt>
                <c:pt idx="20">
                  <c:v>2018</c:v>
                </c:pt>
                <c:pt idx="21">
                  <c:v>2019</c:v>
                </c:pt>
                <c:pt idx="22">
                  <c:v>2020</c:v>
                </c:pt>
                <c:pt idx="23">
                  <c:v>2021</c:v>
                </c:pt>
                <c:pt idx="24">
                  <c:v>2022</c:v>
                </c:pt>
                <c:pt idx="25">
                  <c:v>2023</c:v>
                </c:pt>
              </c:numCache>
            </c:numRef>
          </c:cat>
          <c:val>
            <c:numRef>
              <c:f>'Ch3. Patent filings'!$C$39:$AB$39</c:f>
              <c:numCache>
                <c:formatCode>0</c:formatCode>
                <c:ptCount val="26"/>
                <c:pt idx="0">
                  <c:v>996.23500000000001</c:v>
                </c:pt>
                <c:pt idx="1">
                  <c:v>1005.455</c:v>
                </c:pt>
                <c:pt idx="2">
                  <c:v>1090.848</c:v>
                </c:pt>
                <c:pt idx="3">
                  <c:v>1130.54</c:v>
                </c:pt>
                <c:pt idx="4">
                  <c:v>1252.7370000000001</c:v>
                </c:pt>
                <c:pt idx="5">
                  <c:v>1268.8879999999999</c:v>
                </c:pt>
                <c:pt idx="6">
                  <c:v>1244.242</c:v>
                </c:pt>
                <c:pt idx="7">
                  <c:v>1298.491</c:v>
                </c:pt>
                <c:pt idx="8">
                  <c:v>1331.3979999999999</c:v>
                </c:pt>
                <c:pt idx="9">
                  <c:v>1434.9829999999999</c:v>
                </c:pt>
                <c:pt idx="10">
                  <c:v>1493.481</c:v>
                </c:pt>
                <c:pt idx="11">
                  <c:v>1543.625</c:v>
                </c:pt>
                <c:pt idx="12">
                  <c:v>1625.5160000000001</c:v>
                </c:pt>
                <c:pt idx="13">
                  <c:v>1801.319</c:v>
                </c:pt>
                <c:pt idx="14">
                  <c:v>1992.0060000000001</c:v>
                </c:pt>
                <c:pt idx="15">
                  <c:v>2190.3139999999999</c:v>
                </c:pt>
                <c:pt idx="16">
                  <c:v>2286.7289999999998</c:v>
                </c:pt>
                <c:pt idx="17">
                  <c:v>2470.335</c:v>
                </c:pt>
                <c:pt idx="18">
                  <c:v>2736.7280000000001</c:v>
                </c:pt>
                <c:pt idx="19">
                  <c:v>2770.8739999999998</c:v>
                </c:pt>
                <c:pt idx="20">
                  <c:v>2928.2930000000001</c:v>
                </c:pt>
                <c:pt idx="21">
                  <c:v>2809.9430000000002</c:v>
                </c:pt>
                <c:pt idx="22">
                  <c:v>2890.6030000000001</c:v>
                </c:pt>
                <c:pt idx="23" formatCode="General">
                  <c:v>2951</c:v>
                </c:pt>
                <c:pt idx="24" formatCode="General">
                  <c:v>2989</c:v>
                </c:pt>
                <c:pt idx="25">
                  <c:v>3136.326</c:v>
                </c:pt>
              </c:numCache>
            </c:numRef>
          </c:val>
          <c:extLst>
            <c:ext xmlns:c16="http://schemas.microsoft.com/office/drawing/2014/chart" uri="{C3380CC4-5D6E-409C-BE32-E72D297353CC}">
              <c16:uniqueId val="{00000003-0581-4F0F-B9F5-71842A0390C0}"/>
            </c:ext>
          </c:extLst>
        </c:ser>
        <c:dLbls>
          <c:showLegendKey val="0"/>
          <c:showVal val="0"/>
          <c:showCatName val="0"/>
          <c:showSerName val="0"/>
          <c:showPercent val="0"/>
          <c:showBubbleSize val="0"/>
        </c:dLbls>
        <c:gapWidth val="10"/>
        <c:overlap val="100"/>
        <c:axId val="1788458768"/>
        <c:axId val="1788457136"/>
      </c:barChart>
      <c:catAx>
        <c:axId val="178845876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8457136"/>
        <c:crosses val="autoZero"/>
        <c:auto val="1"/>
        <c:lblAlgn val="ctr"/>
        <c:lblOffset val="100"/>
        <c:noMultiLvlLbl val="0"/>
      </c:catAx>
      <c:valAx>
        <c:axId val="1788457136"/>
        <c:scaling>
          <c:orientation val="minMax"/>
          <c:max val="3160000"/>
          <c:min val="-90000"/>
        </c:scaling>
        <c:delete val="1"/>
        <c:axPos val="l"/>
        <c:numFmt formatCode="General" sourceLinked="1"/>
        <c:majorTickMark val="out"/>
        <c:minorTickMark val="none"/>
        <c:tickLblPos val="nextTo"/>
        <c:crossAx val="1788458768"/>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899b81c9-60fc-4b2f-8df2-e67b99935a72}"/>
      </c:ext>
    </c:extLst>
  </c:chart>
  <c:spPr>
    <a:solidFill>
      <a:schemeClr val="bg1"/>
    </a:solidFill>
    <a:ln w="9525" cap="flat" cmpd="sng" algn="ctr">
      <a:solidFill>
        <a:schemeClr val="tx1">
          <a:lumMod val="75000"/>
          <a:lumOff val="2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 3.1: WORLDWIDE PATENT FILINGS - FILING PROCEDURES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64332409291921E-2"/>
          <c:y val="0.112393966211875"/>
          <c:w val="0.81502412040831196"/>
          <c:h val="0.77526241356774395"/>
        </c:manualLayout>
      </c:layout>
      <c:barChart>
        <c:barDir val="col"/>
        <c:grouping val="stacked"/>
        <c:varyColors val="0"/>
        <c:ser>
          <c:idx val="0"/>
          <c:order val="0"/>
          <c:tx>
            <c:strRef>
              <c:f>'Ch3. Patent filings'!$B$35</c:f>
              <c:strCache>
                <c:ptCount val="1"/>
                <c:pt idx="0">
                  <c:v>Direct national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filings'!$Q$34:$AB$34</c15:sqref>
                  </c15:fullRef>
                </c:ext>
              </c:extLst>
              <c:f>'Ch3. Patent filings'!$S$34:$AB$34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filings'!$Q$35:$AB$35</c15:sqref>
                  </c15:fullRef>
                </c:ext>
              </c:extLst>
              <c:f>'Ch3. Patent filings'!$S$35:$AB$35</c:f>
              <c:numCache>
                <c:formatCode>#,##0</c:formatCode>
                <c:ptCount val="10"/>
                <c:pt idx="0">
                  <c:v>2008933</c:v>
                </c:pt>
                <c:pt idx="1">
                  <c:v>2188932</c:v>
                </c:pt>
                <c:pt idx="2">
                  <c:v>2436257</c:v>
                </c:pt>
                <c:pt idx="3">
                  <c:v>2456411</c:v>
                </c:pt>
                <c:pt idx="4">
                  <c:v>2600036</c:v>
                </c:pt>
                <c:pt idx="5">
                  <c:v>2465543</c:v>
                </c:pt>
                <c:pt idx="6">
                  <c:v>2538782</c:v>
                </c:pt>
                <c:pt idx="7">
                  <c:v>2598438</c:v>
                </c:pt>
                <c:pt idx="8">
                  <c:v>2642997</c:v>
                </c:pt>
                <c:pt idx="9">
                  <c:v>2783286</c:v>
                </c:pt>
              </c:numCache>
            </c:numRef>
          </c:val>
          <c:extLst>
            <c:ext xmlns:c16="http://schemas.microsoft.com/office/drawing/2014/chart" uri="{C3380CC4-5D6E-409C-BE32-E72D297353CC}">
              <c16:uniqueId val="{00000000-116C-4FDB-8862-413A17EE278E}"/>
            </c:ext>
          </c:extLst>
        </c:ser>
        <c:ser>
          <c:idx val="1"/>
          <c:order val="1"/>
          <c:tx>
            <c:strRef>
              <c:f>'Ch3. Patent filings'!$B$36</c:f>
              <c:strCache>
                <c:ptCount val="1"/>
                <c:pt idx="0">
                  <c:v>Direct 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filings'!$Q$34:$AB$34</c15:sqref>
                  </c15:fullRef>
                </c:ext>
              </c:extLst>
              <c:f>'Ch3. Patent filings'!$S$34:$AB$34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filings'!$Q$36:$AB$36</c15:sqref>
                  </c15:fullRef>
                </c:ext>
              </c:extLst>
              <c:f>'Ch3. Patent filings'!$S$36:$AB$36</c:f>
              <c:numCache>
                <c:formatCode>#,##0</c:formatCode>
                <c:ptCount val="10"/>
                <c:pt idx="0">
                  <c:v>63733</c:v>
                </c:pt>
                <c:pt idx="1">
                  <c:v>64548</c:v>
                </c:pt>
                <c:pt idx="2">
                  <c:v>67559</c:v>
                </c:pt>
                <c:pt idx="3">
                  <c:v>70944</c:v>
                </c:pt>
                <c:pt idx="4">
                  <c:v>75478</c:v>
                </c:pt>
                <c:pt idx="5">
                  <c:v>79019</c:v>
                </c:pt>
                <c:pt idx="6">
                  <c:v>76930</c:v>
                </c:pt>
                <c:pt idx="7">
                  <c:v>75129</c:v>
                </c:pt>
                <c:pt idx="8">
                  <c:v>74049</c:v>
                </c:pt>
                <c:pt idx="9">
                  <c:v>79677</c:v>
                </c:pt>
              </c:numCache>
            </c:numRef>
          </c:val>
          <c:extLst>
            <c:ext xmlns:c16="http://schemas.microsoft.com/office/drawing/2014/chart" uri="{C3380CC4-5D6E-409C-BE32-E72D297353CC}">
              <c16:uniqueId val="{00000001-116C-4FDB-8862-413A17EE278E}"/>
            </c:ext>
          </c:extLst>
        </c:ser>
        <c:ser>
          <c:idx val="2"/>
          <c:order val="2"/>
          <c:tx>
            <c:strRef>
              <c:f>'Ch3. Patent filings'!$B$37</c:f>
              <c:strCache>
                <c:ptCount val="1"/>
                <c:pt idx="0">
                  <c:v>PCT international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filings'!$Q$34:$AB$34</c15:sqref>
                  </c15:fullRef>
                </c:ext>
              </c:extLst>
              <c:f>'Ch3. Patent filings'!$S$34:$AB$34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filings'!$Q$37:$AB$37</c15:sqref>
                  </c15:fullRef>
                </c:ext>
              </c:extLst>
              <c:f>'Ch3. Patent filings'!$S$37:$AB$37</c:f>
              <c:numCache>
                <c:formatCode>#,##0</c:formatCode>
                <c:ptCount val="10"/>
                <c:pt idx="0">
                  <c:v>214063</c:v>
                </c:pt>
                <c:pt idx="1">
                  <c:v>216855</c:v>
                </c:pt>
                <c:pt idx="2">
                  <c:v>232912</c:v>
                </c:pt>
                <c:pt idx="3">
                  <c:v>243519</c:v>
                </c:pt>
                <c:pt idx="4">
                  <c:v>252779</c:v>
                </c:pt>
                <c:pt idx="5">
                  <c:v>265381</c:v>
                </c:pt>
                <c:pt idx="6">
                  <c:v>274891</c:v>
                </c:pt>
                <c:pt idx="7">
                  <c:v>277409</c:v>
                </c:pt>
                <c:pt idx="8">
                  <c:v>272123</c:v>
                </c:pt>
                <c:pt idx="9">
                  <c:v>273363</c:v>
                </c:pt>
              </c:numCache>
            </c:numRef>
          </c:val>
          <c:extLst>
            <c:ext xmlns:c16="http://schemas.microsoft.com/office/drawing/2014/chart" uri="{C3380CC4-5D6E-409C-BE32-E72D297353CC}">
              <c16:uniqueId val="{00000002-116C-4FDB-8862-413A17EE278E}"/>
            </c:ext>
          </c:extLst>
        </c:ser>
        <c:ser>
          <c:idx val="3"/>
          <c:order val="3"/>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filings'!$Q$34:$AB$34</c15:sqref>
                  </c15:fullRef>
                </c:ext>
              </c:extLst>
              <c:f>'Ch3. Patent filings'!$S$34:$AB$34</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filings'!$Q$38:$AB$38</c15:sqref>
                  </c15:fullRef>
                </c:ext>
              </c:extLst>
              <c:f>'Ch3. Patent filings'!$S$38:$AB$38</c:f>
              <c:numCache>
                <c:formatCode>#,##0</c:formatCode>
                <c:ptCount val="10"/>
                <c:pt idx="0">
                  <c:v>2286729</c:v>
                </c:pt>
                <c:pt idx="1">
                  <c:v>2470335</c:v>
                </c:pt>
                <c:pt idx="2">
                  <c:v>2736728</c:v>
                </c:pt>
                <c:pt idx="3">
                  <c:v>2770874</c:v>
                </c:pt>
                <c:pt idx="4">
                  <c:v>2928293</c:v>
                </c:pt>
                <c:pt idx="5">
                  <c:v>2809943</c:v>
                </c:pt>
                <c:pt idx="6">
                  <c:v>2890603</c:v>
                </c:pt>
                <c:pt idx="7">
                  <c:v>2950976</c:v>
                </c:pt>
                <c:pt idx="8">
                  <c:v>2989169</c:v>
                </c:pt>
                <c:pt idx="9">
                  <c:v>3136326</c:v>
                </c:pt>
              </c:numCache>
            </c:numRef>
          </c:val>
          <c:extLst>
            <c:ext xmlns:c16="http://schemas.microsoft.com/office/drawing/2014/chart" uri="{C3380CC4-5D6E-409C-BE32-E72D297353CC}">
              <c16:uniqueId val="{00000003-116C-4FDB-8862-413A17EE278E}"/>
            </c:ext>
          </c:extLst>
        </c:ser>
        <c:dLbls>
          <c:showLegendKey val="0"/>
          <c:showVal val="0"/>
          <c:showCatName val="0"/>
          <c:showSerName val="0"/>
          <c:showPercent val="0"/>
          <c:showBubbleSize val="0"/>
        </c:dLbls>
        <c:gapWidth val="10"/>
        <c:overlap val="100"/>
        <c:axId val="1788452240"/>
        <c:axId val="1788453872"/>
      </c:barChart>
      <c:catAx>
        <c:axId val="178845224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8453872"/>
        <c:crosses val="autoZero"/>
        <c:auto val="1"/>
        <c:lblAlgn val="ctr"/>
        <c:lblOffset val="100"/>
        <c:noMultiLvlLbl val="0"/>
      </c:catAx>
      <c:valAx>
        <c:axId val="1788453872"/>
        <c:scaling>
          <c:orientation val="minMax"/>
          <c:max val="3310000"/>
          <c:min val="-50000"/>
        </c:scaling>
        <c:delete val="1"/>
        <c:axPos val="l"/>
        <c:numFmt formatCode="#,##0" sourceLinked="1"/>
        <c:majorTickMark val="out"/>
        <c:minorTickMark val="none"/>
        <c:tickLblPos val="nextTo"/>
        <c:crossAx val="1788452240"/>
        <c:crosses val="autoZero"/>
        <c:crossBetween val="between"/>
      </c:valAx>
      <c:spPr>
        <a:noFill/>
        <a:ln>
          <a:noFill/>
        </a:ln>
        <a:effectLst/>
      </c:spPr>
    </c:plotArea>
    <c:legend>
      <c:legendPos val="r"/>
      <c:legendEntry>
        <c:idx val="0"/>
        <c:delete val="1"/>
      </c:legendEntry>
      <c:layout>
        <c:manualLayout>
          <c:xMode val="edge"/>
          <c:yMode val="edge"/>
          <c:x val="0.83352516675884103"/>
          <c:y val="0.25239280658382401"/>
          <c:w val="0.15506663317067401"/>
          <c:h val="0.410638370469666"/>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e0afd9ec-2ac3-4f53-9e84-3917c91e1f59}"/>
      </c:ext>
    </c:extLst>
  </c:chart>
  <c:spPr>
    <a:solidFill>
      <a:schemeClr val="bg1"/>
    </a:solidFill>
    <a:ln w="9525" cap="flat" cmpd="sng" algn="ctr">
      <a:solidFill>
        <a:schemeClr val="tx1">
          <a:lumMod val="75000"/>
          <a:lumOff val="2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 3.2: WORLDWIDE PATENT FILINGS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64332409291921E-2"/>
          <c:y val="0.112393966211875"/>
          <c:w val="0.83213642051404002"/>
          <c:h val="0.72071694600738401"/>
        </c:manualLayout>
      </c:layout>
      <c:barChart>
        <c:barDir val="col"/>
        <c:grouping val="stacked"/>
        <c:varyColors val="0"/>
        <c:ser>
          <c:idx val="5"/>
          <c:order val="0"/>
          <c:tx>
            <c:strRef>
              <c:f>'Ch3. Patent filings'!$B$48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filings'!$Q$42:$AB$42</c15:sqref>
                  </c15:fullRef>
                </c:ext>
              </c:extLst>
              <c:f>'Ch3. Patent filings'!$S$42:$AB$42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filings'!$Q$48:$AB$48</c15:sqref>
                  </c15:fullRef>
                </c:ext>
              </c:extLst>
              <c:f>'Ch3. Patent filings'!$S$48:$AB$48</c:f>
              <c:numCache>
                <c:formatCode>#,##0</c:formatCode>
                <c:ptCount val="10"/>
                <c:pt idx="0">
                  <c:v>159431</c:v>
                </c:pt>
                <c:pt idx="1">
                  <c:v>175350</c:v>
                </c:pt>
                <c:pt idx="2">
                  <c:v>170914</c:v>
                </c:pt>
                <c:pt idx="3">
                  <c:v>169052</c:v>
                </c:pt>
                <c:pt idx="4">
                  <c:v>176393</c:v>
                </c:pt>
                <c:pt idx="5">
                  <c:v>192883</c:v>
                </c:pt>
                <c:pt idx="6">
                  <c:v>199936</c:v>
                </c:pt>
                <c:pt idx="7">
                  <c:v>185481</c:v>
                </c:pt>
                <c:pt idx="8">
                  <c:v>199156</c:v>
                </c:pt>
                <c:pt idx="9">
                  <c:v>208140</c:v>
                </c:pt>
              </c:numCache>
            </c:numRef>
          </c:val>
          <c:extLst>
            <c:ext xmlns:c16="http://schemas.microsoft.com/office/drawing/2014/chart" uri="{C3380CC4-5D6E-409C-BE32-E72D297353CC}">
              <c16:uniqueId val="{00000000-C125-4187-8BD8-12F389EFB2D6}"/>
            </c:ext>
          </c:extLst>
        </c:ser>
        <c:ser>
          <c:idx val="4"/>
          <c:order val="1"/>
          <c:tx>
            <c:strRef>
              <c:f>'Ch3. Patent filings'!$B$47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filings'!$Q$42:$AB$42</c15:sqref>
                  </c15:fullRef>
                </c:ext>
              </c:extLst>
              <c:f>'Ch3. Patent filings'!$S$42:$AB$42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filings'!$Q$47:$AB$47</c15:sqref>
                  </c15:fullRef>
                </c:ext>
              </c:extLst>
              <c:f>'Ch3. Patent filings'!$S$47:$AB$47</c:f>
              <c:numCache>
                <c:formatCode>#,##0</c:formatCode>
                <c:ptCount val="10"/>
                <c:pt idx="0">
                  <c:v>387287</c:v>
                </c:pt>
                <c:pt idx="1">
                  <c:v>383348</c:v>
                </c:pt>
                <c:pt idx="2">
                  <c:v>394345</c:v>
                </c:pt>
                <c:pt idx="3">
                  <c:v>386773</c:v>
                </c:pt>
                <c:pt idx="4">
                  <c:v>377569</c:v>
                </c:pt>
                <c:pt idx="5">
                  <c:v>378445</c:v>
                </c:pt>
                <c:pt idx="6">
                  <c:v>358841</c:v>
                </c:pt>
                <c:pt idx="7">
                  <c:v>355827</c:v>
                </c:pt>
                <c:pt idx="8">
                  <c:v>345286</c:v>
                </c:pt>
                <c:pt idx="9">
                  <c:v>380030</c:v>
                </c:pt>
              </c:numCache>
            </c:numRef>
          </c:val>
          <c:extLst>
            <c:ext xmlns:c16="http://schemas.microsoft.com/office/drawing/2014/chart" uri="{C3380CC4-5D6E-409C-BE32-E72D297353CC}">
              <c16:uniqueId val="{00000001-C125-4187-8BD8-12F389EFB2D6}"/>
            </c:ext>
          </c:extLst>
        </c:ser>
        <c:ser>
          <c:idx val="3"/>
          <c:order val="2"/>
          <c:tx>
            <c:strRef>
              <c:f>'Ch3. Patent filings'!$B$46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filings'!$Q$42:$AB$42</c15:sqref>
                  </c15:fullRef>
                </c:ext>
              </c:extLst>
              <c:f>'Ch3. Patent filings'!$S$42:$AB$42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filings'!$Q$46:$AB$46</c15:sqref>
                  </c15:fullRef>
                </c:ext>
              </c:extLst>
              <c:f>'Ch3. Patent filings'!$S$46:$AB$46</c:f>
              <c:numCache>
                <c:formatCode>#,##0</c:formatCode>
                <c:ptCount val="10"/>
                <c:pt idx="0">
                  <c:v>839122</c:v>
                </c:pt>
                <c:pt idx="1">
                  <c:v>1011854</c:v>
                </c:pt>
                <c:pt idx="2">
                  <c:v>1265436</c:v>
                </c:pt>
                <c:pt idx="3">
                  <c:v>1318556</c:v>
                </c:pt>
                <c:pt idx="4">
                  <c:v>1476665</c:v>
                </c:pt>
                <c:pt idx="5">
                  <c:v>1336626</c:v>
                </c:pt>
                <c:pt idx="6">
                  <c:v>1456987</c:v>
                </c:pt>
                <c:pt idx="7">
                  <c:v>1545527</c:v>
                </c:pt>
                <c:pt idx="8">
                  <c:v>1585532</c:v>
                </c:pt>
                <c:pt idx="9">
                  <c:v>1646966</c:v>
                </c:pt>
              </c:numCache>
            </c:numRef>
          </c:val>
          <c:extLst>
            <c:ext xmlns:c16="http://schemas.microsoft.com/office/drawing/2014/chart" uri="{C3380CC4-5D6E-409C-BE32-E72D297353CC}">
              <c16:uniqueId val="{00000002-C125-4187-8BD8-12F389EFB2D6}"/>
            </c:ext>
          </c:extLst>
        </c:ser>
        <c:ser>
          <c:idx val="2"/>
          <c:order val="3"/>
          <c:tx>
            <c:strRef>
              <c:f>'Ch3. Patent filings'!$B$45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filings'!$Q$42:$AB$42</c15:sqref>
                  </c15:fullRef>
                </c:ext>
              </c:extLst>
              <c:f>'Ch3. Patent filings'!$S$42:$AB$42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filings'!$Q$45:$AB$45</c15:sqref>
                  </c15:fullRef>
                </c:ext>
              </c:extLst>
              <c:f>'Ch3. Patent filings'!$S$45:$AB$45</c:f>
              <c:numCache>
                <c:formatCode>#,##0</c:formatCode>
                <c:ptCount val="10"/>
                <c:pt idx="0">
                  <c:v>222431</c:v>
                </c:pt>
                <c:pt idx="1">
                  <c:v>229374</c:v>
                </c:pt>
                <c:pt idx="2">
                  <c:v>223928</c:v>
                </c:pt>
                <c:pt idx="3">
                  <c:v>216097</c:v>
                </c:pt>
                <c:pt idx="4">
                  <c:v>219897</c:v>
                </c:pt>
                <c:pt idx="5">
                  <c:v>234021</c:v>
                </c:pt>
                <c:pt idx="6">
                  <c:v>246016</c:v>
                </c:pt>
                <c:pt idx="7">
                  <c:v>252614</c:v>
                </c:pt>
                <c:pt idx="8">
                  <c:v>255050</c:v>
                </c:pt>
                <c:pt idx="9">
                  <c:v>270743</c:v>
                </c:pt>
              </c:numCache>
            </c:numRef>
          </c:val>
          <c:extLst>
            <c:ext xmlns:c16="http://schemas.microsoft.com/office/drawing/2014/chart" uri="{C3380CC4-5D6E-409C-BE32-E72D297353CC}">
              <c16:uniqueId val="{00000003-C125-4187-8BD8-12F389EFB2D6}"/>
            </c:ext>
          </c:extLst>
        </c:ser>
        <c:ser>
          <c:idx val="1"/>
          <c:order val="4"/>
          <c:tx>
            <c:strRef>
              <c:f>'Ch3. Patent filings'!$B$44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filings'!$Q$42:$AB$42</c15:sqref>
                  </c15:fullRef>
                </c:ext>
              </c:extLst>
              <c:f>'Ch3. Patent filings'!$S$42:$AB$42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filings'!$Q$44:$AB$44</c15:sqref>
                  </c15:fullRef>
                </c:ext>
              </c:extLst>
              <c:f>'Ch3. Patent filings'!$S$44:$AB$44</c:f>
              <c:numCache>
                <c:formatCode>#,##0</c:formatCode>
                <c:ptCount val="10"/>
                <c:pt idx="0">
                  <c:v>382867</c:v>
                </c:pt>
                <c:pt idx="1">
                  <c:v>378920</c:v>
                </c:pt>
                <c:pt idx="2">
                  <c:v>379093</c:v>
                </c:pt>
                <c:pt idx="3">
                  <c:v>378418</c:v>
                </c:pt>
                <c:pt idx="4">
                  <c:v>376113</c:v>
                </c:pt>
                <c:pt idx="5">
                  <c:v>367240</c:v>
                </c:pt>
                <c:pt idx="6">
                  <c:v>338309</c:v>
                </c:pt>
                <c:pt idx="7">
                  <c:v>325674</c:v>
                </c:pt>
                <c:pt idx="8">
                  <c:v>321325</c:v>
                </c:pt>
                <c:pt idx="9">
                  <c:v>333206</c:v>
                </c:pt>
              </c:numCache>
            </c:numRef>
          </c:val>
          <c:extLst>
            <c:ext xmlns:c16="http://schemas.microsoft.com/office/drawing/2014/chart" uri="{C3380CC4-5D6E-409C-BE32-E72D297353CC}">
              <c16:uniqueId val="{00000004-C125-4187-8BD8-12F389EFB2D6}"/>
            </c:ext>
          </c:extLst>
        </c:ser>
        <c:ser>
          <c:idx val="0"/>
          <c:order val="5"/>
          <c:tx>
            <c:strRef>
              <c:f>'Ch3. Patent filings'!$B$43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filings'!$Q$42:$AB$42</c15:sqref>
                  </c15:fullRef>
                </c:ext>
              </c:extLst>
              <c:f>'Ch3. Patent filings'!$S$42:$AB$42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filings'!$Q$43:$AB$43</c15:sqref>
                  </c15:fullRef>
                </c:ext>
              </c:extLst>
              <c:f>'Ch3. Patent filings'!$S$43:$AB$43</c:f>
              <c:numCache>
                <c:formatCode>#,##0</c:formatCode>
                <c:ptCount val="10"/>
                <c:pt idx="0">
                  <c:v>295591</c:v>
                </c:pt>
                <c:pt idx="1">
                  <c:v>291489</c:v>
                </c:pt>
                <c:pt idx="2">
                  <c:v>303012</c:v>
                </c:pt>
                <c:pt idx="3">
                  <c:v>301978</c:v>
                </c:pt>
                <c:pt idx="4">
                  <c:v>301656</c:v>
                </c:pt>
                <c:pt idx="5">
                  <c:v>300728</c:v>
                </c:pt>
                <c:pt idx="6">
                  <c:v>290514</c:v>
                </c:pt>
                <c:pt idx="7">
                  <c:v>285853</c:v>
                </c:pt>
                <c:pt idx="8">
                  <c:v>282820</c:v>
                </c:pt>
                <c:pt idx="9">
                  <c:v>297241</c:v>
                </c:pt>
              </c:numCache>
            </c:numRef>
          </c:val>
          <c:extLst>
            <c:ext xmlns:c16="http://schemas.microsoft.com/office/drawing/2014/chart" uri="{C3380CC4-5D6E-409C-BE32-E72D297353CC}">
              <c16:uniqueId val="{00000005-C125-4187-8BD8-12F389EFB2D6}"/>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filings'!$Q$42:$AB$42</c15:sqref>
                  </c15:fullRef>
                </c:ext>
              </c:extLst>
              <c:f>'Ch3. Patent filings'!$S$42:$AB$42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filings'!$Q$49:$AB$49</c15:sqref>
                  </c15:fullRef>
                </c:ext>
              </c:extLst>
              <c:f>'Ch3. Patent filings'!$S$49:$AB$49</c:f>
              <c:numCache>
                <c:formatCode>#,##0</c:formatCode>
                <c:ptCount val="10"/>
                <c:pt idx="0">
                  <c:v>2286729</c:v>
                </c:pt>
                <c:pt idx="1">
                  <c:v>2470335</c:v>
                </c:pt>
                <c:pt idx="2">
                  <c:v>2736728</c:v>
                </c:pt>
                <c:pt idx="3">
                  <c:v>2770874</c:v>
                </c:pt>
                <c:pt idx="4">
                  <c:v>2928293</c:v>
                </c:pt>
                <c:pt idx="5">
                  <c:v>2809943</c:v>
                </c:pt>
                <c:pt idx="6">
                  <c:v>2890603</c:v>
                </c:pt>
                <c:pt idx="7">
                  <c:v>2950976</c:v>
                </c:pt>
                <c:pt idx="8">
                  <c:v>2989169</c:v>
                </c:pt>
                <c:pt idx="9">
                  <c:v>3136326</c:v>
                </c:pt>
              </c:numCache>
            </c:numRef>
          </c:val>
          <c:extLst>
            <c:ext xmlns:c16="http://schemas.microsoft.com/office/drawing/2014/chart" uri="{C3380CC4-5D6E-409C-BE32-E72D297353CC}">
              <c16:uniqueId val="{00000006-C125-4187-8BD8-12F389EFB2D6}"/>
            </c:ext>
          </c:extLst>
        </c:ser>
        <c:dLbls>
          <c:showLegendKey val="0"/>
          <c:showVal val="0"/>
          <c:showCatName val="0"/>
          <c:showSerName val="0"/>
          <c:showPercent val="0"/>
          <c:showBubbleSize val="0"/>
        </c:dLbls>
        <c:gapWidth val="10"/>
        <c:overlap val="100"/>
        <c:axId val="1788453328"/>
        <c:axId val="1788457680"/>
      </c:barChart>
      <c:catAx>
        <c:axId val="178845332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000" b="0" i="0" u="none" strike="noStrike" kern="1200" baseline="0">
                <a:solidFill>
                  <a:schemeClr val="tx1"/>
                </a:solidFill>
                <a:latin typeface="+mn-lt"/>
                <a:ea typeface="+mn-ea"/>
                <a:cs typeface="+mn-cs"/>
              </a:defRPr>
            </a:pPr>
            <a:endParaRPr lang="zh-CN"/>
          </a:p>
        </c:txPr>
        <c:crossAx val="1788457680"/>
        <c:crosses val="autoZero"/>
        <c:auto val="1"/>
        <c:lblAlgn val="ctr"/>
        <c:lblOffset val="100"/>
        <c:noMultiLvlLbl val="0"/>
      </c:catAx>
      <c:valAx>
        <c:axId val="1788457680"/>
        <c:scaling>
          <c:orientation val="minMax"/>
          <c:max val="3330000"/>
          <c:min val="0"/>
        </c:scaling>
        <c:delete val="1"/>
        <c:axPos val="l"/>
        <c:numFmt formatCode="#,##0" sourceLinked="1"/>
        <c:majorTickMark val="out"/>
        <c:minorTickMark val="none"/>
        <c:tickLblPos val="nextTo"/>
        <c:crossAx val="1788453328"/>
        <c:crosses val="autoZero"/>
        <c:crossBetween val="between"/>
      </c:valAx>
      <c:spPr>
        <a:noFill/>
        <a:ln w="25400">
          <a:noFill/>
        </a:ln>
        <a:effectLst/>
      </c:spPr>
    </c:plotArea>
    <c:legend>
      <c:legendPos val="r"/>
      <c:legendEntry>
        <c:idx val="0"/>
        <c:delete val="1"/>
      </c:legendEntry>
      <c:legendEntry>
        <c:idx val="4"/>
        <c:delete val="1"/>
      </c:legendEntry>
      <c:layout>
        <c:manualLayout>
          <c:xMode val="edge"/>
          <c:yMode val="edge"/>
          <c:x val="0.86213160272036204"/>
          <c:y val="0.223594183630204"/>
          <c:w val="0.13026293056598101"/>
          <c:h val="0.51672047643055996"/>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7a0fe636-ea40-4f24-9efb-f9f84512ae88}"/>
      </c:ext>
    </c:extLst>
  </c:chart>
  <c:spPr>
    <a:solidFill>
      <a:schemeClr val="bg1"/>
    </a:solidFill>
    <a:ln w="9525" cap="flat" cmpd="sng" algn="ctr">
      <a:solidFill>
        <a:schemeClr val="tx1">
          <a:lumMod val="75000"/>
          <a:lumOff val="25000"/>
        </a:schemeClr>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Fig.3.4 WORLDWIDE PATENT FILINGS - FIRST FILINGS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45035026426067E-2"/>
          <c:y val="0.103027777777778"/>
          <c:w val="0.97099299471478695"/>
          <c:h val="0.74344356955380597"/>
        </c:manualLayout>
      </c:layout>
      <c:barChart>
        <c:barDir val="col"/>
        <c:grouping val="stacked"/>
        <c:varyColors val="0"/>
        <c:ser>
          <c:idx val="5"/>
          <c:order val="0"/>
          <c:tx>
            <c:strRef>
              <c:f>'Ch3. First filings'!$A$11</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filings'!$B$5:$U$5</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First filings'!$B$11:$U$11</c:f>
              <c:numCache>
                <c:formatCode>#,##0</c:formatCode>
                <c:ptCount val="20"/>
                <c:pt idx="0">
                  <c:v>53106</c:v>
                </c:pt>
                <c:pt idx="1">
                  <c:v>50285</c:v>
                </c:pt>
                <c:pt idx="2">
                  <c:v>67018</c:v>
                </c:pt>
                <c:pt idx="3">
                  <c:v>54347</c:v>
                </c:pt>
                <c:pt idx="4">
                  <c:v>108544</c:v>
                </c:pt>
                <c:pt idx="5">
                  <c:v>90607</c:v>
                </c:pt>
                <c:pt idx="6">
                  <c:v>75585</c:v>
                </c:pt>
                <c:pt idx="7">
                  <c:v>71808</c:v>
                </c:pt>
                <c:pt idx="8">
                  <c:v>80343</c:v>
                </c:pt>
                <c:pt idx="9">
                  <c:v>88645</c:v>
                </c:pt>
                <c:pt idx="10">
                  <c:v>84315</c:v>
                </c:pt>
                <c:pt idx="11">
                  <c:v>88691</c:v>
                </c:pt>
                <c:pt idx="12">
                  <c:v>91795</c:v>
                </c:pt>
                <c:pt idx="13">
                  <c:v>89036</c:v>
                </c:pt>
                <c:pt idx="14">
                  <c:v>90428</c:v>
                </c:pt>
                <c:pt idx="15">
                  <c:v>90090</c:v>
                </c:pt>
                <c:pt idx="16">
                  <c:v>94995</c:v>
                </c:pt>
                <c:pt idx="17">
                  <c:v>83900</c:v>
                </c:pt>
                <c:pt idx="18" formatCode="#,##0_ ">
                  <c:v>107175</c:v>
                </c:pt>
                <c:pt idx="19" formatCode="#,##0_ ">
                  <c:v>120646</c:v>
                </c:pt>
              </c:numCache>
            </c:numRef>
          </c:val>
          <c:extLst>
            <c:ext xmlns:c16="http://schemas.microsoft.com/office/drawing/2014/chart" uri="{C3380CC4-5D6E-409C-BE32-E72D297353CC}">
              <c16:uniqueId val="{00000000-80BF-4D16-BAD2-726322161F06}"/>
            </c:ext>
          </c:extLst>
        </c:ser>
        <c:ser>
          <c:idx val="4"/>
          <c:order val="1"/>
          <c:tx>
            <c:strRef>
              <c:f>'Ch3. First filings'!$A$10</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filings'!$B$5:$U$5</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First filings'!$B$10:$U$10</c:f>
              <c:numCache>
                <c:formatCode>#,##0</c:formatCode>
                <c:ptCount val="20"/>
                <c:pt idx="0">
                  <c:v>185008</c:v>
                </c:pt>
                <c:pt idx="1">
                  <c:v>202776</c:v>
                </c:pt>
                <c:pt idx="2">
                  <c:v>215904</c:v>
                </c:pt>
                <c:pt idx="3">
                  <c:v>234043</c:v>
                </c:pt>
                <c:pt idx="4">
                  <c:v>223045</c:v>
                </c:pt>
                <c:pt idx="5">
                  <c:v>213093</c:v>
                </c:pt>
                <c:pt idx="6">
                  <c:v>227907</c:v>
                </c:pt>
                <c:pt idx="7">
                  <c:v>231630</c:v>
                </c:pt>
                <c:pt idx="8">
                  <c:v>250617</c:v>
                </c:pt>
                <c:pt idx="9">
                  <c:v>264923</c:v>
                </c:pt>
                <c:pt idx="10">
                  <c:v>260984</c:v>
                </c:pt>
                <c:pt idx="11">
                  <c:v>260274</c:v>
                </c:pt>
                <c:pt idx="12">
                  <c:v>264685</c:v>
                </c:pt>
                <c:pt idx="13">
                  <c:v>260824</c:v>
                </c:pt>
                <c:pt idx="14">
                  <c:v>250372</c:v>
                </c:pt>
                <c:pt idx="15">
                  <c:v>248498</c:v>
                </c:pt>
                <c:pt idx="16">
                  <c:v>232914</c:v>
                </c:pt>
                <c:pt idx="17">
                  <c:v>224805</c:v>
                </c:pt>
                <c:pt idx="18" formatCode="#,##0_ ">
                  <c:v>214461</c:v>
                </c:pt>
                <c:pt idx="19" formatCode="#,##0_ ">
                  <c:v>249472</c:v>
                </c:pt>
              </c:numCache>
            </c:numRef>
          </c:val>
          <c:extLst>
            <c:ext xmlns:c16="http://schemas.microsoft.com/office/drawing/2014/chart" uri="{C3380CC4-5D6E-409C-BE32-E72D297353CC}">
              <c16:uniqueId val="{00000001-80BF-4D16-BAD2-726322161F06}"/>
            </c:ext>
          </c:extLst>
        </c:ser>
        <c:ser>
          <c:idx val="3"/>
          <c:order val="2"/>
          <c:tx>
            <c:strRef>
              <c:f>'Ch3. First filings'!$A$9</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filings'!$B$5:$U$5</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First filings'!$B$9:$U$9</c:f>
              <c:numCache>
                <c:formatCode>#,##0</c:formatCode>
                <c:ptCount val="20"/>
                <c:pt idx="0">
                  <c:v>65586</c:v>
                </c:pt>
                <c:pt idx="1">
                  <c:v>93172</c:v>
                </c:pt>
                <c:pt idx="2">
                  <c:v>121968</c:v>
                </c:pt>
                <c:pt idx="3">
                  <c:v>152299</c:v>
                </c:pt>
                <c:pt idx="4">
                  <c:v>194005</c:v>
                </c:pt>
                <c:pt idx="5">
                  <c:v>228456</c:v>
                </c:pt>
                <c:pt idx="6">
                  <c:v>291960</c:v>
                </c:pt>
                <c:pt idx="7">
                  <c:v>413540</c:v>
                </c:pt>
                <c:pt idx="8">
                  <c:v>533245</c:v>
                </c:pt>
                <c:pt idx="9">
                  <c:v>702013</c:v>
                </c:pt>
                <c:pt idx="10">
                  <c:v>798074</c:v>
                </c:pt>
                <c:pt idx="11">
                  <c:v>965137</c:v>
                </c:pt>
                <c:pt idx="12">
                  <c:v>1200383</c:v>
                </c:pt>
                <c:pt idx="13">
                  <c:v>1245128</c:v>
                </c:pt>
                <c:pt idx="14">
                  <c:v>1393195</c:v>
                </c:pt>
                <c:pt idx="15">
                  <c:v>1242826</c:v>
                </c:pt>
                <c:pt idx="16">
                  <c:v>1344166</c:v>
                </c:pt>
                <c:pt idx="17">
                  <c:v>1425749</c:v>
                </c:pt>
                <c:pt idx="18" formatCode="#,##0_ ">
                  <c:v>1463796</c:v>
                </c:pt>
                <c:pt idx="19" formatCode="#,##0_ ">
                  <c:v>1521441</c:v>
                </c:pt>
              </c:numCache>
            </c:numRef>
          </c:val>
          <c:extLst>
            <c:ext xmlns:c16="http://schemas.microsoft.com/office/drawing/2014/chart" uri="{C3380CC4-5D6E-409C-BE32-E72D297353CC}">
              <c16:uniqueId val="{00000002-80BF-4D16-BAD2-726322161F06}"/>
            </c:ext>
          </c:extLst>
        </c:ser>
        <c:ser>
          <c:idx val="2"/>
          <c:order val="3"/>
          <c:tx>
            <c:strRef>
              <c:f>'Ch3. First filings'!$A$8</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filings'!$B$5:$U$5</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First filings'!$B$8:$U$8</c:f>
              <c:numCache>
                <c:formatCode>#,##0</c:formatCode>
                <c:ptCount val="20"/>
                <c:pt idx="0">
                  <c:v>105027</c:v>
                </c:pt>
                <c:pt idx="1">
                  <c:v>121942</c:v>
                </c:pt>
                <c:pt idx="2">
                  <c:v>125249</c:v>
                </c:pt>
                <c:pt idx="3">
                  <c:v>128438</c:v>
                </c:pt>
                <c:pt idx="4">
                  <c:v>126691</c:v>
                </c:pt>
                <c:pt idx="5">
                  <c:v>126988</c:v>
                </c:pt>
                <c:pt idx="6">
                  <c:v>131461</c:v>
                </c:pt>
                <c:pt idx="7">
                  <c:v>137671</c:v>
                </c:pt>
                <c:pt idx="8">
                  <c:v>147694</c:v>
                </c:pt>
                <c:pt idx="9">
                  <c:v>159248</c:v>
                </c:pt>
                <c:pt idx="10">
                  <c:v>163185</c:v>
                </c:pt>
                <c:pt idx="11">
                  <c:v>166376</c:v>
                </c:pt>
                <c:pt idx="12">
                  <c:v>162297</c:v>
                </c:pt>
                <c:pt idx="13">
                  <c:v>158190</c:v>
                </c:pt>
                <c:pt idx="14">
                  <c:v>161646</c:v>
                </c:pt>
                <c:pt idx="15">
                  <c:v>170377</c:v>
                </c:pt>
                <c:pt idx="16">
                  <c:v>179500</c:v>
                </c:pt>
                <c:pt idx="17">
                  <c:v>184746</c:v>
                </c:pt>
                <c:pt idx="18" formatCode="#,##0_ ">
                  <c:v>181505</c:v>
                </c:pt>
                <c:pt idx="19" formatCode="#,##0_ ">
                  <c:v>189158</c:v>
                </c:pt>
              </c:numCache>
            </c:numRef>
          </c:val>
          <c:extLst>
            <c:ext xmlns:c16="http://schemas.microsoft.com/office/drawing/2014/chart" uri="{C3380CC4-5D6E-409C-BE32-E72D297353CC}">
              <c16:uniqueId val="{00000003-80BF-4D16-BAD2-726322161F06}"/>
            </c:ext>
          </c:extLst>
        </c:ser>
        <c:ser>
          <c:idx val="1"/>
          <c:order val="4"/>
          <c:tx>
            <c:strRef>
              <c:f>'Ch3. First filings'!$A$7</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filings'!$B$5:$U$5</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First filings'!$B$7:$U$7</c:f>
              <c:numCache>
                <c:formatCode>#,##0</c:formatCode>
                <c:ptCount val="20"/>
                <c:pt idx="0">
                  <c:v>362342</c:v>
                </c:pt>
                <c:pt idx="1">
                  <c:v>359382</c:v>
                </c:pt>
                <c:pt idx="2">
                  <c:v>336013</c:v>
                </c:pt>
                <c:pt idx="3">
                  <c:v>321375</c:v>
                </c:pt>
                <c:pt idx="4">
                  <c:v>317528</c:v>
                </c:pt>
                <c:pt idx="5">
                  <c:v>282359</c:v>
                </c:pt>
                <c:pt idx="6">
                  <c:v>276156</c:v>
                </c:pt>
                <c:pt idx="7">
                  <c:v>271683</c:v>
                </c:pt>
                <c:pt idx="8">
                  <c:v>269132</c:v>
                </c:pt>
                <c:pt idx="9">
                  <c:v>252391</c:v>
                </c:pt>
                <c:pt idx="10">
                  <c:v>245343</c:v>
                </c:pt>
                <c:pt idx="11">
                  <c:v>237574</c:v>
                </c:pt>
                <c:pt idx="12">
                  <c:v>238167</c:v>
                </c:pt>
                <c:pt idx="13">
                  <c:v>236216</c:v>
                </c:pt>
                <c:pt idx="14">
                  <c:v>228705</c:v>
                </c:pt>
                <c:pt idx="15">
                  <c:v>219138</c:v>
                </c:pt>
                <c:pt idx="16">
                  <c:v>200385</c:v>
                </c:pt>
                <c:pt idx="17">
                  <c:v>194630</c:v>
                </c:pt>
                <c:pt idx="18" formatCode="#,##0_ ">
                  <c:v>190549</c:v>
                </c:pt>
                <c:pt idx="19" formatCode="#,##0_ ">
                  <c:v>199872</c:v>
                </c:pt>
              </c:numCache>
            </c:numRef>
          </c:val>
          <c:extLst>
            <c:ext xmlns:c16="http://schemas.microsoft.com/office/drawing/2014/chart" uri="{C3380CC4-5D6E-409C-BE32-E72D297353CC}">
              <c16:uniqueId val="{00000004-80BF-4D16-BAD2-726322161F06}"/>
            </c:ext>
          </c:extLst>
        </c:ser>
        <c:ser>
          <c:idx val="0"/>
          <c:order val="5"/>
          <c:tx>
            <c:strRef>
              <c:f>'Ch3. First filings'!$A$6</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filings'!$B$5:$U$5</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First filings'!$B$6:$U$6</c:f>
              <c:numCache>
                <c:formatCode>#,##0</c:formatCode>
                <c:ptCount val="20"/>
                <c:pt idx="0">
                  <c:v>127112</c:v>
                </c:pt>
                <c:pt idx="1">
                  <c:v>126652</c:v>
                </c:pt>
                <c:pt idx="2">
                  <c:v>129229</c:v>
                </c:pt>
                <c:pt idx="3">
                  <c:v>131364</c:v>
                </c:pt>
                <c:pt idx="4">
                  <c:v>132401</c:v>
                </c:pt>
                <c:pt idx="5">
                  <c:v>132568</c:v>
                </c:pt>
                <c:pt idx="6">
                  <c:v>117916</c:v>
                </c:pt>
                <c:pt idx="7">
                  <c:v>124435</c:v>
                </c:pt>
                <c:pt idx="8">
                  <c:v>126222</c:v>
                </c:pt>
                <c:pt idx="9">
                  <c:v>127188</c:v>
                </c:pt>
                <c:pt idx="10">
                  <c:v>128438</c:v>
                </c:pt>
                <c:pt idx="11">
                  <c:v>127357</c:v>
                </c:pt>
                <c:pt idx="12">
                  <c:v>130034.25</c:v>
                </c:pt>
                <c:pt idx="13">
                  <c:v>130216</c:v>
                </c:pt>
                <c:pt idx="14">
                  <c:v>130840</c:v>
                </c:pt>
                <c:pt idx="15">
                  <c:v>134118</c:v>
                </c:pt>
                <c:pt idx="16">
                  <c:v>129364</c:v>
                </c:pt>
                <c:pt idx="17">
                  <c:v>126554</c:v>
                </c:pt>
                <c:pt idx="18" formatCode="#,##0_ ">
                  <c:v>121755</c:v>
                </c:pt>
                <c:pt idx="19" formatCode="#,##0_ ">
                  <c:v>125786</c:v>
                </c:pt>
              </c:numCache>
            </c:numRef>
          </c:val>
          <c:extLst>
            <c:ext xmlns:c16="http://schemas.microsoft.com/office/drawing/2014/chart" uri="{C3380CC4-5D6E-409C-BE32-E72D297353CC}">
              <c16:uniqueId val="{00000005-80BF-4D16-BAD2-726322161F06}"/>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First filings'!$B$5:$U$5</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First filings'!$B$12:$U$12</c:f>
              <c:numCache>
                <c:formatCode>#,##0</c:formatCode>
                <c:ptCount val="20"/>
                <c:pt idx="0">
                  <c:v>898181</c:v>
                </c:pt>
                <c:pt idx="1">
                  <c:v>954209</c:v>
                </c:pt>
                <c:pt idx="2">
                  <c:v>995381</c:v>
                </c:pt>
                <c:pt idx="3">
                  <c:v>1021866</c:v>
                </c:pt>
                <c:pt idx="4">
                  <c:v>1102214</c:v>
                </c:pt>
                <c:pt idx="5">
                  <c:v>1074071</c:v>
                </c:pt>
                <c:pt idx="6">
                  <c:v>1120985</c:v>
                </c:pt>
                <c:pt idx="7">
                  <c:v>1250767</c:v>
                </c:pt>
                <c:pt idx="8">
                  <c:v>1407253</c:v>
                </c:pt>
                <c:pt idx="9">
                  <c:v>1594408</c:v>
                </c:pt>
                <c:pt idx="10">
                  <c:v>1680339</c:v>
                </c:pt>
                <c:pt idx="11">
                  <c:v>1845409</c:v>
                </c:pt>
                <c:pt idx="12">
                  <c:v>2087361.25</c:v>
                </c:pt>
                <c:pt idx="13">
                  <c:v>2119610</c:v>
                </c:pt>
                <c:pt idx="14">
                  <c:v>2255186</c:v>
                </c:pt>
                <c:pt idx="15">
                  <c:v>2105047</c:v>
                </c:pt>
                <c:pt idx="16">
                  <c:v>2181324</c:v>
                </c:pt>
                <c:pt idx="17">
                  <c:v>2240384</c:v>
                </c:pt>
                <c:pt idx="18">
                  <c:v>2279241</c:v>
                </c:pt>
                <c:pt idx="19">
                  <c:v>2406375</c:v>
                </c:pt>
              </c:numCache>
            </c:numRef>
          </c:val>
          <c:extLst>
            <c:ext xmlns:c16="http://schemas.microsoft.com/office/drawing/2014/chart" uri="{C3380CC4-5D6E-409C-BE32-E72D297353CC}">
              <c16:uniqueId val="{00000006-80BF-4D16-BAD2-726322161F06}"/>
            </c:ext>
          </c:extLst>
        </c:ser>
        <c:dLbls>
          <c:showLegendKey val="0"/>
          <c:showVal val="0"/>
          <c:showCatName val="0"/>
          <c:showSerName val="0"/>
          <c:showPercent val="0"/>
          <c:showBubbleSize val="0"/>
        </c:dLbls>
        <c:gapWidth val="10"/>
        <c:overlap val="100"/>
        <c:axId val="1788452784"/>
        <c:axId val="1788454416"/>
      </c:barChart>
      <c:catAx>
        <c:axId val="178845278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crossAx val="1788454416"/>
        <c:crosses val="autoZero"/>
        <c:auto val="1"/>
        <c:lblAlgn val="ctr"/>
        <c:lblOffset val="100"/>
        <c:noMultiLvlLbl val="0"/>
      </c:catAx>
      <c:valAx>
        <c:axId val="1788454416"/>
        <c:scaling>
          <c:orientation val="minMax"/>
          <c:max val="2540000"/>
          <c:min val="0"/>
        </c:scaling>
        <c:delete val="1"/>
        <c:axPos val="l"/>
        <c:numFmt formatCode="#,##0" sourceLinked="1"/>
        <c:majorTickMark val="out"/>
        <c:minorTickMark val="none"/>
        <c:tickLblPos val="nextTo"/>
        <c:crossAx val="1788452784"/>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9ed591cf-60f0-43f7-8827-14795432fc2e}"/>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Fig.3.4 WORLDWIDE PATENT FILINGS - FIRST FILINGS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45035026426067E-2"/>
          <c:y val="0.103027777777778"/>
          <c:w val="0.85435012071258898"/>
          <c:h val="0.798999125109361"/>
        </c:manualLayout>
      </c:layout>
      <c:barChart>
        <c:barDir val="col"/>
        <c:grouping val="stacked"/>
        <c:varyColors val="0"/>
        <c:ser>
          <c:idx val="5"/>
          <c:order val="0"/>
          <c:tx>
            <c:strRef>
              <c:f>'Ch3. First filings'!$A$11</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First filings'!$J$5:$U$5</c15:sqref>
                  </c15:fullRef>
                </c:ext>
              </c:extLst>
              <c:f>'Ch3. First filings'!$L$5:$U$5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First filings'!$J$11:$U$11</c15:sqref>
                  </c15:fullRef>
                </c:ext>
              </c:extLst>
              <c:f>'Ch3. First filings'!$L$11:$U$11</c:f>
              <c:numCache>
                <c:formatCode>#,##0</c:formatCode>
                <c:ptCount val="10"/>
                <c:pt idx="0">
                  <c:v>84315</c:v>
                </c:pt>
                <c:pt idx="1">
                  <c:v>88691</c:v>
                </c:pt>
                <c:pt idx="2">
                  <c:v>91795</c:v>
                </c:pt>
                <c:pt idx="3">
                  <c:v>89036</c:v>
                </c:pt>
                <c:pt idx="4">
                  <c:v>90428</c:v>
                </c:pt>
                <c:pt idx="5">
                  <c:v>90090</c:v>
                </c:pt>
                <c:pt idx="6">
                  <c:v>94995</c:v>
                </c:pt>
                <c:pt idx="7">
                  <c:v>83900</c:v>
                </c:pt>
                <c:pt idx="8" formatCode="#,##0_ ">
                  <c:v>107175</c:v>
                </c:pt>
                <c:pt idx="9" formatCode="#,##0_ ">
                  <c:v>120646</c:v>
                </c:pt>
              </c:numCache>
            </c:numRef>
          </c:val>
          <c:extLst>
            <c:ext xmlns:c16="http://schemas.microsoft.com/office/drawing/2014/chart" uri="{C3380CC4-5D6E-409C-BE32-E72D297353CC}">
              <c16:uniqueId val="{00000000-3830-4FA8-8F4E-72EAE1B9ED86}"/>
            </c:ext>
          </c:extLst>
        </c:ser>
        <c:ser>
          <c:idx val="4"/>
          <c:order val="1"/>
          <c:tx>
            <c:strRef>
              <c:f>'Ch3. First filings'!$A$10</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First filings'!$J$5:$U$5</c15:sqref>
                  </c15:fullRef>
                </c:ext>
              </c:extLst>
              <c:f>'Ch3. First filings'!$L$5:$U$5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First filings'!$J$10:$U$10</c15:sqref>
                  </c15:fullRef>
                </c:ext>
              </c:extLst>
              <c:f>'Ch3. First filings'!$L$10:$U$10</c:f>
              <c:numCache>
                <c:formatCode>#,##0</c:formatCode>
                <c:ptCount val="10"/>
                <c:pt idx="0">
                  <c:v>260984</c:v>
                </c:pt>
                <c:pt idx="1">
                  <c:v>260274</c:v>
                </c:pt>
                <c:pt idx="2">
                  <c:v>264685</c:v>
                </c:pt>
                <c:pt idx="3">
                  <c:v>260824</c:v>
                </c:pt>
                <c:pt idx="4">
                  <c:v>250372</c:v>
                </c:pt>
                <c:pt idx="5">
                  <c:v>248498</c:v>
                </c:pt>
                <c:pt idx="6">
                  <c:v>232914</c:v>
                </c:pt>
                <c:pt idx="7">
                  <c:v>224805</c:v>
                </c:pt>
                <c:pt idx="8" formatCode="#,##0_ ">
                  <c:v>214461</c:v>
                </c:pt>
                <c:pt idx="9" formatCode="#,##0_ ">
                  <c:v>249472</c:v>
                </c:pt>
              </c:numCache>
            </c:numRef>
          </c:val>
          <c:extLst>
            <c:ext xmlns:c16="http://schemas.microsoft.com/office/drawing/2014/chart" uri="{C3380CC4-5D6E-409C-BE32-E72D297353CC}">
              <c16:uniqueId val="{00000001-3830-4FA8-8F4E-72EAE1B9ED86}"/>
            </c:ext>
          </c:extLst>
        </c:ser>
        <c:ser>
          <c:idx val="3"/>
          <c:order val="2"/>
          <c:tx>
            <c:strRef>
              <c:f>'Ch3. First filings'!$A$9</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First filings'!$J$5:$U$5</c15:sqref>
                  </c15:fullRef>
                </c:ext>
              </c:extLst>
              <c:f>'Ch3. First filings'!$L$5:$U$5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First filings'!$J$9:$U$9</c15:sqref>
                  </c15:fullRef>
                </c:ext>
              </c:extLst>
              <c:f>'Ch3. First filings'!$L$9:$U$9</c:f>
              <c:numCache>
                <c:formatCode>#,##0</c:formatCode>
                <c:ptCount val="10"/>
                <c:pt idx="0">
                  <c:v>798074</c:v>
                </c:pt>
                <c:pt idx="1">
                  <c:v>965137</c:v>
                </c:pt>
                <c:pt idx="2">
                  <c:v>1200383</c:v>
                </c:pt>
                <c:pt idx="3">
                  <c:v>1245128</c:v>
                </c:pt>
                <c:pt idx="4">
                  <c:v>1393195</c:v>
                </c:pt>
                <c:pt idx="5">
                  <c:v>1242826</c:v>
                </c:pt>
                <c:pt idx="6">
                  <c:v>1344166</c:v>
                </c:pt>
                <c:pt idx="7">
                  <c:v>1425749</c:v>
                </c:pt>
                <c:pt idx="8" formatCode="#,##0_ ">
                  <c:v>1463796</c:v>
                </c:pt>
                <c:pt idx="9" formatCode="#,##0_ ">
                  <c:v>1521441</c:v>
                </c:pt>
              </c:numCache>
            </c:numRef>
          </c:val>
          <c:extLst>
            <c:ext xmlns:c16="http://schemas.microsoft.com/office/drawing/2014/chart" uri="{C3380CC4-5D6E-409C-BE32-E72D297353CC}">
              <c16:uniqueId val="{00000002-3830-4FA8-8F4E-72EAE1B9ED86}"/>
            </c:ext>
          </c:extLst>
        </c:ser>
        <c:ser>
          <c:idx val="2"/>
          <c:order val="3"/>
          <c:tx>
            <c:strRef>
              <c:f>'Ch3. First filings'!$A$8</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First filings'!$J$5:$U$5</c15:sqref>
                  </c15:fullRef>
                </c:ext>
              </c:extLst>
              <c:f>'Ch3. First filings'!$L$5:$U$5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First filings'!$J$8:$U$8</c15:sqref>
                  </c15:fullRef>
                </c:ext>
              </c:extLst>
              <c:f>'Ch3. First filings'!$L$8:$U$8</c:f>
              <c:numCache>
                <c:formatCode>#,##0</c:formatCode>
                <c:ptCount val="10"/>
                <c:pt idx="0">
                  <c:v>163185</c:v>
                </c:pt>
                <c:pt idx="1">
                  <c:v>166376</c:v>
                </c:pt>
                <c:pt idx="2">
                  <c:v>162297</c:v>
                </c:pt>
                <c:pt idx="3">
                  <c:v>158190</c:v>
                </c:pt>
                <c:pt idx="4">
                  <c:v>161646</c:v>
                </c:pt>
                <c:pt idx="5">
                  <c:v>170377</c:v>
                </c:pt>
                <c:pt idx="6">
                  <c:v>179500</c:v>
                </c:pt>
                <c:pt idx="7">
                  <c:v>184746</c:v>
                </c:pt>
                <c:pt idx="8" formatCode="#,##0_ ">
                  <c:v>181505</c:v>
                </c:pt>
                <c:pt idx="9" formatCode="#,##0_ ">
                  <c:v>189158</c:v>
                </c:pt>
              </c:numCache>
            </c:numRef>
          </c:val>
          <c:extLst>
            <c:ext xmlns:c16="http://schemas.microsoft.com/office/drawing/2014/chart" uri="{C3380CC4-5D6E-409C-BE32-E72D297353CC}">
              <c16:uniqueId val="{00000003-3830-4FA8-8F4E-72EAE1B9ED86}"/>
            </c:ext>
          </c:extLst>
        </c:ser>
        <c:ser>
          <c:idx val="1"/>
          <c:order val="4"/>
          <c:tx>
            <c:strRef>
              <c:f>'Ch3. First filings'!$A$7</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First filings'!$J$5:$U$5</c15:sqref>
                  </c15:fullRef>
                </c:ext>
              </c:extLst>
              <c:f>'Ch3. First filings'!$L$5:$U$5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First filings'!$J$7:$U$7</c15:sqref>
                  </c15:fullRef>
                </c:ext>
              </c:extLst>
              <c:f>'Ch3. First filings'!$L$7:$U$7</c:f>
              <c:numCache>
                <c:formatCode>#,##0</c:formatCode>
                <c:ptCount val="10"/>
                <c:pt idx="0">
                  <c:v>245343</c:v>
                </c:pt>
                <c:pt idx="1">
                  <c:v>237574</c:v>
                </c:pt>
                <c:pt idx="2">
                  <c:v>238167</c:v>
                </c:pt>
                <c:pt idx="3">
                  <c:v>236216</c:v>
                </c:pt>
                <c:pt idx="4">
                  <c:v>228705</c:v>
                </c:pt>
                <c:pt idx="5">
                  <c:v>219138</c:v>
                </c:pt>
                <c:pt idx="6">
                  <c:v>200385</c:v>
                </c:pt>
                <c:pt idx="7">
                  <c:v>194630</c:v>
                </c:pt>
                <c:pt idx="8" formatCode="#,##0_ ">
                  <c:v>190549</c:v>
                </c:pt>
                <c:pt idx="9" formatCode="#,##0_ ">
                  <c:v>199872</c:v>
                </c:pt>
              </c:numCache>
            </c:numRef>
          </c:val>
          <c:extLst>
            <c:ext xmlns:c16="http://schemas.microsoft.com/office/drawing/2014/chart" uri="{C3380CC4-5D6E-409C-BE32-E72D297353CC}">
              <c16:uniqueId val="{00000004-3830-4FA8-8F4E-72EAE1B9ED86}"/>
            </c:ext>
          </c:extLst>
        </c:ser>
        <c:ser>
          <c:idx val="0"/>
          <c:order val="5"/>
          <c:tx>
            <c:strRef>
              <c:f>'Ch3. First filings'!$A$6</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First filings'!$J$5:$U$5</c15:sqref>
                  </c15:fullRef>
                </c:ext>
              </c:extLst>
              <c:f>'Ch3. First filings'!$L$5:$U$5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First filings'!$J$6:$U$6</c15:sqref>
                  </c15:fullRef>
                </c:ext>
              </c:extLst>
              <c:f>'Ch3. First filings'!$L$6:$U$6</c:f>
              <c:numCache>
                <c:formatCode>#,##0</c:formatCode>
                <c:ptCount val="10"/>
                <c:pt idx="0">
                  <c:v>128438</c:v>
                </c:pt>
                <c:pt idx="1">
                  <c:v>127357</c:v>
                </c:pt>
                <c:pt idx="2">
                  <c:v>130034.25</c:v>
                </c:pt>
                <c:pt idx="3">
                  <c:v>130216</c:v>
                </c:pt>
                <c:pt idx="4">
                  <c:v>130840</c:v>
                </c:pt>
                <c:pt idx="5">
                  <c:v>134118</c:v>
                </c:pt>
                <c:pt idx="6">
                  <c:v>129364</c:v>
                </c:pt>
                <c:pt idx="7">
                  <c:v>126554</c:v>
                </c:pt>
                <c:pt idx="8" formatCode="#,##0_ ">
                  <c:v>121755</c:v>
                </c:pt>
                <c:pt idx="9" formatCode="#,##0_ ">
                  <c:v>125786</c:v>
                </c:pt>
              </c:numCache>
            </c:numRef>
          </c:val>
          <c:extLst>
            <c:ext xmlns:c16="http://schemas.microsoft.com/office/drawing/2014/chart" uri="{C3380CC4-5D6E-409C-BE32-E72D297353CC}">
              <c16:uniqueId val="{00000005-3830-4FA8-8F4E-72EAE1B9ED86}"/>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First filings'!$J$5:$U$5</c15:sqref>
                  </c15:fullRef>
                </c:ext>
              </c:extLst>
              <c:f>'Ch3. First filings'!$L$5:$U$5</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First filings'!$J$12:$U$12</c15:sqref>
                  </c15:fullRef>
                </c:ext>
              </c:extLst>
              <c:f>'Ch3. First filings'!$L$12:$U$12</c:f>
              <c:numCache>
                <c:formatCode>#,##0</c:formatCode>
                <c:ptCount val="10"/>
                <c:pt idx="0">
                  <c:v>1680339</c:v>
                </c:pt>
                <c:pt idx="1">
                  <c:v>1845409</c:v>
                </c:pt>
                <c:pt idx="2">
                  <c:v>2087361.25</c:v>
                </c:pt>
                <c:pt idx="3">
                  <c:v>2119610</c:v>
                </c:pt>
                <c:pt idx="4">
                  <c:v>2255186</c:v>
                </c:pt>
                <c:pt idx="5">
                  <c:v>2105047</c:v>
                </c:pt>
                <c:pt idx="6">
                  <c:v>2181324</c:v>
                </c:pt>
                <c:pt idx="7">
                  <c:v>2240384</c:v>
                </c:pt>
                <c:pt idx="8">
                  <c:v>2279241</c:v>
                </c:pt>
                <c:pt idx="9">
                  <c:v>2406375</c:v>
                </c:pt>
              </c:numCache>
            </c:numRef>
          </c:val>
          <c:extLst>
            <c:ext xmlns:c16="http://schemas.microsoft.com/office/drawing/2014/chart" uri="{C3380CC4-5D6E-409C-BE32-E72D297353CC}">
              <c16:uniqueId val="{00000006-3830-4FA8-8F4E-72EAE1B9ED86}"/>
            </c:ext>
          </c:extLst>
        </c:ser>
        <c:dLbls>
          <c:showLegendKey val="0"/>
          <c:showVal val="0"/>
          <c:showCatName val="0"/>
          <c:showSerName val="0"/>
          <c:showPercent val="0"/>
          <c:showBubbleSize val="0"/>
        </c:dLbls>
        <c:gapWidth val="10"/>
        <c:overlap val="100"/>
        <c:axId val="1788454960"/>
        <c:axId val="1788459312"/>
      </c:barChart>
      <c:catAx>
        <c:axId val="178845496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crossAx val="1788459312"/>
        <c:crosses val="autoZero"/>
        <c:auto val="1"/>
        <c:lblAlgn val="ctr"/>
        <c:lblOffset val="100"/>
        <c:noMultiLvlLbl val="0"/>
      </c:catAx>
      <c:valAx>
        <c:axId val="1788459312"/>
        <c:scaling>
          <c:orientation val="minMax"/>
          <c:max val="2540000"/>
          <c:min val="0"/>
        </c:scaling>
        <c:delete val="1"/>
        <c:axPos val="l"/>
        <c:numFmt formatCode="#,##0" sourceLinked="1"/>
        <c:majorTickMark val="out"/>
        <c:minorTickMark val="none"/>
        <c:tickLblPos val="nextTo"/>
        <c:crossAx val="1788454960"/>
        <c:crosses val="autoZero"/>
        <c:crossBetween val="between"/>
      </c:valAx>
      <c:spPr>
        <a:noFill/>
        <a:ln>
          <a:noFill/>
        </a:ln>
        <a:effectLst/>
      </c:spPr>
    </c:plotArea>
    <c:legend>
      <c:legendPos val="r"/>
      <c:legendEntry>
        <c:idx val="0"/>
        <c:delete val="1"/>
      </c:legendEntry>
      <c:layout>
        <c:manualLayout>
          <c:xMode val="edge"/>
          <c:yMode val="edge"/>
          <c:x val="0.86290692472692998"/>
          <c:y val="0.19870647419072601"/>
          <c:w val="0.129181977875613"/>
          <c:h val="0.57505905511810995"/>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2933dd11-1587-4680-a7da-71962edd41cc}"/>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2019</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D88C-4D44-A5AA-A00BE199C5DC}"/>
              </c:ext>
            </c:extLst>
          </c:dPt>
          <c:dPt>
            <c:idx val="1"/>
            <c:bubble3D val="0"/>
            <c:spPr>
              <a:solidFill>
                <a:srgbClr val="FF0000"/>
              </a:solidFill>
              <a:ln>
                <a:solidFill>
                  <a:schemeClr val="bg1"/>
                </a:solidFill>
              </a:ln>
            </c:spPr>
            <c:extLst>
              <c:ext xmlns:c16="http://schemas.microsoft.com/office/drawing/2014/chart" uri="{C3380CC4-5D6E-409C-BE32-E72D297353CC}">
                <c16:uniqueId val="{00000003-D88C-4D44-A5AA-A00BE199C5DC}"/>
              </c:ext>
            </c:extLst>
          </c:dPt>
          <c:dPt>
            <c:idx val="2"/>
            <c:bubble3D val="0"/>
            <c:spPr>
              <a:solidFill>
                <a:srgbClr val="7030A0"/>
              </a:solidFill>
              <a:ln>
                <a:solidFill>
                  <a:schemeClr val="bg1"/>
                </a:solidFill>
              </a:ln>
            </c:spPr>
            <c:extLst>
              <c:ext xmlns:c16="http://schemas.microsoft.com/office/drawing/2014/chart" uri="{C3380CC4-5D6E-409C-BE32-E72D297353CC}">
                <c16:uniqueId val="{00000005-D88C-4D44-A5AA-A00BE199C5DC}"/>
              </c:ext>
            </c:extLst>
          </c:dPt>
          <c:dPt>
            <c:idx val="3"/>
            <c:bubble3D val="0"/>
            <c:spPr>
              <a:solidFill>
                <a:srgbClr val="FFC000"/>
              </a:solidFill>
              <a:ln>
                <a:solidFill>
                  <a:schemeClr val="bg1"/>
                </a:solidFill>
              </a:ln>
            </c:spPr>
            <c:extLst>
              <c:ext xmlns:c16="http://schemas.microsoft.com/office/drawing/2014/chart" uri="{C3380CC4-5D6E-409C-BE32-E72D297353CC}">
                <c16:uniqueId val="{00000007-D88C-4D44-A5AA-A00BE199C5DC}"/>
              </c:ext>
            </c:extLst>
          </c:dPt>
          <c:dPt>
            <c:idx val="4"/>
            <c:bubble3D val="0"/>
            <c:spPr>
              <a:solidFill>
                <a:srgbClr val="008000"/>
              </a:solidFill>
              <a:ln>
                <a:solidFill>
                  <a:schemeClr val="bg1"/>
                </a:solidFill>
              </a:ln>
            </c:spPr>
            <c:extLst>
              <c:ext xmlns:c16="http://schemas.microsoft.com/office/drawing/2014/chart" uri="{C3380CC4-5D6E-409C-BE32-E72D297353CC}">
                <c16:uniqueId val="{00000009-D88C-4D44-A5AA-A00BE199C5DC}"/>
              </c:ext>
            </c:extLst>
          </c:dPt>
          <c:dPt>
            <c:idx val="5"/>
            <c:bubble3D val="0"/>
            <c:spPr>
              <a:solidFill>
                <a:schemeClr val="accent2"/>
              </a:solidFill>
              <a:ln>
                <a:solidFill>
                  <a:schemeClr val="bg1"/>
                </a:solidFill>
              </a:ln>
            </c:spPr>
            <c:extLst>
              <c:ext xmlns:c16="http://schemas.microsoft.com/office/drawing/2014/chart" uri="{C3380CC4-5D6E-409C-BE32-E72D297353CC}">
                <c16:uniqueId val="{0000000B-D88C-4D44-A5AA-A00BE199C5DC}"/>
              </c:ext>
            </c:extLst>
          </c:dPt>
          <c:dLbls>
            <c:dLbl>
              <c:idx val="0"/>
              <c:layout>
                <c:manualLayout>
                  <c:x val="-0.20162602401972499"/>
                  <c:y val="0.1969363618172839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531313131313099"/>
                      <c:h val="0.28706765691402503"/>
                    </c:manualLayout>
                  </c15:layout>
                </c:ext>
                <c:ext xmlns:c16="http://schemas.microsoft.com/office/drawing/2014/chart" uri="{C3380CC4-5D6E-409C-BE32-E72D297353CC}">
                  <c16:uniqueId val="{00000001-D88C-4D44-A5AA-A00BE199C5DC}"/>
                </c:ext>
              </c:extLst>
            </c:dLbl>
            <c:dLbl>
              <c:idx val="1"/>
              <c:layout>
                <c:manualLayout>
                  <c:x val="-0.19049057504175601"/>
                  <c:y val="-0.125575686804467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943434343434301"/>
                      <c:h val="0.232109444050799"/>
                    </c:manualLayout>
                  </c15:layout>
                </c:ext>
                <c:ext xmlns:c16="http://schemas.microsoft.com/office/drawing/2014/chart" uri="{C3380CC4-5D6E-409C-BE32-E72D297353CC}">
                  <c16:uniqueId val="{00000003-D88C-4D44-A5AA-A00BE199C5DC}"/>
                </c:ext>
              </c:extLst>
            </c:dLbl>
            <c:dLbl>
              <c:idx val="2"/>
              <c:layout>
                <c:manualLayout>
                  <c:x val="-4.3803388212836997E-2"/>
                  <c:y val="-3.6512068599408302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204040404040399"/>
                      <c:h val="0.232109444050799"/>
                    </c:manualLayout>
                  </c15:layout>
                </c:ext>
                <c:ext xmlns:c16="http://schemas.microsoft.com/office/drawing/2014/chart" uri="{C3380CC4-5D6E-409C-BE32-E72D297353CC}">
                  <c16:uniqueId val="{00000005-D88C-4D44-A5AA-A00BE199C5DC}"/>
                </c:ext>
              </c:extLst>
            </c:dLbl>
            <c:dLbl>
              <c:idx val="3"/>
              <c:layout>
                <c:manualLayout>
                  <c:x val="0.12353662610355499"/>
                  <c:y val="-9.78468596572801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8589898989898999"/>
                      <c:h val="0.28706765691402503"/>
                    </c:manualLayout>
                  </c15:layout>
                </c:ext>
                <c:ext xmlns:c16="http://schemas.microsoft.com/office/drawing/2014/chart" uri="{C3380CC4-5D6E-409C-BE32-E72D297353CC}">
                  <c16:uniqueId val="{00000007-D88C-4D44-A5AA-A00BE199C5DC}"/>
                </c:ext>
              </c:extLst>
            </c:dLbl>
            <c:dLbl>
              <c:idx val="5"/>
              <c:layout>
                <c:manualLayout>
                  <c:x val="0.142634852461624"/>
                  <c:y val="0.114544153361386"/>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050505050505101"/>
                      <c:h val="0.232109444050799"/>
                    </c:manualLayout>
                  </c15:layout>
                </c:ext>
                <c:ext xmlns:c16="http://schemas.microsoft.com/office/drawing/2014/chart" uri="{C3380CC4-5D6E-409C-BE32-E72D297353CC}">
                  <c16:uniqueId val="{0000000B-D88C-4D44-A5AA-A00BE199C5DC}"/>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Patents-in-Force'!$X$8:$X$13</c:f>
              <c:numCache>
                <c:formatCode>#,##0</c:formatCode>
                <c:ptCount val="6"/>
                <c:pt idx="0">
                  <c:v>4641346</c:v>
                </c:pt>
                <c:pt idx="1">
                  <c:v>2053879</c:v>
                </c:pt>
                <c:pt idx="2">
                  <c:v>1048079</c:v>
                </c:pt>
                <c:pt idx="3">
                  <c:v>2670784</c:v>
                </c:pt>
                <c:pt idx="4">
                  <c:v>3131427</c:v>
                </c:pt>
                <c:pt idx="5">
                  <c:v>1340117</c:v>
                </c:pt>
              </c:numCache>
            </c:numRef>
          </c:val>
          <c:extLst>
            <c:ext xmlns:c16="http://schemas.microsoft.com/office/drawing/2014/chart" uri="{C3380CC4-5D6E-409C-BE32-E72D297353CC}">
              <c16:uniqueId val="{0000000C-D88C-4D44-A5AA-A00BE199C5DC}"/>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D88C-4D44-A5AA-A00BE199C5D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D88C-4D44-A5AA-A00BE199C5D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D88C-4D44-A5AA-A00BE199C5D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D88C-4D44-A5AA-A00BE199C5D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D88C-4D44-A5AA-A00BE199C5D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D88C-4D44-A5AA-A00BE199C5DC}"/>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D88C-4D44-A5AA-A00BE199C5DC}"/>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991901b2-6745-4501-b678-5ea7ba61851d}"/>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Fig.3.5: WORLDWIDE PATENT APPLICATIONS - FILING PROCEDURES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Patent applications'!$B$118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applications'!$D$118:$W$118</c:f>
              <c:numCache>
                <c:formatCode>#,##0</c:formatCode>
                <c:ptCount val="20"/>
                <c:pt idx="0">
                  <c:v>1149981</c:v>
                </c:pt>
                <c:pt idx="1">
                  <c:v>1237028</c:v>
                </c:pt>
                <c:pt idx="2">
                  <c:v>1282384</c:v>
                </c:pt>
                <c:pt idx="3">
                  <c:v>1307377</c:v>
                </c:pt>
                <c:pt idx="4">
                  <c:v>1382985</c:v>
                </c:pt>
                <c:pt idx="5">
                  <c:v>1331777</c:v>
                </c:pt>
                <c:pt idx="6">
                  <c:v>1389232</c:v>
                </c:pt>
                <c:pt idx="7">
                  <c:v>1555711</c:v>
                </c:pt>
                <c:pt idx="8">
                  <c:v>1728578</c:v>
                </c:pt>
                <c:pt idx="9">
                  <c:v>1921441</c:v>
                </c:pt>
                <c:pt idx="10">
                  <c:v>2008933</c:v>
                </c:pt>
                <c:pt idx="11">
                  <c:v>2188932</c:v>
                </c:pt>
                <c:pt idx="12">
                  <c:v>2436257</c:v>
                </c:pt>
                <c:pt idx="13">
                  <c:v>2456411</c:v>
                </c:pt>
                <c:pt idx="14">
                  <c:v>2600036</c:v>
                </c:pt>
                <c:pt idx="15">
                  <c:v>2465543</c:v>
                </c:pt>
                <c:pt idx="16">
                  <c:v>2538782</c:v>
                </c:pt>
                <c:pt idx="17">
                  <c:v>2598438</c:v>
                </c:pt>
                <c:pt idx="18" formatCode="#,##0_);[Red]\(#,##0\)">
                  <c:v>2642997</c:v>
                </c:pt>
                <c:pt idx="19" formatCode="#,##0_);[Red]\(#,##0\)">
                  <c:v>2783286</c:v>
                </c:pt>
              </c:numCache>
            </c:numRef>
          </c:val>
          <c:extLst>
            <c:ext xmlns:c16="http://schemas.microsoft.com/office/drawing/2014/chart" uri="{C3380CC4-5D6E-409C-BE32-E72D297353CC}">
              <c16:uniqueId val="{00000000-A90B-4C0C-86B7-C8B0ECA1E450}"/>
            </c:ext>
          </c:extLst>
        </c:ser>
        <c:ser>
          <c:idx val="1"/>
          <c:order val="1"/>
          <c:tx>
            <c:strRef>
              <c:f>'Ch3. Patent applications'!$B$119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applications'!$D$119:$W$119</c:f>
              <c:numCache>
                <c:formatCode>#,##0</c:formatCode>
                <c:ptCount val="20"/>
                <c:pt idx="0">
                  <c:v>58784</c:v>
                </c:pt>
                <c:pt idx="1">
                  <c:v>61203</c:v>
                </c:pt>
                <c:pt idx="2">
                  <c:v>61434</c:v>
                </c:pt>
                <c:pt idx="3">
                  <c:v>62606</c:v>
                </c:pt>
                <c:pt idx="4">
                  <c:v>63095</c:v>
                </c:pt>
                <c:pt idx="5">
                  <c:v>56448</c:v>
                </c:pt>
                <c:pt idx="6">
                  <c:v>71945</c:v>
                </c:pt>
                <c:pt idx="7">
                  <c:v>63183</c:v>
                </c:pt>
                <c:pt idx="8">
                  <c:v>64539</c:v>
                </c:pt>
                <c:pt idx="9">
                  <c:v>64431</c:v>
                </c:pt>
                <c:pt idx="10">
                  <c:v>63733</c:v>
                </c:pt>
                <c:pt idx="11">
                  <c:v>64548</c:v>
                </c:pt>
                <c:pt idx="12">
                  <c:v>67559</c:v>
                </c:pt>
                <c:pt idx="13">
                  <c:v>70944</c:v>
                </c:pt>
                <c:pt idx="14">
                  <c:v>75478</c:v>
                </c:pt>
                <c:pt idx="15">
                  <c:v>79019</c:v>
                </c:pt>
                <c:pt idx="16">
                  <c:v>76930</c:v>
                </c:pt>
                <c:pt idx="17">
                  <c:v>75129</c:v>
                </c:pt>
                <c:pt idx="18" formatCode="#,##0_);[Red]\(#,##0\)">
                  <c:v>74049</c:v>
                </c:pt>
                <c:pt idx="19" formatCode="#,##0_);[Red]\(#,##0\)">
                  <c:v>79677</c:v>
                </c:pt>
              </c:numCache>
            </c:numRef>
          </c:val>
          <c:extLst>
            <c:ext xmlns:c16="http://schemas.microsoft.com/office/drawing/2014/chart" uri="{C3380CC4-5D6E-409C-BE32-E72D297353CC}">
              <c16:uniqueId val="{00000001-A90B-4C0C-86B7-C8B0ECA1E450}"/>
            </c:ext>
          </c:extLst>
        </c:ser>
        <c:ser>
          <c:idx val="2"/>
          <c:order val="2"/>
          <c:tx>
            <c:strRef>
              <c:f>'Ch3. Patent applications'!$B$120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applications'!$D$120:$W$120</c:f>
              <c:numCache>
                <c:formatCode>#,##0</c:formatCode>
                <c:ptCount val="20"/>
                <c:pt idx="0">
                  <c:v>298692</c:v>
                </c:pt>
                <c:pt idx="1">
                  <c:v>329144</c:v>
                </c:pt>
                <c:pt idx="2">
                  <c:v>381797</c:v>
                </c:pt>
                <c:pt idx="3">
                  <c:v>380848</c:v>
                </c:pt>
                <c:pt idx="4">
                  <c:v>401499</c:v>
                </c:pt>
                <c:pt idx="5">
                  <c:v>374289</c:v>
                </c:pt>
                <c:pt idx="6">
                  <c:v>446420</c:v>
                </c:pt>
                <c:pt idx="7">
                  <c:v>499808</c:v>
                </c:pt>
                <c:pt idx="8">
                  <c:v>530108</c:v>
                </c:pt>
                <c:pt idx="9">
                  <c:v>564089</c:v>
                </c:pt>
                <c:pt idx="10">
                  <c:v>593193</c:v>
                </c:pt>
                <c:pt idx="11">
                  <c:v>608577</c:v>
                </c:pt>
                <c:pt idx="12">
                  <c:v>608409</c:v>
                </c:pt>
                <c:pt idx="13">
                  <c:v>628681</c:v>
                </c:pt>
                <c:pt idx="14">
                  <c:v>646602</c:v>
                </c:pt>
                <c:pt idx="15">
                  <c:v>673938</c:v>
                </c:pt>
                <c:pt idx="16">
                  <c:v>663044</c:v>
                </c:pt>
                <c:pt idx="17">
                  <c:v>713364</c:v>
                </c:pt>
                <c:pt idx="18" formatCode="#,##0_);[Red]\(#,##0\)">
                  <c:v>735104</c:v>
                </c:pt>
                <c:pt idx="19" formatCode="#,##0_);[Red]\(#,##0\)">
                  <c:v>689425</c:v>
                </c:pt>
              </c:numCache>
            </c:numRef>
          </c:val>
          <c:extLst>
            <c:ext xmlns:c16="http://schemas.microsoft.com/office/drawing/2014/chart" uri="{C3380CC4-5D6E-409C-BE32-E72D297353CC}">
              <c16:uniqueId val="{00000002-A90B-4C0C-86B7-C8B0ECA1E450}"/>
            </c:ext>
          </c:extLst>
        </c:ser>
        <c:ser>
          <c:idx val="3"/>
          <c:order val="3"/>
          <c:spPr>
            <a:no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applications'!$D$121:$W$121</c:f>
              <c:numCache>
                <c:formatCode>#,##0</c:formatCode>
                <c:ptCount val="20"/>
                <c:pt idx="0">
                  <c:v>1507457</c:v>
                </c:pt>
                <c:pt idx="1">
                  <c:v>1627375</c:v>
                </c:pt>
                <c:pt idx="2">
                  <c:v>1725615</c:v>
                </c:pt>
                <c:pt idx="3">
                  <c:v>1750831</c:v>
                </c:pt>
                <c:pt idx="4">
                  <c:v>1847579</c:v>
                </c:pt>
                <c:pt idx="5">
                  <c:v>1762514</c:v>
                </c:pt>
                <c:pt idx="6">
                  <c:v>1907597</c:v>
                </c:pt>
                <c:pt idx="7">
                  <c:v>2118702</c:v>
                </c:pt>
                <c:pt idx="8">
                  <c:v>2323225</c:v>
                </c:pt>
                <c:pt idx="9">
                  <c:v>2549961</c:v>
                </c:pt>
                <c:pt idx="10">
                  <c:v>2665859</c:v>
                </c:pt>
                <c:pt idx="11">
                  <c:v>2862057</c:v>
                </c:pt>
                <c:pt idx="12">
                  <c:v>3112225</c:v>
                </c:pt>
                <c:pt idx="13">
                  <c:v>3156036</c:v>
                </c:pt>
                <c:pt idx="14">
                  <c:v>3322116</c:v>
                </c:pt>
                <c:pt idx="15">
                  <c:v>3218500</c:v>
                </c:pt>
                <c:pt idx="16">
                  <c:v>3278756</c:v>
                </c:pt>
                <c:pt idx="17">
                  <c:v>3386931</c:v>
                </c:pt>
                <c:pt idx="18" formatCode="#,##0_);[Red]\(#,##0\)">
                  <c:v>3452150</c:v>
                </c:pt>
                <c:pt idx="19" formatCode="#,##0_);[Red]\(#,##0\)">
                  <c:v>3552388</c:v>
                </c:pt>
              </c:numCache>
            </c:numRef>
          </c:val>
          <c:extLst>
            <c:ext xmlns:c16="http://schemas.microsoft.com/office/drawing/2014/chart" uri="{C3380CC4-5D6E-409C-BE32-E72D297353CC}">
              <c16:uniqueId val="{00000003-A90B-4C0C-86B7-C8B0ECA1E450}"/>
            </c:ext>
          </c:extLst>
        </c:ser>
        <c:dLbls>
          <c:showLegendKey val="0"/>
          <c:showVal val="0"/>
          <c:showCatName val="0"/>
          <c:showSerName val="0"/>
          <c:showPercent val="0"/>
          <c:showBubbleSize val="0"/>
        </c:dLbls>
        <c:gapWidth val="10"/>
        <c:overlap val="100"/>
        <c:axId val="1788455504"/>
        <c:axId val="1788460944"/>
      </c:barChart>
      <c:catAx>
        <c:axId val="178845550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60944"/>
        <c:crosses val="autoZero"/>
        <c:auto val="1"/>
        <c:lblAlgn val="ctr"/>
        <c:lblOffset val="100"/>
        <c:noMultiLvlLbl val="0"/>
      </c:catAx>
      <c:valAx>
        <c:axId val="1788460944"/>
        <c:scaling>
          <c:orientation val="minMax"/>
          <c:max val="3770000"/>
          <c:min val="0"/>
        </c:scaling>
        <c:delete val="1"/>
        <c:axPos val="l"/>
        <c:numFmt formatCode="#,##0" sourceLinked="1"/>
        <c:majorTickMark val="out"/>
        <c:minorTickMark val="none"/>
        <c:tickLblPos val="nextTo"/>
        <c:crossAx val="1788455504"/>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6fc7bfd5-5b0a-4e50-99af-4a313a399735}"/>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Fig.3.5: WORLDWIDE PATENT APPLICATIONS - FILING PROCEDURES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E-2"/>
          <c:y val="0.112393966211875"/>
          <c:w val="0.83717546697647505"/>
          <c:h val="0.80605029970181297"/>
        </c:manualLayout>
      </c:layout>
      <c:barChart>
        <c:barDir val="col"/>
        <c:grouping val="stacked"/>
        <c:varyColors val="0"/>
        <c:ser>
          <c:idx val="0"/>
          <c:order val="0"/>
          <c:tx>
            <c:strRef>
              <c:f>'Ch3. Patent applications'!$B$118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applications'!$L$117:$W$117</c15:sqref>
                  </c15:fullRef>
                </c:ext>
              </c:extLst>
              <c:f>'Ch3. Patent applications'!$N$117:$W$117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applications'!$L$118:$W$118</c15:sqref>
                  </c15:fullRef>
                </c:ext>
              </c:extLst>
              <c:f>'Ch3. Patent applications'!$N$118:$W$118</c:f>
              <c:numCache>
                <c:formatCode>#,##0</c:formatCode>
                <c:ptCount val="10"/>
                <c:pt idx="0">
                  <c:v>2008933</c:v>
                </c:pt>
                <c:pt idx="1">
                  <c:v>2188932</c:v>
                </c:pt>
                <c:pt idx="2">
                  <c:v>2436257</c:v>
                </c:pt>
                <c:pt idx="3">
                  <c:v>2456411</c:v>
                </c:pt>
                <c:pt idx="4">
                  <c:v>2600036</c:v>
                </c:pt>
                <c:pt idx="5">
                  <c:v>2465543</c:v>
                </c:pt>
                <c:pt idx="6">
                  <c:v>2538782</c:v>
                </c:pt>
                <c:pt idx="7">
                  <c:v>2598438</c:v>
                </c:pt>
                <c:pt idx="8" formatCode="#,##0_);[Red]\(#,##0\)">
                  <c:v>2642997</c:v>
                </c:pt>
                <c:pt idx="9" formatCode="#,##0_);[Red]\(#,##0\)">
                  <c:v>2783286</c:v>
                </c:pt>
              </c:numCache>
            </c:numRef>
          </c:val>
          <c:extLst>
            <c:ext xmlns:c16="http://schemas.microsoft.com/office/drawing/2014/chart" uri="{C3380CC4-5D6E-409C-BE32-E72D297353CC}">
              <c16:uniqueId val="{00000000-BF82-407B-B1A9-12CAA1894632}"/>
            </c:ext>
          </c:extLst>
        </c:ser>
        <c:ser>
          <c:idx val="1"/>
          <c:order val="1"/>
          <c:tx>
            <c:strRef>
              <c:f>'Ch3. Patent applications'!$B$119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applications'!$L$117:$W$117</c15:sqref>
                  </c15:fullRef>
                </c:ext>
              </c:extLst>
              <c:f>'Ch3. Patent applications'!$N$117:$W$117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applications'!$L$119:$W$119</c15:sqref>
                  </c15:fullRef>
                </c:ext>
              </c:extLst>
              <c:f>'Ch3. Patent applications'!$N$119:$W$119</c:f>
              <c:numCache>
                <c:formatCode>#,##0</c:formatCode>
                <c:ptCount val="10"/>
                <c:pt idx="0">
                  <c:v>63733</c:v>
                </c:pt>
                <c:pt idx="1">
                  <c:v>64548</c:v>
                </c:pt>
                <c:pt idx="2">
                  <c:v>67559</c:v>
                </c:pt>
                <c:pt idx="3">
                  <c:v>70944</c:v>
                </c:pt>
                <c:pt idx="4">
                  <c:v>75478</c:v>
                </c:pt>
                <c:pt idx="5">
                  <c:v>79019</c:v>
                </c:pt>
                <c:pt idx="6">
                  <c:v>76930</c:v>
                </c:pt>
                <c:pt idx="7">
                  <c:v>75129</c:v>
                </c:pt>
                <c:pt idx="8" formatCode="#,##0_);[Red]\(#,##0\)">
                  <c:v>74049</c:v>
                </c:pt>
                <c:pt idx="9" formatCode="#,##0_);[Red]\(#,##0\)">
                  <c:v>79677</c:v>
                </c:pt>
              </c:numCache>
            </c:numRef>
          </c:val>
          <c:extLst>
            <c:ext xmlns:c16="http://schemas.microsoft.com/office/drawing/2014/chart" uri="{C3380CC4-5D6E-409C-BE32-E72D297353CC}">
              <c16:uniqueId val="{00000001-BF82-407B-B1A9-12CAA1894632}"/>
            </c:ext>
          </c:extLst>
        </c:ser>
        <c:ser>
          <c:idx val="2"/>
          <c:order val="2"/>
          <c:tx>
            <c:strRef>
              <c:f>'Ch3. Patent applications'!$B$120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applications'!$L$117:$W$117</c15:sqref>
                  </c15:fullRef>
                </c:ext>
              </c:extLst>
              <c:f>'Ch3. Patent applications'!$N$117:$W$117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applications'!$L$120:$W$120</c15:sqref>
                  </c15:fullRef>
                </c:ext>
              </c:extLst>
              <c:f>'Ch3. Patent applications'!$N$120:$W$120</c:f>
              <c:numCache>
                <c:formatCode>#,##0</c:formatCode>
                <c:ptCount val="10"/>
                <c:pt idx="0">
                  <c:v>593193</c:v>
                </c:pt>
                <c:pt idx="1">
                  <c:v>608577</c:v>
                </c:pt>
                <c:pt idx="2">
                  <c:v>608409</c:v>
                </c:pt>
                <c:pt idx="3">
                  <c:v>628681</c:v>
                </c:pt>
                <c:pt idx="4">
                  <c:v>646602</c:v>
                </c:pt>
                <c:pt idx="5">
                  <c:v>673938</c:v>
                </c:pt>
                <c:pt idx="6">
                  <c:v>663044</c:v>
                </c:pt>
                <c:pt idx="7">
                  <c:v>713364</c:v>
                </c:pt>
                <c:pt idx="8" formatCode="#,##0_);[Red]\(#,##0\)">
                  <c:v>735104</c:v>
                </c:pt>
                <c:pt idx="9" formatCode="#,##0_);[Red]\(#,##0\)">
                  <c:v>689425</c:v>
                </c:pt>
              </c:numCache>
            </c:numRef>
          </c:val>
          <c:extLst>
            <c:ext xmlns:c16="http://schemas.microsoft.com/office/drawing/2014/chart" uri="{C3380CC4-5D6E-409C-BE32-E72D297353CC}">
              <c16:uniqueId val="{00000002-BF82-407B-B1A9-12CAA1894632}"/>
            </c:ext>
          </c:extLst>
        </c:ser>
        <c:ser>
          <c:idx val="3"/>
          <c:order val="3"/>
          <c:spPr>
            <a:no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10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applications'!$L$117:$W$117</c15:sqref>
                  </c15:fullRef>
                </c:ext>
              </c:extLst>
              <c:f>'Ch3. Patent applications'!$N$117:$W$117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applications'!$L$121:$W$121</c15:sqref>
                  </c15:fullRef>
                </c:ext>
              </c:extLst>
              <c:f>'Ch3. Patent applications'!$N$121:$W$121</c:f>
              <c:numCache>
                <c:formatCode>#,##0</c:formatCode>
                <c:ptCount val="10"/>
                <c:pt idx="0">
                  <c:v>2665859</c:v>
                </c:pt>
                <c:pt idx="1">
                  <c:v>2862057</c:v>
                </c:pt>
                <c:pt idx="2">
                  <c:v>3112225</c:v>
                </c:pt>
                <c:pt idx="3">
                  <c:v>3156036</c:v>
                </c:pt>
                <c:pt idx="4">
                  <c:v>3322116</c:v>
                </c:pt>
                <c:pt idx="5">
                  <c:v>3218500</c:v>
                </c:pt>
                <c:pt idx="6">
                  <c:v>3278756</c:v>
                </c:pt>
                <c:pt idx="7">
                  <c:v>3386931</c:v>
                </c:pt>
                <c:pt idx="8" formatCode="#,##0_);[Red]\(#,##0\)">
                  <c:v>3452150</c:v>
                </c:pt>
                <c:pt idx="9" formatCode="#,##0_);[Red]\(#,##0\)">
                  <c:v>3552388</c:v>
                </c:pt>
              </c:numCache>
            </c:numRef>
          </c:val>
          <c:extLst>
            <c:ext xmlns:c16="http://schemas.microsoft.com/office/drawing/2014/chart" uri="{C3380CC4-5D6E-409C-BE32-E72D297353CC}">
              <c16:uniqueId val="{00000003-BF82-407B-B1A9-12CAA1894632}"/>
            </c:ext>
          </c:extLst>
        </c:ser>
        <c:dLbls>
          <c:showLegendKey val="0"/>
          <c:showVal val="0"/>
          <c:showCatName val="0"/>
          <c:showSerName val="0"/>
          <c:showPercent val="0"/>
          <c:showBubbleSize val="0"/>
        </c:dLbls>
        <c:gapWidth val="10"/>
        <c:overlap val="100"/>
        <c:axId val="1788456048"/>
        <c:axId val="1788461488"/>
      </c:barChart>
      <c:catAx>
        <c:axId val="178845604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61488"/>
        <c:crosses val="autoZero"/>
        <c:auto val="1"/>
        <c:lblAlgn val="ctr"/>
        <c:lblOffset val="100"/>
        <c:noMultiLvlLbl val="0"/>
      </c:catAx>
      <c:valAx>
        <c:axId val="1788461488"/>
        <c:scaling>
          <c:orientation val="minMax"/>
          <c:max val="3790000"/>
          <c:min val="-330000"/>
        </c:scaling>
        <c:delete val="1"/>
        <c:axPos val="l"/>
        <c:numFmt formatCode="#,##0" sourceLinked="1"/>
        <c:majorTickMark val="out"/>
        <c:minorTickMark val="none"/>
        <c:tickLblPos val="nextTo"/>
        <c:crossAx val="1788456048"/>
        <c:crosses val="autoZero"/>
        <c:crossBetween val="between"/>
      </c:valAx>
      <c:spPr>
        <a:noFill/>
        <a:ln>
          <a:noFill/>
        </a:ln>
        <a:effectLst/>
      </c:spPr>
    </c:plotArea>
    <c:legend>
      <c:legendPos val="r"/>
      <c:legendEntry>
        <c:idx val="0"/>
        <c:delete val="1"/>
      </c:legendEntry>
      <c:layout>
        <c:manualLayout>
          <c:xMode val="edge"/>
          <c:yMode val="edge"/>
          <c:x val="0.85578050126030103"/>
          <c:y val="0.25637774366796201"/>
          <c:w val="0.141909496429697"/>
          <c:h val="0.4924565718102060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7b38050b-75b6-49ce-a8a6-a38a646ccfe6}"/>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Fig.3.6: WORLDWIDE PATENT APPLICATIONS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Patent applications'!$B$129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applications'!$D$129:$W$129</c:f>
              <c:numCache>
                <c:formatCode>#,##0</c:formatCode>
                <c:ptCount val="20"/>
                <c:pt idx="0">
                  <c:v>152376</c:v>
                </c:pt>
                <c:pt idx="1">
                  <c:v>141605</c:v>
                </c:pt>
                <c:pt idx="2">
                  <c:v>160394</c:v>
                </c:pt>
                <c:pt idx="3">
                  <c:v>133600</c:v>
                </c:pt>
                <c:pt idx="4">
                  <c:v>188504</c:v>
                </c:pt>
                <c:pt idx="5">
                  <c:v>170558</c:v>
                </c:pt>
                <c:pt idx="6">
                  <c:v>163113</c:v>
                </c:pt>
                <c:pt idx="7">
                  <c:v>168437</c:v>
                </c:pt>
                <c:pt idx="8">
                  <c:v>179573</c:v>
                </c:pt>
                <c:pt idx="9">
                  <c:v>195044</c:v>
                </c:pt>
                <c:pt idx="10">
                  <c:v>192045</c:v>
                </c:pt>
                <c:pt idx="11">
                  <c:v>205108</c:v>
                </c:pt>
                <c:pt idx="12">
                  <c:v>202536</c:v>
                </c:pt>
                <c:pt idx="13">
                  <c:v>199886</c:v>
                </c:pt>
                <c:pt idx="14">
                  <c:v>210957</c:v>
                </c:pt>
                <c:pt idx="15">
                  <c:v>229235</c:v>
                </c:pt>
                <c:pt idx="16">
                  <c:v>237698</c:v>
                </c:pt>
                <c:pt idx="17">
                  <c:v>227117</c:v>
                </c:pt>
                <c:pt idx="18" formatCode="#,##0_);[Red]\(#,##0\)">
                  <c:v>244494</c:v>
                </c:pt>
                <c:pt idx="19" formatCode="#,##0_);[Red]\(#,##0\)">
                  <c:v>237313</c:v>
                </c:pt>
              </c:numCache>
            </c:numRef>
          </c:val>
          <c:extLst>
            <c:ext xmlns:c16="http://schemas.microsoft.com/office/drawing/2014/chart" uri="{C3380CC4-5D6E-409C-BE32-E72D297353CC}">
              <c16:uniqueId val="{00000000-2231-4C07-9EE8-ACBE049FF172}"/>
            </c:ext>
          </c:extLst>
        </c:ser>
        <c:ser>
          <c:idx val="4"/>
          <c:order val="1"/>
          <c:tx>
            <c:strRef>
              <c:f>'Ch3. Patent applications'!$B$128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applications'!$D$128:$W$128</c:f>
              <c:numCache>
                <c:formatCode>#,##0</c:formatCode>
                <c:ptCount val="20"/>
                <c:pt idx="0">
                  <c:v>317421</c:v>
                </c:pt>
                <c:pt idx="1">
                  <c:v>360601</c:v>
                </c:pt>
                <c:pt idx="2">
                  <c:v>388937</c:v>
                </c:pt>
                <c:pt idx="3">
                  <c:v>409960</c:v>
                </c:pt>
                <c:pt idx="4">
                  <c:v>400786</c:v>
                </c:pt>
                <c:pt idx="5">
                  <c:v>365529</c:v>
                </c:pt>
                <c:pt idx="6">
                  <c:v>415086</c:v>
                </c:pt>
                <c:pt idx="7">
                  <c:v>434197</c:v>
                </c:pt>
                <c:pt idx="8">
                  <c:v>460745</c:v>
                </c:pt>
                <c:pt idx="9">
                  <c:v>487330</c:v>
                </c:pt>
                <c:pt idx="10">
                  <c:v>495956</c:v>
                </c:pt>
                <c:pt idx="11">
                  <c:v>517156</c:v>
                </c:pt>
                <c:pt idx="12">
                  <c:v>512170</c:v>
                </c:pt>
                <c:pt idx="13">
                  <c:v>513622</c:v>
                </c:pt>
                <c:pt idx="14">
                  <c:v>503924</c:v>
                </c:pt>
                <c:pt idx="15">
                  <c:v>509780</c:v>
                </c:pt>
                <c:pt idx="16">
                  <c:v>484825</c:v>
                </c:pt>
                <c:pt idx="17">
                  <c:v>500207</c:v>
                </c:pt>
                <c:pt idx="18" formatCode="#,##0_);[Red]\(#,##0\)">
                  <c:v>505539</c:v>
                </c:pt>
                <c:pt idx="19" formatCode="#,##0_);[Red]\(#,##0\)">
                  <c:v>516427</c:v>
                </c:pt>
              </c:numCache>
            </c:numRef>
          </c:val>
          <c:extLst>
            <c:ext xmlns:c16="http://schemas.microsoft.com/office/drawing/2014/chart" uri="{C3380CC4-5D6E-409C-BE32-E72D297353CC}">
              <c16:uniqueId val="{00000001-2231-4C07-9EE8-ACBE049FF172}"/>
            </c:ext>
          </c:extLst>
        </c:ser>
        <c:ser>
          <c:idx val="3"/>
          <c:order val="2"/>
          <c:tx>
            <c:strRef>
              <c:f>'Ch3. Patent applications'!$B$127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applications'!$D$127:$W$127</c:f>
              <c:numCache>
                <c:formatCode>#,##0</c:formatCode>
                <c:ptCount val="20"/>
                <c:pt idx="0">
                  <c:v>68884</c:v>
                </c:pt>
                <c:pt idx="1">
                  <c:v>97454</c:v>
                </c:pt>
                <c:pt idx="2">
                  <c:v>128787</c:v>
                </c:pt>
                <c:pt idx="3">
                  <c:v>160523</c:v>
                </c:pt>
                <c:pt idx="4">
                  <c:v>203483</c:v>
                </c:pt>
                <c:pt idx="5">
                  <c:v>240427</c:v>
                </c:pt>
                <c:pt idx="6">
                  <c:v>307260</c:v>
                </c:pt>
                <c:pt idx="7">
                  <c:v>435751</c:v>
                </c:pt>
                <c:pt idx="8">
                  <c:v>561010</c:v>
                </c:pt>
                <c:pt idx="9">
                  <c:v>733301</c:v>
                </c:pt>
                <c:pt idx="10">
                  <c:v>836058</c:v>
                </c:pt>
                <c:pt idx="11">
                  <c:v>1009594</c:v>
                </c:pt>
                <c:pt idx="12">
                  <c:v>1256740</c:v>
                </c:pt>
                <c:pt idx="13">
                  <c:v>1304942</c:v>
                </c:pt>
                <c:pt idx="14">
                  <c:v>1459256</c:v>
                </c:pt>
                <c:pt idx="15">
                  <c:v>1327116</c:v>
                </c:pt>
                <c:pt idx="16">
                  <c:v>1439699</c:v>
                </c:pt>
                <c:pt idx="17">
                  <c:v>1537527</c:v>
                </c:pt>
                <c:pt idx="18" formatCode="#,##0_);[Red]\(#,##0\)">
                  <c:v>1584664</c:v>
                </c:pt>
                <c:pt idx="19" formatCode="#,##0_);[Red]\(#,##0\)">
                  <c:v>1654302</c:v>
                </c:pt>
              </c:numCache>
            </c:numRef>
          </c:val>
          <c:extLst>
            <c:ext xmlns:c16="http://schemas.microsoft.com/office/drawing/2014/chart" uri="{C3380CC4-5D6E-409C-BE32-E72D297353CC}">
              <c16:uniqueId val="{00000002-2231-4C07-9EE8-ACBE049FF172}"/>
            </c:ext>
          </c:extLst>
        </c:ser>
        <c:ser>
          <c:idx val="2"/>
          <c:order val="3"/>
          <c:tx>
            <c:strRef>
              <c:f>'Ch3. Patent applications'!$B$126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applications'!$D$126:$W$126</c:f>
              <c:numCache>
                <c:formatCode>#,##0</c:formatCode>
                <c:ptCount val="20"/>
                <c:pt idx="0">
                  <c:v>136176</c:v>
                </c:pt>
                <c:pt idx="1">
                  <c:v>161555</c:v>
                </c:pt>
                <c:pt idx="2">
                  <c:v>172650</c:v>
                </c:pt>
                <c:pt idx="3">
                  <c:v>174896</c:v>
                </c:pt>
                <c:pt idx="4">
                  <c:v>172352</c:v>
                </c:pt>
                <c:pt idx="5">
                  <c:v>168805</c:v>
                </c:pt>
                <c:pt idx="6">
                  <c:v>177695</c:v>
                </c:pt>
                <c:pt idx="7">
                  <c:v>187651</c:v>
                </c:pt>
                <c:pt idx="8">
                  <c:v>203643</c:v>
                </c:pt>
                <c:pt idx="9">
                  <c:v>223311</c:v>
                </c:pt>
                <c:pt idx="10">
                  <c:v>230403</c:v>
                </c:pt>
                <c:pt idx="11">
                  <c:v>237844</c:v>
                </c:pt>
                <c:pt idx="12">
                  <c:v>233530</c:v>
                </c:pt>
                <c:pt idx="13">
                  <c:v>226336</c:v>
                </c:pt>
                <c:pt idx="14">
                  <c:v>231708</c:v>
                </c:pt>
                <c:pt idx="15">
                  <c:v>248133</c:v>
                </c:pt>
                <c:pt idx="16">
                  <c:v>260164</c:v>
                </c:pt>
                <c:pt idx="17">
                  <c:v>267165</c:v>
                </c:pt>
                <c:pt idx="18" formatCode="#,##0_);[Red]\(#,##0\)">
                  <c:v>272315</c:v>
                </c:pt>
                <c:pt idx="19" formatCode="#,##0_);[Red]\(#,##0\)">
                  <c:v>289749</c:v>
                </c:pt>
              </c:numCache>
            </c:numRef>
          </c:val>
          <c:extLst>
            <c:ext xmlns:c16="http://schemas.microsoft.com/office/drawing/2014/chart" uri="{C3380CC4-5D6E-409C-BE32-E72D297353CC}">
              <c16:uniqueId val="{00000003-2231-4C07-9EE8-ACBE049FF172}"/>
            </c:ext>
          </c:extLst>
        </c:ser>
        <c:ser>
          <c:idx val="1"/>
          <c:order val="4"/>
          <c:tx>
            <c:strRef>
              <c:f>'Ch3. Patent applications'!$B$125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applications'!$D$125:$W$125</c:f>
              <c:numCache>
                <c:formatCode>#,##0</c:formatCode>
                <c:ptCount val="20"/>
                <c:pt idx="0">
                  <c:v>506567</c:v>
                </c:pt>
                <c:pt idx="1">
                  <c:v>523871</c:v>
                </c:pt>
                <c:pt idx="2">
                  <c:v>512624</c:v>
                </c:pt>
                <c:pt idx="3">
                  <c:v>501282</c:v>
                </c:pt>
                <c:pt idx="4">
                  <c:v>502081</c:v>
                </c:pt>
                <c:pt idx="5">
                  <c:v>456990</c:v>
                </c:pt>
                <c:pt idx="6">
                  <c:v>461888</c:v>
                </c:pt>
                <c:pt idx="7">
                  <c:v>473648</c:v>
                </c:pt>
                <c:pt idx="8">
                  <c:v>487020</c:v>
                </c:pt>
                <c:pt idx="9">
                  <c:v>470615</c:v>
                </c:pt>
                <c:pt idx="10">
                  <c:v>464274</c:v>
                </c:pt>
                <c:pt idx="11">
                  <c:v>453358</c:v>
                </c:pt>
                <c:pt idx="12">
                  <c:v>454890</c:v>
                </c:pt>
                <c:pt idx="13">
                  <c:v>459320</c:v>
                </c:pt>
                <c:pt idx="14">
                  <c:v>458927</c:v>
                </c:pt>
                <c:pt idx="15">
                  <c:v>452346</c:v>
                </c:pt>
                <c:pt idx="16">
                  <c:v>421965</c:v>
                </c:pt>
                <c:pt idx="17">
                  <c:v>411840</c:v>
                </c:pt>
                <c:pt idx="18" formatCode="#,##0_);[Red]\(#,##0\)">
                  <c:v>405361</c:v>
                </c:pt>
                <c:pt idx="19" formatCode="#,##0_);[Red]\(#,##0\)">
                  <c:v>417709</c:v>
                </c:pt>
              </c:numCache>
            </c:numRef>
          </c:val>
          <c:extLst>
            <c:ext xmlns:c16="http://schemas.microsoft.com/office/drawing/2014/chart" uri="{C3380CC4-5D6E-409C-BE32-E72D297353CC}">
              <c16:uniqueId val="{00000004-2231-4C07-9EE8-ACBE049FF172}"/>
            </c:ext>
          </c:extLst>
        </c:ser>
        <c:ser>
          <c:idx val="0"/>
          <c:order val="5"/>
          <c:tx>
            <c:strRef>
              <c:f>'Ch3. Patent applications'!$B$124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applications'!$D$124:$W$124</c:f>
              <c:numCache>
                <c:formatCode>#,##0</c:formatCode>
                <c:ptCount val="20"/>
                <c:pt idx="0">
                  <c:v>326033</c:v>
                </c:pt>
                <c:pt idx="1">
                  <c:v>342289</c:v>
                </c:pt>
                <c:pt idx="2">
                  <c:v>362223</c:v>
                </c:pt>
                <c:pt idx="3">
                  <c:v>370570</c:v>
                </c:pt>
                <c:pt idx="4">
                  <c:v>380373</c:v>
                </c:pt>
                <c:pt idx="5">
                  <c:v>360205</c:v>
                </c:pt>
                <c:pt idx="6">
                  <c:v>382555</c:v>
                </c:pt>
                <c:pt idx="7">
                  <c:v>419018</c:v>
                </c:pt>
                <c:pt idx="8">
                  <c:v>431246</c:v>
                </c:pt>
                <c:pt idx="9">
                  <c:v>440360</c:v>
                </c:pt>
                <c:pt idx="10">
                  <c:v>447123</c:v>
                </c:pt>
                <c:pt idx="11">
                  <c:v>438997</c:v>
                </c:pt>
                <c:pt idx="12">
                  <c:v>452359</c:v>
                </c:pt>
                <c:pt idx="13">
                  <c:v>451930</c:v>
                </c:pt>
                <c:pt idx="14">
                  <c:v>457344</c:v>
                </c:pt>
                <c:pt idx="15">
                  <c:v>451890</c:v>
                </c:pt>
                <c:pt idx="16">
                  <c:v>434405</c:v>
                </c:pt>
                <c:pt idx="17">
                  <c:v>443075</c:v>
                </c:pt>
                <c:pt idx="18" formatCode="#,##0_);[Red]\(#,##0\)">
                  <c:v>439777</c:v>
                </c:pt>
                <c:pt idx="19" formatCode="#,##0_);[Red]\(#,##0\)">
                  <c:v>436888</c:v>
                </c:pt>
              </c:numCache>
            </c:numRef>
          </c:val>
          <c:extLst>
            <c:ext xmlns:c16="http://schemas.microsoft.com/office/drawing/2014/chart" uri="{C3380CC4-5D6E-409C-BE32-E72D297353CC}">
              <c16:uniqueId val="{00000005-2231-4C07-9EE8-ACBE049FF172}"/>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applications'!$D$130:$W$130</c:f>
              <c:numCache>
                <c:formatCode>#,##0</c:formatCode>
                <c:ptCount val="20"/>
                <c:pt idx="0">
                  <c:v>1507457</c:v>
                </c:pt>
                <c:pt idx="1">
                  <c:v>1627375</c:v>
                </c:pt>
                <c:pt idx="2">
                  <c:v>1725615</c:v>
                </c:pt>
                <c:pt idx="3">
                  <c:v>1750831</c:v>
                </c:pt>
                <c:pt idx="4">
                  <c:v>1847579</c:v>
                </c:pt>
                <c:pt idx="5">
                  <c:v>1762514</c:v>
                </c:pt>
                <c:pt idx="6">
                  <c:v>1907597</c:v>
                </c:pt>
                <c:pt idx="7">
                  <c:v>2118702</c:v>
                </c:pt>
                <c:pt idx="8">
                  <c:v>2323237</c:v>
                </c:pt>
                <c:pt idx="9">
                  <c:v>2549961</c:v>
                </c:pt>
                <c:pt idx="10">
                  <c:v>2665859</c:v>
                </c:pt>
                <c:pt idx="11">
                  <c:v>2862057</c:v>
                </c:pt>
                <c:pt idx="12">
                  <c:v>3112225</c:v>
                </c:pt>
                <c:pt idx="13">
                  <c:v>3156036</c:v>
                </c:pt>
                <c:pt idx="14">
                  <c:v>3322116</c:v>
                </c:pt>
                <c:pt idx="15">
                  <c:v>3218500</c:v>
                </c:pt>
                <c:pt idx="16">
                  <c:v>3278756</c:v>
                </c:pt>
                <c:pt idx="17">
                  <c:v>3386931</c:v>
                </c:pt>
                <c:pt idx="18" formatCode="#,##0_);[Red]\(#,##0\)">
                  <c:v>3452150</c:v>
                </c:pt>
                <c:pt idx="19" formatCode="#,##0_);[Red]\(#,##0\)">
                  <c:v>3552388</c:v>
                </c:pt>
              </c:numCache>
            </c:numRef>
          </c:val>
          <c:extLst>
            <c:ext xmlns:c16="http://schemas.microsoft.com/office/drawing/2014/chart" uri="{C3380CC4-5D6E-409C-BE32-E72D297353CC}">
              <c16:uniqueId val="{00000006-2231-4C07-9EE8-ACBE049FF172}"/>
            </c:ext>
          </c:extLst>
        </c:ser>
        <c:dLbls>
          <c:showLegendKey val="0"/>
          <c:showVal val="0"/>
          <c:showCatName val="0"/>
          <c:showSerName val="0"/>
          <c:showPercent val="0"/>
          <c:showBubbleSize val="0"/>
        </c:dLbls>
        <c:gapWidth val="10"/>
        <c:overlap val="100"/>
        <c:axId val="1788460400"/>
        <c:axId val="1788456592"/>
      </c:barChart>
      <c:catAx>
        <c:axId val="178846040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56592"/>
        <c:crosses val="autoZero"/>
        <c:auto val="1"/>
        <c:lblAlgn val="ctr"/>
        <c:lblOffset val="100"/>
        <c:noMultiLvlLbl val="0"/>
      </c:catAx>
      <c:valAx>
        <c:axId val="1788456592"/>
        <c:scaling>
          <c:orientation val="minMax"/>
          <c:max val="3770000"/>
        </c:scaling>
        <c:delete val="1"/>
        <c:axPos val="l"/>
        <c:numFmt formatCode="#,##0" sourceLinked="1"/>
        <c:majorTickMark val="out"/>
        <c:minorTickMark val="none"/>
        <c:tickLblPos val="nextTo"/>
        <c:crossAx val="1788460400"/>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f6c273dc-5439-41c3-951c-72e1245d6414}"/>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Fig.3.6: WORLDWIDE PATENT APPLICATIONS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E-2"/>
          <c:y val="0.112393966211875"/>
          <c:w val="0.83965742457599102"/>
          <c:h val="0.80605029970181297"/>
        </c:manualLayout>
      </c:layout>
      <c:barChart>
        <c:barDir val="col"/>
        <c:grouping val="stacked"/>
        <c:varyColors val="0"/>
        <c:ser>
          <c:idx val="5"/>
          <c:order val="0"/>
          <c:tx>
            <c:strRef>
              <c:f>'Ch3. Patent applications'!$B$129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applications'!$L$123:$W$123</c15:sqref>
                  </c15:fullRef>
                </c:ext>
              </c:extLst>
              <c:f>'Ch3. Patent applications'!$N$123:$W$123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applications'!$L$129:$W$129</c15:sqref>
                  </c15:fullRef>
                </c:ext>
              </c:extLst>
              <c:f>'Ch3. Patent applications'!$N$129:$W$129</c:f>
              <c:numCache>
                <c:formatCode>#,##0</c:formatCode>
                <c:ptCount val="10"/>
                <c:pt idx="0">
                  <c:v>192045</c:v>
                </c:pt>
                <c:pt idx="1">
                  <c:v>205108</c:v>
                </c:pt>
                <c:pt idx="2">
                  <c:v>202536</c:v>
                </c:pt>
                <c:pt idx="3">
                  <c:v>199886</c:v>
                </c:pt>
                <c:pt idx="4">
                  <c:v>210957</c:v>
                </c:pt>
                <c:pt idx="5">
                  <c:v>229235</c:v>
                </c:pt>
                <c:pt idx="6">
                  <c:v>237698</c:v>
                </c:pt>
                <c:pt idx="7">
                  <c:v>227117</c:v>
                </c:pt>
                <c:pt idx="8" formatCode="#,##0_);[Red]\(#,##0\)">
                  <c:v>244494</c:v>
                </c:pt>
                <c:pt idx="9" formatCode="#,##0_);[Red]\(#,##0\)">
                  <c:v>237313</c:v>
                </c:pt>
              </c:numCache>
            </c:numRef>
          </c:val>
          <c:extLst>
            <c:ext xmlns:c16="http://schemas.microsoft.com/office/drawing/2014/chart" uri="{C3380CC4-5D6E-409C-BE32-E72D297353CC}">
              <c16:uniqueId val="{00000000-03BC-40F7-883A-207BBAA6A019}"/>
            </c:ext>
          </c:extLst>
        </c:ser>
        <c:ser>
          <c:idx val="4"/>
          <c:order val="1"/>
          <c:tx>
            <c:strRef>
              <c:f>'Ch3. Patent applications'!$B$128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applications'!$L$123:$W$123</c15:sqref>
                  </c15:fullRef>
                </c:ext>
              </c:extLst>
              <c:f>'Ch3. Patent applications'!$N$123:$W$123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applications'!$L$128:$W$128</c15:sqref>
                  </c15:fullRef>
                </c:ext>
              </c:extLst>
              <c:f>'Ch3. Patent applications'!$N$128:$W$128</c:f>
              <c:numCache>
                <c:formatCode>#,##0</c:formatCode>
                <c:ptCount val="10"/>
                <c:pt idx="0">
                  <c:v>495956</c:v>
                </c:pt>
                <c:pt idx="1">
                  <c:v>517156</c:v>
                </c:pt>
                <c:pt idx="2">
                  <c:v>512170</c:v>
                </c:pt>
                <c:pt idx="3">
                  <c:v>513622</c:v>
                </c:pt>
                <c:pt idx="4">
                  <c:v>503924</c:v>
                </c:pt>
                <c:pt idx="5">
                  <c:v>509780</c:v>
                </c:pt>
                <c:pt idx="6">
                  <c:v>484825</c:v>
                </c:pt>
                <c:pt idx="7">
                  <c:v>500207</c:v>
                </c:pt>
                <c:pt idx="8" formatCode="#,##0_);[Red]\(#,##0\)">
                  <c:v>505539</c:v>
                </c:pt>
                <c:pt idx="9" formatCode="#,##0_);[Red]\(#,##0\)">
                  <c:v>516427</c:v>
                </c:pt>
              </c:numCache>
            </c:numRef>
          </c:val>
          <c:extLst>
            <c:ext xmlns:c16="http://schemas.microsoft.com/office/drawing/2014/chart" uri="{C3380CC4-5D6E-409C-BE32-E72D297353CC}">
              <c16:uniqueId val="{00000001-03BC-40F7-883A-207BBAA6A019}"/>
            </c:ext>
          </c:extLst>
        </c:ser>
        <c:ser>
          <c:idx val="3"/>
          <c:order val="2"/>
          <c:tx>
            <c:strRef>
              <c:f>'Ch3. Patent applications'!$B$127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applications'!$L$123:$W$123</c15:sqref>
                  </c15:fullRef>
                </c:ext>
              </c:extLst>
              <c:f>'Ch3. Patent applications'!$N$123:$W$123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applications'!$L$127:$W$127</c15:sqref>
                  </c15:fullRef>
                </c:ext>
              </c:extLst>
              <c:f>'Ch3. Patent applications'!$N$127:$W$127</c:f>
              <c:numCache>
                <c:formatCode>#,##0</c:formatCode>
                <c:ptCount val="10"/>
                <c:pt idx="0">
                  <c:v>836058</c:v>
                </c:pt>
                <c:pt idx="1">
                  <c:v>1009594</c:v>
                </c:pt>
                <c:pt idx="2">
                  <c:v>1256740</c:v>
                </c:pt>
                <c:pt idx="3">
                  <c:v>1304942</c:v>
                </c:pt>
                <c:pt idx="4">
                  <c:v>1459256</c:v>
                </c:pt>
                <c:pt idx="5">
                  <c:v>1327116</c:v>
                </c:pt>
                <c:pt idx="6">
                  <c:v>1439699</c:v>
                </c:pt>
                <c:pt idx="7">
                  <c:v>1537527</c:v>
                </c:pt>
                <c:pt idx="8" formatCode="#,##0_);[Red]\(#,##0\)">
                  <c:v>1584664</c:v>
                </c:pt>
                <c:pt idx="9" formatCode="#,##0_);[Red]\(#,##0\)">
                  <c:v>1654302</c:v>
                </c:pt>
              </c:numCache>
            </c:numRef>
          </c:val>
          <c:extLst>
            <c:ext xmlns:c16="http://schemas.microsoft.com/office/drawing/2014/chart" uri="{C3380CC4-5D6E-409C-BE32-E72D297353CC}">
              <c16:uniqueId val="{00000002-03BC-40F7-883A-207BBAA6A019}"/>
            </c:ext>
          </c:extLst>
        </c:ser>
        <c:ser>
          <c:idx val="2"/>
          <c:order val="3"/>
          <c:tx>
            <c:strRef>
              <c:f>'Ch3. Patent applications'!$B$126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applications'!$L$123:$W$123</c15:sqref>
                  </c15:fullRef>
                </c:ext>
              </c:extLst>
              <c:f>'Ch3. Patent applications'!$N$123:$W$123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applications'!$L$126:$W$126</c15:sqref>
                  </c15:fullRef>
                </c:ext>
              </c:extLst>
              <c:f>'Ch3. Patent applications'!$N$126:$W$126</c:f>
              <c:numCache>
                <c:formatCode>#,##0</c:formatCode>
                <c:ptCount val="10"/>
                <c:pt idx="0">
                  <c:v>230403</c:v>
                </c:pt>
                <c:pt idx="1">
                  <c:v>237844</c:v>
                </c:pt>
                <c:pt idx="2">
                  <c:v>233530</c:v>
                </c:pt>
                <c:pt idx="3">
                  <c:v>226336</c:v>
                </c:pt>
                <c:pt idx="4">
                  <c:v>231708</c:v>
                </c:pt>
                <c:pt idx="5">
                  <c:v>248133</c:v>
                </c:pt>
                <c:pt idx="6">
                  <c:v>260164</c:v>
                </c:pt>
                <c:pt idx="7">
                  <c:v>267165</c:v>
                </c:pt>
                <c:pt idx="8" formatCode="#,##0_);[Red]\(#,##0\)">
                  <c:v>272315</c:v>
                </c:pt>
                <c:pt idx="9" formatCode="#,##0_);[Red]\(#,##0\)">
                  <c:v>289749</c:v>
                </c:pt>
              </c:numCache>
            </c:numRef>
          </c:val>
          <c:extLst>
            <c:ext xmlns:c16="http://schemas.microsoft.com/office/drawing/2014/chart" uri="{C3380CC4-5D6E-409C-BE32-E72D297353CC}">
              <c16:uniqueId val="{00000003-03BC-40F7-883A-207BBAA6A019}"/>
            </c:ext>
          </c:extLst>
        </c:ser>
        <c:ser>
          <c:idx val="1"/>
          <c:order val="4"/>
          <c:tx>
            <c:strRef>
              <c:f>'Ch3. Patent applications'!$B$125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applications'!$L$123:$W$123</c15:sqref>
                  </c15:fullRef>
                </c:ext>
              </c:extLst>
              <c:f>'Ch3. Patent applications'!$N$123:$W$123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applications'!$L$125:$W$125</c15:sqref>
                  </c15:fullRef>
                </c:ext>
              </c:extLst>
              <c:f>'Ch3. Patent applications'!$N$125:$W$125</c:f>
              <c:numCache>
                <c:formatCode>#,##0</c:formatCode>
                <c:ptCount val="10"/>
                <c:pt idx="0">
                  <c:v>464274</c:v>
                </c:pt>
                <c:pt idx="1">
                  <c:v>453358</c:v>
                </c:pt>
                <c:pt idx="2">
                  <c:v>454890</c:v>
                </c:pt>
                <c:pt idx="3">
                  <c:v>459320</c:v>
                </c:pt>
                <c:pt idx="4">
                  <c:v>458927</c:v>
                </c:pt>
                <c:pt idx="5">
                  <c:v>452346</c:v>
                </c:pt>
                <c:pt idx="6">
                  <c:v>421965</c:v>
                </c:pt>
                <c:pt idx="7">
                  <c:v>411840</c:v>
                </c:pt>
                <c:pt idx="8" formatCode="#,##0_);[Red]\(#,##0\)">
                  <c:v>405361</c:v>
                </c:pt>
                <c:pt idx="9" formatCode="#,##0_);[Red]\(#,##0\)">
                  <c:v>417709</c:v>
                </c:pt>
              </c:numCache>
            </c:numRef>
          </c:val>
          <c:extLst>
            <c:ext xmlns:c16="http://schemas.microsoft.com/office/drawing/2014/chart" uri="{C3380CC4-5D6E-409C-BE32-E72D297353CC}">
              <c16:uniqueId val="{00000004-03BC-40F7-883A-207BBAA6A019}"/>
            </c:ext>
          </c:extLst>
        </c:ser>
        <c:ser>
          <c:idx val="0"/>
          <c:order val="5"/>
          <c:tx>
            <c:strRef>
              <c:f>'Ch3. Patent applications'!$B$124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applications'!$L$123:$W$123</c15:sqref>
                  </c15:fullRef>
                </c:ext>
              </c:extLst>
              <c:f>'Ch3. Patent applications'!$N$123:$W$123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applications'!$L$124:$W$124</c15:sqref>
                  </c15:fullRef>
                </c:ext>
              </c:extLst>
              <c:f>'Ch3. Patent applications'!$N$124:$W$124</c:f>
              <c:numCache>
                <c:formatCode>#,##0</c:formatCode>
                <c:ptCount val="10"/>
                <c:pt idx="0">
                  <c:v>447123</c:v>
                </c:pt>
                <c:pt idx="1">
                  <c:v>438997</c:v>
                </c:pt>
                <c:pt idx="2">
                  <c:v>452359</c:v>
                </c:pt>
                <c:pt idx="3">
                  <c:v>451930</c:v>
                </c:pt>
                <c:pt idx="4">
                  <c:v>457344</c:v>
                </c:pt>
                <c:pt idx="5">
                  <c:v>451890</c:v>
                </c:pt>
                <c:pt idx="6">
                  <c:v>434405</c:v>
                </c:pt>
                <c:pt idx="7">
                  <c:v>443075</c:v>
                </c:pt>
                <c:pt idx="8" formatCode="#,##0_);[Red]\(#,##0\)">
                  <c:v>439777</c:v>
                </c:pt>
                <c:pt idx="9" formatCode="#,##0_);[Red]\(#,##0\)">
                  <c:v>436888</c:v>
                </c:pt>
              </c:numCache>
            </c:numRef>
          </c:val>
          <c:extLst>
            <c:ext xmlns:c16="http://schemas.microsoft.com/office/drawing/2014/chart" uri="{C3380CC4-5D6E-409C-BE32-E72D297353CC}">
              <c16:uniqueId val="{00000005-03BC-40F7-883A-207BBAA6A019}"/>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applications'!$L$123:$W$123</c15:sqref>
                  </c15:fullRef>
                </c:ext>
              </c:extLst>
              <c:f>'Ch3. Patent applications'!$N$123:$W$123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applications'!$L$130:$W$130</c15:sqref>
                  </c15:fullRef>
                </c:ext>
              </c:extLst>
              <c:f>'Ch3. Patent applications'!$N$130:$W$130</c:f>
              <c:numCache>
                <c:formatCode>#,##0</c:formatCode>
                <c:ptCount val="10"/>
                <c:pt idx="0">
                  <c:v>2665859</c:v>
                </c:pt>
                <c:pt idx="1">
                  <c:v>2862057</c:v>
                </c:pt>
                <c:pt idx="2">
                  <c:v>3112225</c:v>
                </c:pt>
                <c:pt idx="3">
                  <c:v>3156036</c:v>
                </c:pt>
                <c:pt idx="4">
                  <c:v>3322116</c:v>
                </c:pt>
                <c:pt idx="5">
                  <c:v>3218500</c:v>
                </c:pt>
                <c:pt idx="6">
                  <c:v>3278756</c:v>
                </c:pt>
                <c:pt idx="7">
                  <c:v>3386931</c:v>
                </c:pt>
                <c:pt idx="8" formatCode="#,##0_);[Red]\(#,##0\)">
                  <c:v>3452150</c:v>
                </c:pt>
                <c:pt idx="9" formatCode="#,##0_);[Red]\(#,##0\)">
                  <c:v>3552388</c:v>
                </c:pt>
              </c:numCache>
            </c:numRef>
          </c:val>
          <c:extLst>
            <c:ext xmlns:c16="http://schemas.microsoft.com/office/drawing/2014/chart" uri="{C3380CC4-5D6E-409C-BE32-E72D297353CC}">
              <c16:uniqueId val="{00000006-03BC-40F7-883A-207BBAA6A019}"/>
            </c:ext>
          </c:extLst>
        </c:ser>
        <c:dLbls>
          <c:showLegendKey val="0"/>
          <c:showVal val="0"/>
          <c:showCatName val="0"/>
          <c:showSerName val="0"/>
          <c:showPercent val="0"/>
          <c:showBubbleSize val="0"/>
        </c:dLbls>
        <c:gapWidth val="10"/>
        <c:overlap val="100"/>
        <c:axId val="1788458224"/>
        <c:axId val="1788462576"/>
      </c:barChart>
      <c:catAx>
        <c:axId val="178845822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62576"/>
        <c:crosses val="autoZero"/>
        <c:auto val="1"/>
        <c:lblAlgn val="ctr"/>
        <c:lblOffset val="100"/>
        <c:noMultiLvlLbl val="0"/>
      </c:catAx>
      <c:valAx>
        <c:axId val="1788462576"/>
        <c:scaling>
          <c:orientation val="minMax"/>
          <c:max val="3760000"/>
          <c:min val="-350000"/>
        </c:scaling>
        <c:delete val="1"/>
        <c:axPos val="l"/>
        <c:numFmt formatCode="#,##0" sourceLinked="1"/>
        <c:majorTickMark val="out"/>
        <c:minorTickMark val="none"/>
        <c:tickLblPos val="nextTo"/>
        <c:crossAx val="1788458224"/>
        <c:crosses val="autoZero"/>
        <c:crossBetween val="between"/>
      </c:valAx>
      <c:spPr>
        <a:noFill/>
        <a:ln>
          <a:noFill/>
        </a:ln>
        <a:effectLst/>
      </c:spPr>
    </c:plotArea>
    <c:legend>
      <c:legendPos val="r"/>
      <c:legendEntry>
        <c:idx val="0"/>
        <c:delete val="1"/>
      </c:legendEntry>
      <c:layout>
        <c:manualLayout>
          <c:xMode val="edge"/>
          <c:yMode val="edge"/>
          <c:x val="0.86057246116982"/>
          <c:y val="0.23495257336019401"/>
          <c:w val="0.12801933705172799"/>
          <c:h val="0.58491304817777301"/>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67184a2b-ec24-48e3-9413-3cdb95a7b668}"/>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Fig.3.7: WORLDWIDE PATENT APPLICATIONS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Patent applications'!$B$138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applications'!$D$138:$W$138</c:f>
              <c:numCache>
                <c:formatCode>#,##0</c:formatCode>
                <c:ptCount val="20"/>
                <c:pt idx="0">
                  <c:v>173904</c:v>
                </c:pt>
                <c:pt idx="1">
                  <c:v>190721</c:v>
                </c:pt>
                <c:pt idx="2">
                  <c:v>227270</c:v>
                </c:pt>
                <c:pt idx="3">
                  <c:v>184518</c:v>
                </c:pt>
                <c:pt idx="4">
                  <c:v>248996</c:v>
                </c:pt>
                <c:pt idx="5">
                  <c:v>200895</c:v>
                </c:pt>
                <c:pt idx="6">
                  <c:v>234289</c:v>
                </c:pt>
                <c:pt idx="7">
                  <c:v>282566</c:v>
                </c:pt>
                <c:pt idx="8">
                  <c:v>304881</c:v>
                </c:pt>
                <c:pt idx="9">
                  <c:v>325671</c:v>
                </c:pt>
                <c:pt idx="10">
                  <c:v>321629</c:v>
                </c:pt>
                <c:pt idx="11">
                  <c:v>327499</c:v>
                </c:pt>
                <c:pt idx="12">
                  <c:v>329483</c:v>
                </c:pt>
                <c:pt idx="13">
                  <c:v>325659</c:v>
                </c:pt>
                <c:pt idx="14">
                  <c:v>336140</c:v>
                </c:pt>
                <c:pt idx="15">
                  <c:v>341164</c:v>
                </c:pt>
                <c:pt idx="16">
                  <c:v>345486</c:v>
                </c:pt>
                <c:pt idx="17">
                  <c:v>355298</c:v>
                </c:pt>
                <c:pt idx="18" formatCode="#,##0_);[Red]\(#,##0\)">
                  <c:v>381039</c:v>
                </c:pt>
                <c:pt idx="19" formatCode="#,##0_);[Red]\(#,##0\)">
                  <c:v>388603</c:v>
                </c:pt>
              </c:numCache>
            </c:numRef>
          </c:val>
          <c:extLst>
            <c:ext xmlns:c16="http://schemas.microsoft.com/office/drawing/2014/chart" uri="{C3380CC4-5D6E-409C-BE32-E72D297353CC}">
              <c16:uniqueId val="{00000000-0834-4262-A91F-2C905C86E55E}"/>
            </c:ext>
          </c:extLst>
        </c:ser>
        <c:ser>
          <c:idx val="4"/>
          <c:order val="1"/>
          <c:tx>
            <c:strRef>
              <c:f>'Ch3. Patent applications'!$B$137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applications'!$D$137:$W$137</c:f>
              <c:numCache>
                <c:formatCode>#,##0</c:formatCode>
                <c:ptCount val="20"/>
                <c:pt idx="0">
                  <c:v>356943</c:v>
                </c:pt>
                <c:pt idx="1">
                  <c:v>390733</c:v>
                </c:pt>
                <c:pt idx="2">
                  <c:v>425967</c:v>
                </c:pt>
                <c:pt idx="3">
                  <c:v>456154</c:v>
                </c:pt>
                <c:pt idx="4">
                  <c:v>456321</c:v>
                </c:pt>
                <c:pt idx="5">
                  <c:v>456106</c:v>
                </c:pt>
                <c:pt idx="6">
                  <c:v>490226</c:v>
                </c:pt>
                <c:pt idx="7">
                  <c:v>503582</c:v>
                </c:pt>
                <c:pt idx="8">
                  <c:v>542815</c:v>
                </c:pt>
                <c:pt idx="9">
                  <c:v>571612</c:v>
                </c:pt>
                <c:pt idx="10">
                  <c:v>578802</c:v>
                </c:pt>
                <c:pt idx="11">
                  <c:v>589410</c:v>
                </c:pt>
                <c:pt idx="12">
                  <c:v>605571</c:v>
                </c:pt>
                <c:pt idx="13">
                  <c:v>606956</c:v>
                </c:pt>
                <c:pt idx="14">
                  <c:v>597141</c:v>
                </c:pt>
                <c:pt idx="15">
                  <c:v>621453</c:v>
                </c:pt>
                <c:pt idx="16">
                  <c:v>597172</c:v>
                </c:pt>
                <c:pt idx="17">
                  <c:v>591473</c:v>
                </c:pt>
                <c:pt idx="18" formatCode="#,##0_);[Red]\(#,##0\)">
                  <c:v>594340</c:v>
                </c:pt>
                <c:pt idx="19" formatCode="#,##0_);[Red]\(#,##0\)">
                  <c:v>602498</c:v>
                </c:pt>
              </c:numCache>
            </c:numRef>
          </c:val>
          <c:extLst>
            <c:ext xmlns:c16="http://schemas.microsoft.com/office/drawing/2014/chart" uri="{C3380CC4-5D6E-409C-BE32-E72D297353CC}">
              <c16:uniqueId val="{00000001-0834-4262-A91F-2C905C86E55E}"/>
            </c:ext>
          </c:extLst>
        </c:ser>
        <c:ser>
          <c:idx val="3"/>
          <c:order val="2"/>
          <c:tx>
            <c:strRef>
              <c:f>'Ch3. Patent applications'!$B$136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applications'!$D$136:$W$136</c:f>
              <c:numCache>
                <c:formatCode>#,##0</c:formatCode>
                <c:ptCount val="20"/>
                <c:pt idx="0">
                  <c:v>130384</c:v>
                </c:pt>
                <c:pt idx="1">
                  <c:v>173327</c:v>
                </c:pt>
                <c:pt idx="2">
                  <c:v>210501</c:v>
                </c:pt>
                <c:pt idx="3">
                  <c:v>245161</c:v>
                </c:pt>
                <c:pt idx="4">
                  <c:v>289838</c:v>
                </c:pt>
                <c:pt idx="5">
                  <c:v>314604</c:v>
                </c:pt>
                <c:pt idx="6">
                  <c:v>391178</c:v>
                </c:pt>
                <c:pt idx="7">
                  <c:v>526412</c:v>
                </c:pt>
                <c:pt idx="8">
                  <c:v>652777</c:v>
                </c:pt>
                <c:pt idx="9">
                  <c:v>825136</c:v>
                </c:pt>
                <c:pt idx="10">
                  <c:v>928177</c:v>
                </c:pt>
                <c:pt idx="11">
                  <c:v>1101864</c:v>
                </c:pt>
                <c:pt idx="12">
                  <c:v>1338503</c:v>
                </c:pt>
                <c:pt idx="13">
                  <c:v>1381594</c:v>
                </c:pt>
                <c:pt idx="14">
                  <c:v>1542002</c:v>
                </c:pt>
                <c:pt idx="15">
                  <c:v>1400661</c:v>
                </c:pt>
                <c:pt idx="16">
                  <c:v>1497159</c:v>
                </c:pt>
                <c:pt idx="17">
                  <c:v>1585663</c:v>
                </c:pt>
                <c:pt idx="18" formatCode="#,##0_);[Red]\(#,##0\)">
                  <c:v>1619268</c:v>
                </c:pt>
                <c:pt idx="19" formatCode="#,##0_);[Red]\(#,##0\)">
                  <c:v>1677701</c:v>
                </c:pt>
              </c:numCache>
            </c:numRef>
          </c:val>
          <c:extLst>
            <c:ext xmlns:c16="http://schemas.microsoft.com/office/drawing/2014/chart" uri="{C3380CC4-5D6E-409C-BE32-E72D297353CC}">
              <c16:uniqueId val="{00000002-0834-4262-A91F-2C905C86E55E}"/>
            </c:ext>
          </c:extLst>
        </c:ser>
        <c:ser>
          <c:idx val="2"/>
          <c:order val="3"/>
          <c:tx>
            <c:strRef>
              <c:f>'Ch3. Patent applications'!$B$135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applications'!$D$135:$W$135</c:f>
              <c:numCache>
                <c:formatCode>#,##0</c:formatCode>
                <c:ptCount val="20"/>
                <c:pt idx="0">
                  <c:v>140115</c:v>
                </c:pt>
                <c:pt idx="1">
                  <c:v>160921</c:v>
                </c:pt>
                <c:pt idx="2">
                  <c:v>166189</c:v>
                </c:pt>
                <c:pt idx="3">
                  <c:v>172469</c:v>
                </c:pt>
                <c:pt idx="4">
                  <c:v>170632</c:v>
                </c:pt>
                <c:pt idx="5">
                  <c:v>163523</c:v>
                </c:pt>
                <c:pt idx="6">
                  <c:v>170101</c:v>
                </c:pt>
                <c:pt idx="7">
                  <c:v>178924</c:v>
                </c:pt>
                <c:pt idx="8">
                  <c:v>188915</c:v>
                </c:pt>
                <c:pt idx="9">
                  <c:v>204589</c:v>
                </c:pt>
                <c:pt idx="10">
                  <c:v>210292</c:v>
                </c:pt>
                <c:pt idx="11">
                  <c:v>213694</c:v>
                </c:pt>
                <c:pt idx="12">
                  <c:v>208830</c:v>
                </c:pt>
                <c:pt idx="13">
                  <c:v>204775</c:v>
                </c:pt>
                <c:pt idx="14">
                  <c:v>209992</c:v>
                </c:pt>
                <c:pt idx="15">
                  <c:v>218975</c:v>
                </c:pt>
                <c:pt idx="16">
                  <c:v>226759</c:v>
                </c:pt>
                <c:pt idx="17">
                  <c:v>237998</c:v>
                </c:pt>
                <c:pt idx="18" formatCode="#,##0_);[Red]\(#,##0\)">
                  <c:v>237633</c:v>
                </c:pt>
                <c:pt idx="19" formatCode="#,##0_);[Red]\(#,##0\)">
                  <c:v>243310</c:v>
                </c:pt>
              </c:numCache>
            </c:numRef>
          </c:val>
          <c:extLst>
            <c:ext xmlns:c16="http://schemas.microsoft.com/office/drawing/2014/chart" uri="{C3380CC4-5D6E-409C-BE32-E72D297353CC}">
              <c16:uniqueId val="{00000003-0834-4262-A91F-2C905C86E55E}"/>
            </c:ext>
          </c:extLst>
        </c:ser>
        <c:ser>
          <c:idx val="1"/>
          <c:order val="4"/>
          <c:tx>
            <c:strRef>
              <c:f>'Ch3. Patent applications'!$B$134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applications'!$D$134:$W$134</c:f>
              <c:numCache>
                <c:formatCode>#,##0</c:formatCode>
                <c:ptCount val="20"/>
                <c:pt idx="0">
                  <c:v>423081</c:v>
                </c:pt>
                <c:pt idx="1">
                  <c:v>427078</c:v>
                </c:pt>
                <c:pt idx="2">
                  <c:v>408674</c:v>
                </c:pt>
                <c:pt idx="3">
                  <c:v>396291</c:v>
                </c:pt>
                <c:pt idx="4">
                  <c:v>391002</c:v>
                </c:pt>
                <c:pt idx="5">
                  <c:v>348596</c:v>
                </c:pt>
                <c:pt idx="6">
                  <c:v>344598</c:v>
                </c:pt>
                <c:pt idx="7">
                  <c:v>342610</c:v>
                </c:pt>
                <c:pt idx="8">
                  <c:v>342796</c:v>
                </c:pt>
                <c:pt idx="9">
                  <c:v>328436</c:v>
                </c:pt>
                <c:pt idx="10">
                  <c:v>325989</c:v>
                </c:pt>
                <c:pt idx="11">
                  <c:v>318721</c:v>
                </c:pt>
                <c:pt idx="12">
                  <c:v>318381</c:v>
                </c:pt>
                <c:pt idx="13">
                  <c:v>318479</c:v>
                </c:pt>
                <c:pt idx="14">
                  <c:v>313567</c:v>
                </c:pt>
                <c:pt idx="15">
                  <c:v>307969</c:v>
                </c:pt>
                <c:pt idx="16">
                  <c:v>288472</c:v>
                </c:pt>
                <c:pt idx="17">
                  <c:v>289200</c:v>
                </c:pt>
                <c:pt idx="18" formatCode="#,##0_);[Red]\(#,##0\)">
                  <c:v>289530</c:v>
                </c:pt>
                <c:pt idx="19" formatCode="#,##0_);[Red]\(#,##0\)">
                  <c:v>300133</c:v>
                </c:pt>
              </c:numCache>
            </c:numRef>
          </c:val>
          <c:extLst>
            <c:ext xmlns:c16="http://schemas.microsoft.com/office/drawing/2014/chart" uri="{C3380CC4-5D6E-409C-BE32-E72D297353CC}">
              <c16:uniqueId val="{00000004-0834-4262-A91F-2C905C86E55E}"/>
            </c:ext>
          </c:extLst>
        </c:ser>
        <c:ser>
          <c:idx val="0"/>
          <c:order val="5"/>
          <c:tx>
            <c:strRef>
              <c:f>'Ch3. Patent applications'!$B$133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applications'!$D$133:$W$133</c:f>
              <c:numCache>
                <c:formatCode>#,##0</c:formatCode>
                <c:ptCount val="20"/>
                <c:pt idx="0">
                  <c:v>283030</c:v>
                </c:pt>
                <c:pt idx="1">
                  <c:v>284595</c:v>
                </c:pt>
                <c:pt idx="2">
                  <c:v>287014</c:v>
                </c:pt>
                <c:pt idx="3">
                  <c:v>296238</c:v>
                </c:pt>
                <c:pt idx="4">
                  <c:v>290790</c:v>
                </c:pt>
                <c:pt idx="5">
                  <c:v>278790</c:v>
                </c:pt>
                <c:pt idx="6">
                  <c:v>277205</c:v>
                </c:pt>
                <c:pt idx="7">
                  <c:v>284608</c:v>
                </c:pt>
                <c:pt idx="8">
                  <c:v>294599</c:v>
                </c:pt>
                <c:pt idx="9">
                  <c:v>294517</c:v>
                </c:pt>
                <c:pt idx="10">
                  <c:v>300970</c:v>
                </c:pt>
                <c:pt idx="11">
                  <c:v>310869</c:v>
                </c:pt>
                <c:pt idx="12">
                  <c:v>311457</c:v>
                </c:pt>
                <c:pt idx="13">
                  <c:v>318573</c:v>
                </c:pt>
                <c:pt idx="14">
                  <c:v>323274</c:v>
                </c:pt>
                <c:pt idx="15">
                  <c:v>328278</c:v>
                </c:pt>
                <c:pt idx="16">
                  <c:v>323708</c:v>
                </c:pt>
                <c:pt idx="17">
                  <c:v>327299</c:v>
                </c:pt>
                <c:pt idx="18" formatCode="#,##0_);[Red]\(#,##0\)">
                  <c:v>330340</c:v>
                </c:pt>
                <c:pt idx="19" formatCode="#,##0_);[Red]\(#,##0\)">
                  <c:v>340143</c:v>
                </c:pt>
              </c:numCache>
            </c:numRef>
          </c:val>
          <c:extLst>
            <c:ext xmlns:c16="http://schemas.microsoft.com/office/drawing/2014/chart" uri="{C3380CC4-5D6E-409C-BE32-E72D297353CC}">
              <c16:uniqueId val="{00000005-0834-4262-A91F-2C905C86E55E}"/>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Patent applications'!$D$132:$W$132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Patent applications'!$D$139:$W$139</c:f>
              <c:numCache>
                <c:formatCode>#,##0</c:formatCode>
                <c:ptCount val="20"/>
                <c:pt idx="0">
                  <c:v>1507457</c:v>
                </c:pt>
                <c:pt idx="1">
                  <c:v>1627375</c:v>
                </c:pt>
                <c:pt idx="2">
                  <c:v>1725615</c:v>
                </c:pt>
                <c:pt idx="3">
                  <c:v>1750831</c:v>
                </c:pt>
                <c:pt idx="4">
                  <c:v>1847579</c:v>
                </c:pt>
                <c:pt idx="5">
                  <c:v>1762514</c:v>
                </c:pt>
                <c:pt idx="6">
                  <c:v>1907597</c:v>
                </c:pt>
                <c:pt idx="7">
                  <c:v>2118702</c:v>
                </c:pt>
                <c:pt idx="8">
                  <c:v>2326783</c:v>
                </c:pt>
                <c:pt idx="9">
                  <c:v>2549961</c:v>
                </c:pt>
                <c:pt idx="10">
                  <c:v>2665859</c:v>
                </c:pt>
                <c:pt idx="11">
                  <c:v>2862057</c:v>
                </c:pt>
                <c:pt idx="12">
                  <c:v>3112225</c:v>
                </c:pt>
                <c:pt idx="13">
                  <c:v>3156036</c:v>
                </c:pt>
                <c:pt idx="14">
                  <c:v>3322116</c:v>
                </c:pt>
                <c:pt idx="15">
                  <c:v>3218500</c:v>
                </c:pt>
                <c:pt idx="16">
                  <c:v>3278756</c:v>
                </c:pt>
                <c:pt idx="17">
                  <c:v>3386931</c:v>
                </c:pt>
                <c:pt idx="18" formatCode="#,##0_);[Red]\(#,##0\)">
                  <c:v>3452150</c:v>
                </c:pt>
                <c:pt idx="19" formatCode="#,##0_);[Red]\(#,##0\)">
                  <c:v>3552388</c:v>
                </c:pt>
              </c:numCache>
            </c:numRef>
          </c:val>
          <c:extLst>
            <c:ext xmlns:c16="http://schemas.microsoft.com/office/drawing/2014/chart" uri="{C3380CC4-5D6E-409C-BE32-E72D297353CC}">
              <c16:uniqueId val="{00000006-0834-4262-A91F-2C905C86E55E}"/>
            </c:ext>
          </c:extLst>
        </c:ser>
        <c:dLbls>
          <c:showLegendKey val="0"/>
          <c:showVal val="0"/>
          <c:showCatName val="0"/>
          <c:showSerName val="0"/>
          <c:showPercent val="0"/>
          <c:showBubbleSize val="0"/>
        </c:dLbls>
        <c:gapWidth val="10"/>
        <c:overlap val="100"/>
        <c:axId val="1788451696"/>
        <c:axId val="1788459856"/>
      </c:barChart>
      <c:catAx>
        <c:axId val="178845169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59856"/>
        <c:crosses val="autoZero"/>
        <c:auto val="1"/>
        <c:lblAlgn val="ctr"/>
        <c:lblOffset val="100"/>
        <c:noMultiLvlLbl val="0"/>
      </c:catAx>
      <c:valAx>
        <c:axId val="1788459856"/>
        <c:scaling>
          <c:orientation val="minMax"/>
          <c:max val="3770000"/>
          <c:min val="-300000"/>
        </c:scaling>
        <c:delete val="1"/>
        <c:axPos val="l"/>
        <c:numFmt formatCode="#,##0" sourceLinked="1"/>
        <c:majorTickMark val="out"/>
        <c:minorTickMark val="none"/>
        <c:tickLblPos val="nextTo"/>
        <c:crossAx val="178845169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d2f11d4c-40ce-4964-8cae-ab97c2d4d949}"/>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Fig.3.7: WORLDWIDE PATENT APPLICATIONS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E-2"/>
          <c:y val="0.112393966211875"/>
          <c:w val="0.83585469064984097"/>
          <c:h val="0.80605029970181297"/>
        </c:manualLayout>
      </c:layout>
      <c:barChart>
        <c:barDir val="col"/>
        <c:grouping val="stacked"/>
        <c:varyColors val="0"/>
        <c:ser>
          <c:idx val="5"/>
          <c:order val="0"/>
          <c:tx>
            <c:strRef>
              <c:f>'Ch3. Patent applications'!$B$138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applications'!$L$132:$W$132</c15:sqref>
                  </c15:fullRef>
                </c:ext>
              </c:extLst>
              <c:f>'Ch3. Patent applications'!$N$132:$W$132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applications'!$L$138:$W$138</c15:sqref>
                  </c15:fullRef>
                </c:ext>
              </c:extLst>
              <c:f>'Ch3. Patent applications'!$N$138:$W$138</c:f>
              <c:numCache>
                <c:formatCode>#,##0</c:formatCode>
                <c:ptCount val="10"/>
                <c:pt idx="0">
                  <c:v>321629</c:v>
                </c:pt>
                <c:pt idx="1">
                  <c:v>327499</c:v>
                </c:pt>
                <c:pt idx="2">
                  <c:v>329483</c:v>
                </c:pt>
                <c:pt idx="3">
                  <c:v>325659</c:v>
                </c:pt>
                <c:pt idx="4">
                  <c:v>336140</c:v>
                </c:pt>
                <c:pt idx="5">
                  <c:v>341164</c:v>
                </c:pt>
                <c:pt idx="6">
                  <c:v>345486</c:v>
                </c:pt>
                <c:pt idx="7">
                  <c:v>355298</c:v>
                </c:pt>
                <c:pt idx="8" formatCode="#,##0_);[Red]\(#,##0\)">
                  <c:v>381039</c:v>
                </c:pt>
                <c:pt idx="9" formatCode="#,##0_);[Red]\(#,##0\)">
                  <c:v>388603</c:v>
                </c:pt>
              </c:numCache>
            </c:numRef>
          </c:val>
          <c:extLst>
            <c:ext xmlns:c16="http://schemas.microsoft.com/office/drawing/2014/chart" uri="{C3380CC4-5D6E-409C-BE32-E72D297353CC}">
              <c16:uniqueId val="{00000000-CF20-4C80-ACDD-F531562E364F}"/>
            </c:ext>
          </c:extLst>
        </c:ser>
        <c:ser>
          <c:idx val="4"/>
          <c:order val="1"/>
          <c:tx>
            <c:strRef>
              <c:f>'Ch3. Patent applications'!$B$137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applications'!$L$132:$W$132</c15:sqref>
                  </c15:fullRef>
                </c:ext>
              </c:extLst>
              <c:f>'Ch3. Patent applications'!$N$132:$W$132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applications'!$L$137:$W$137</c15:sqref>
                  </c15:fullRef>
                </c:ext>
              </c:extLst>
              <c:f>'Ch3. Patent applications'!$N$137:$W$137</c:f>
              <c:numCache>
                <c:formatCode>#,##0</c:formatCode>
                <c:ptCount val="10"/>
                <c:pt idx="0">
                  <c:v>578802</c:v>
                </c:pt>
                <c:pt idx="1">
                  <c:v>589410</c:v>
                </c:pt>
                <c:pt idx="2">
                  <c:v>605571</c:v>
                </c:pt>
                <c:pt idx="3">
                  <c:v>606956</c:v>
                </c:pt>
                <c:pt idx="4">
                  <c:v>597141</c:v>
                </c:pt>
                <c:pt idx="5">
                  <c:v>621453</c:v>
                </c:pt>
                <c:pt idx="6">
                  <c:v>597172</c:v>
                </c:pt>
                <c:pt idx="7">
                  <c:v>591473</c:v>
                </c:pt>
                <c:pt idx="8" formatCode="#,##0_);[Red]\(#,##0\)">
                  <c:v>594340</c:v>
                </c:pt>
                <c:pt idx="9" formatCode="#,##0_);[Red]\(#,##0\)">
                  <c:v>602498</c:v>
                </c:pt>
              </c:numCache>
            </c:numRef>
          </c:val>
          <c:extLst>
            <c:ext xmlns:c16="http://schemas.microsoft.com/office/drawing/2014/chart" uri="{C3380CC4-5D6E-409C-BE32-E72D297353CC}">
              <c16:uniqueId val="{00000001-CF20-4C80-ACDD-F531562E364F}"/>
            </c:ext>
          </c:extLst>
        </c:ser>
        <c:ser>
          <c:idx val="3"/>
          <c:order val="2"/>
          <c:tx>
            <c:strRef>
              <c:f>'Ch3. Patent applications'!$B$136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applications'!$L$132:$W$132</c15:sqref>
                  </c15:fullRef>
                </c:ext>
              </c:extLst>
              <c:f>'Ch3. Patent applications'!$N$132:$W$132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applications'!$L$136:$W$136</c15:sqref>
                  </c15:fullRef>
                </c:ext>
              </c:extLst>
              <c:f>'Ch3. Patent applications'!$N$136:$W$136</c:f>
              <c:numCache>
                <c:formatCode>#,##0</c:formatCode>
                <c:ptCount val="10"/>
                <c:pt idx="0">
                  <c:v>928177</c:v>
                </c:pt>
                <c:pt idx="1">
                  <c:v>1101864</c:v>
                </c:pt>
                <c:pt idx="2">
                  <c:v>1338503</c:v>
                </c:pt>
                <c:pt idx="3">
                  <c:v>1381594</c:v>
                </c:pt>
                <c:pt idx="4">
                  <c:v>1542002</c:v>
                </c:pt>
                <c:pt idx="5">
                  <c:v>1400661</c:v>
                </c:pt>
                <c:pt idx="6">
                  <c:v>1497159</c:v>
                </c:pt>
                <c:pt idx="7">
                  <c:v>1585663</c:v>
                </c:pt>
                <c:pt idx="8" formatCode="#,##0_);[Red]\(#,##0\)">
                  <c:v>1619268</c:v>
                </c:pt>
                <c:pt idx="9" formatCode="#,##0_);[Red]\(#,##0\)">
                  <c:v>1677701</c:v>
                </c:pt>
              </c:numCache>
            </c:numRef>
          </c:val>
          <c:extLst>
            <c:ext xmlns:c16="http://schemas.microsoft.com/office/drawing/2014/chart" uri="{C3380CC4-5D6E-409C-BE32-E72D297353CC}">
              <c16:uniqueId val="{00000002-CF20-4C80-ACDD-F531562E364F}"/>
            </c:ext>
          </c:extLst>
        </c:ser>
        <c:ser>
          <c:idx val="2"/>
          <c:order val="3"/>
          <c:tx>
            <c:strRef>
              <c:f>'Ch3. Patent applications'!$B$135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applications'!$L$132:$W$132</c15:sqref>
                  </c15:fullRef>
                </c:ext>
              </c:extLst>
              <c:f>'Ch3. Patent applications'!$N$132:$W$132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applications'!$L$135:$W$135</c15:sqref>
                  </c15:fullRef>
                </c:ext>
              </c:extLst>
              <c:f>'Ch3. Patent applications'!$N$135:$W$135</c:f>
              <c:numCache>
                <c:formatCode>#,##0</c:formatCode>
                <c:ptCount val="10"/>
                <c:pt idx="0">
                  <c:v>210292</c:v>
                </c:pt>
                <c:pt idx="1">
                  <c:v>213694</c:v>
                </c:pt>
                <c:pt idx="2">
                  <c:v>208830</c:v>
                </c:pt>
                <c:pt idx="3">
                  <c:v>204775</c:v>
                </c:pt>
                <c:pt idx="4">
                  <c:v>209992</c:v>
                </c:pt>
                <c:pt idx="5">
                  <c:v>218975</c:v>
                </c:pt>
                <c:pt idx="6">
                  <c:v>226759</c:v>
                </c:pt>
                <c:pt idx="7">
                  <c:v>237998</c:v>
                </c:pt>
                <c:pt idx="8" formatCode="#,##0_);[Red]\(#,##0\)">
                  <c:v>237633</c:v>
                </c:pt>
                <c:pt idx="9" formatCode="#,##0_);[Red]\(#,##0\)">
                  <c:v>243310</c:v>
                </c:pt>
              </c:numCache>
            </c:numRef>
          </c:val>
          <c:extLst>
            <c:ext xmlns:c16="http://schemas.microsoft.com/office/drawing/2014/chart" uri="{C3380CC4-5D6E-409C-BE32-E72D297353CC}">
              <c16:uniqueId val="{00000003-CF20-4C80-ACDD-F531562E364F}"/>
            </c:ext>
          </c:extLst>
        </c:ser>
        <c:ser>
          <c:idx val="1"/>
          <c:order val="4"/>
          <c:tx>
            <c:strRef>
              <c:f>'Ch3. Patent applications'!$B$134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applications'!$L$132:$W$132</c15:sqref>
                  </c15:fullRef>
                </c:ext>
              </c:extLst>
              <c:f>'Ch3. Patent applications'!$N$132:$W$132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applications'!$L$134:$W$134</c15:sqref>
                  </c15:fullRef>
                </c:ext>
              </c:extLst>
              <c:f>'Ch3. Patent applications'!$N$134:$W$134</c:f>
              <c:numCache>
                <c:formatCode>#,##0</c:formatCode>
                <c:ptCount val="10"/>
                <c:pt idx="0">
                  <c:v>325989</c:v>
                </c:pt>
                <c:pt idx="1">
                  <c:v>318721</c:v>
                </c:pt>
                <c:pt idx="2">
                  <c:v>318381</c:v>
                </c:pt>
                <c:pt idx="3">
                  <c:v>318479</c:v>
                </c:pt>
                <c:pt idx="4">
                  <c:v>313567</c:v>
                </c:pt>
                <c:pt idx="5">
                  <c:v>307969</c:v>
                </c:pt>
                <c:pt idx="6">
                  <c:v>288472</c:v>
                </c:pt>
                <c:pt idx="7">
                  <c:v>289200</c:v>
                </c:pt>
                <c:pt idx="8" formatCode="#,##0_);[Red]\(#,##0\)">
                  <c:v>289530</c:v>
                </c:pt>
                <c:pt idx="9" formatCode="#,##0_);[Red]\(#,##0\)">
                  <c:v>300133</c:v>
                </c:pt>
              </c:numCache>
            </c:numRef>
          </c:val>
          <c:extLst>
            <c:ext xmlns:c16="http://schemas.microsoft.com/office/drawing/2014/chart" uri="{C3380CC4-5D6E-409C-BE32-E72D297353CC}">
              <c16:uniqueId val="{00000004-CF20-4C80-ACDD-F531562E364F}"/>
            </c:ext>
          </c:extLst>
        </c:ser>
        <c:ser>
          <c:idx val="0"/>
          <c:order val="5"/>
          <c:tx>
            <c:strRef>
              <c:f>'Ch3. Patent applications'!$B$133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applications'!$L$132:$W$132</c15:sqref>
                  </c15:fullRef>
                </c:ext>
              </c:extLst>
              <c:f>'Ch3. Patent applications'!$N$132:$W$132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applications'!$L$133:$W$133</c15:sqref>
                  </c15:fullRef>
                </c:ext>
              </c:extLst>
              <c:f>'Ch3. Patent applications'!$N$133:$W$133</c:f>
              <c:numCache>
                <c:formatCode>#,##0</c:formatCode>
                <c:ptCount val="10"/>
                <c:pt idx="0">
                  <c:v>300970</c:v>
                </c:pt>
                <c:pt idx="1">
                  <c:v>310869</c:v>
                </c:pt>
                <c:pt idx="2">
                  <c:v>311457</c:v>
                </c:pt>
                <c:pt idx="3">
                  <c:v>318573</c:v>
                </c:pt>
                <c:pt idx="4">
                  <c:v>323274</c:v>
                </c:pt>
                <c:pt idx="5">
                  <c:v>328278</c:v>
                </c:pt>
                <c:pt idx="6">
                  <c:v>323708</c:v>
                </c:pt>
                <c:pt idx="7">
                  <c:v>327299</c:v>
                </c:pt>
                <c:pt idx="8" formatCode="#,##0_);[Red]\(#,##0\)">
                  <c:v>330340</c:v>
                </c:pt>
                <c:pt idx="9" formatCode="#,##0_);[Red]\(#,##0\)">
                  <c:v>340143</c:v>
                </c:pt>
              </c:numCache>
            </c:numRef>
          </c:val>
          <c:extLst>
            <c:ext xmlns:c16="http://schemas.microsoft.com/office/drawing/2014/chart" uri="{C3380CC4-5D6E-409C-BE32-E72D297353CC}">
              <c16:uniqueId val="{00000005-CF20-4C80-ACDD-F531562E364F}"/>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Patent applications'!$L$132:$W$132</c15:sqref>
                  </c15:fullRef>
                </c:ext>
              </c:extLst>
              <c:f>'Ch3. Patent applications'!$N$132:$W$132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Patent applications'!$L$139:$W$139</c15:sqref>
                  </c15:fullRef>
                </c:ext>
              </c:extLst>
              <c:f>'Ch3. Patent applications'!$N$139:$W$139</c:f>
              <c:numCache>
                <c:formatCode>#,##0</c:formatCode>
                <c:ptCount val="10"/>
                <c:pt idx="0">
                  <c:v>2665859</c:v>
                </c:pt>
                <c:pt idx="1">
                  <c:v>2862057</c:v>
                </c:pt>
                <c:pt idx="2">
                  <c:v>3112225</c:v>
                </c:pt>
                <c:pt idx="3">
                  <c:v>3156036</c:v>
                </c:pt>
                <c:pt idx="4">
                  <c:v>3322116</c:v>
                </c:pt>
                <c:pt idx="5">
                  <c:v>3218500</c:v>
                </c:pt>
                <c:pt idx="6">
                  <c:v>3278756</c:v>
                </c:pt>
                <c:pt idx="7">
                  <c:v>3386931</c:v>
                </c:pt>
                <c:pt idx="8" formatCode="#,##0_);[Red]\(#,##0\)">
                  <c:v>3452150</c:v>
                </c:pt>
                <c:pt idx="9" formatCode="#,##0_);[Red]\(#,##0\)">
                  <c:v>3552388</c:v>
                </c:pt>
              </c:numCache>
            </c:numRef>
          </c:val>
          <c:extLst>
            <c:ext xmlns:c16="http://schemas.microsoft.com/office/drawing/2014/chart" uri="{C3380CC4-5D6E-409C-BE32-E72D297353CC}">
              <c16:uniqueId val="{00000006-CF20-4C80-ACDD-F531562E364F}"/>
            </c:ext>
          </c:extLst>
        </c:ser>
        <c:dLbls>
          <c:showLegendKey val="0"/>
          <c:showVal val="0"/>
          <c:showCatName val="0"/>
          <c:showSerName val="0"/>
          <c:showPercent val="0"/>
          <c:showBubbleSize val="0"/>
        </c:dLbls>
        <c:gapWidth val="10"/>
        <c:overlap val="100"/>
        <c:axId val="1788462032"/>
        <c:axId val="1788451152"/>
      </c:barChart>
      <c:catAx>
        <c:axId val="1788462032"/>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51152"/>
        <c:crosses val="autoZero"/>
        <c:auto val="1"/>
        <c:lblAlgn val="ctr"/>
        <c:lblOffset val="100"/>
        <c:noMultiLvlLbl val="0"/>
      </c:catAx>
      <c:valAx>
        <c:axId val="1788451152"/>
        <c:scaling>
          <c:orientation val="minMax"/>
          <c:max val="3760000"/>
          <c:min val="-470000"/>
        </c:scaling>
        <c:delete val="1"/>
        <c:axPos val="l"/>
        <c:numFmt formatCode="#,##0" sourceLinked="1"/>
        <c:majorTickMark val="out"/>
        <c:minorTickMark val="none"/>
        <c:tickLblPos val="nextTo"/>
        <c:crossAx val="1788462032"/>
        <c:crosses val="autoZero"/>
        <c:crossBetween val="between"/>
      </c:valAx>
      <c:spPr>
        <a:noFill/>
        <a:ln>
          <a:noFill/>
        </a:ln>
        <a:effectLst/>
      </c:spPr>
    </c:plotArea>
    <c:legend>
      <c:legendPos val="r"/>
      <c:legendEntry>
        <c:idx val="0"/>
        <c:delete val="1"/>
      </c:legendEntry>
      <c:layout>
        <c:manualLayout>
          <c:xMode val="edge"/>
          <c:yMode val="edge"/>
          <c:x val="0.86247382813289497"/>
          <c:y val="0.247073788373607"/>
          <c:w val="0.13372343794095401"/>
          <c:h val="0.575822136917713"/>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4358cca2-e77e-479d-8bcf-ea37d99127ef}"/>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Fig.3.8: WORLDWIDE DEMAND FOR PATENT RIGHTS - FILING PROCEDURES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1.42915162408709E-2"/>
          <c:y val="0.112393966211875"/>
          <c:w val="0.97141696751825801"/>
          <c:h val="0.82850437330097204"/>
        </c:manualLayout>
      </c:layout>
      <c:barChart>
        <c:barDir val="col"/>
        <c:grouping val="stacked"/>
        <c:varyColors val="0"/>
        <c:ser>
          <c:idx val="0"/>
          <c:order val="0"/>
          <c:tx>
            <c:strRef>
              <c:f>'Ch3. Demand for patent rights'!$B$118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rights'!$D$118:$W$118</c:f>
              <c:numCache>
                <c:formatCode>#,##0</c:formatCode>
                <c:ptCount val="20"/>
                <c:pt idx="0">
                  <c:v>1149981</c:v>
                </c:pt>
                <c:pt idx="1">
                  <c:v>1237028</c:v>
                </c:pt>
                <c:pt idx="2">
                  <c:v>1282384</c:v>
                </c:pt>
                <c:pt idx="3">
                  <c:v>1307377</c:v>
                </c:pt>
                <c:pt idx="4">
                  <c:v>1382985</c:v>
                </c:pt>
                <c:pt idx="5">
                  <c:v>1331777</c:v>
                </c:pt>
                <c:pt idx="6">
                  <c:v>1389232</c:v>
                </c:pt>
                <c:pt idx="7">
                  <c:v>1555711</c:v>
                </c:pt>
                <c:pt idx="8">
                  <c:v>1728578</c:v>
                </c:pt>
                <c:pt idx="9">
                  <c:v>1921441</c:v>
                </c:pt>
                <c:pt idx="10">
                  <c:v>2008933</c:v>
                </c:pt>
                <c:pt idx="11">
                  <c:v>2188932</c:v>
                </c:pt>
                <c:pt idx="12">
                  <c:v>2436257</c:v>
                </c:pt>
                <c:pt idx="13">
                  <c:v>2456411</c:v>
                </c:pt>
                <c:pt idx="14">
                  <c:v>2600036</c:v>
                </c:pt>
                <c:pt idx="15">
                  <c:v>2465543</c:v>
                </c:pt>
                <c:pt idx="16">
                  <c:v>2538782</c:v>
                </c:pt>
                <c:pt idx="17">
                  <c:v>2598438</c:v>
                </c:pt>
                <c:pt idx="18">
                  <c:v>2642997</c:v>
                </c:pt>
                <c:pt idx="19">
                  <c:v>2783286</c:v>
                </c:pt>
              </c:numCache>
            </c:numRef>
          </c:val>
          <c:extLst>
            <c:ext xmlns:c16="http://schemas.microsoft.com/office/drawing/2014/chart" uri="{C3380CC4-5D6E-409C-BE32-E72D297353CC}">
              <c16:uniqueId val="{00000000-C07F-4276-A365-E9EF770CC61F}"/>
            </c:ext>
          </c:extLst>
        </c:ser>
        <c:ser>
          <c:idx val="1"/>
          <c:order val="1"/>
          <c:tx>
            <c:strRef>
              <c:f>'Ch3. Demand for patent rights'!$B$119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rights'!$D$119:$W$119</c:f>
              <c:numCache>
                <c:formatCode>#,##0</c:formatCode>
                <c:ptCount val="20"/>
                <c:pt idx="0">
                  <c:v>1773822</c:v>
                </c:pt>
                <c:pt idx="1">
                  <c:v>2072805</c:v>
                </c:pt>
                <c:pt idx="2">
                  <c:v>2022731</c:v>
                </c:pt>
                <c:pt idx="3">
                  <c:v>2107125</c:v>
                </c:pt>
                <c:pt idx="4">
                  <c:v>2149428</c:v>
                </c:pt>
                <c:pt idx="5">
                  <c:v>1934661</c:v>
                </c:pt>
                <c:pt idx="6">
                  <c:v>2461004</c:v>
                </c:pt>
                <c:pt idx="7">
                  <c:v>2358797</c:v>
                </c:pt>
                <c:pt idx="8">
                  <c:v>2368478</c:v>
                </c:pt>
                <c:pt idx="9">
                  <c:v>2309520</c:v>
                </c:pt>
                <c:pt idx="10">
                  <c:v>2281077</c:v>
                </c:pt>
                <c:pt idx="11">
                  <c:v>2339557</c:v>
                </c:pt>
                <c:pt idx="12">
                  <c:v>2456492</c:v>
                </c:pt>
                <c:pt idx="13">
                  <c:v>2587653</c:v>
                </c:pt>
                <c:pt idx="14">
                  <c:v>2743126</c:v>
                </c:pt>
                <c:pt idx="15">
                  <c:v>2882282</c:v>
                </c:pt>
                <c:pt idx="16">
                  <c:v>2809184</c:v>
                </c:pt>
                <c:pt idx="17">
                  <c:v>2811808</c:v>
                </c:pt>
                <c:pt idx="18">
                  <c:v>2780513</c:v>
                </c:pt>
                <c:pt idx="19">
                  <c:v>2964247</c:v>
                </c:pt>
              </c:numCache>
            </c:numRef>
          </c:val>
          <c:extLst>
            <c:ext xmlns:c16="http://schemas.microsoft.com/office/drawing/2014/chart" uri="{C3380CC4-5D6E-409C-BE32-E72D297353CC}">
              <c16:uniqueId val="{00000001-C07F-4276-A365-E9EF770CC61F}"/>
            </c:ext>
          </c:extLst>
        </c:ser>
        <c:ser>
          <c:idx val="2"/>
          <c:order val="2"/>
          <c:tx>
            <c:strRef>
              <c:f>'Ch3. Demand for patent rights'!$B$120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rights'!$D$120:$W$120</c:f>
              <c:numCache>
                <c:formatCode>#,##0</c:formatCode>
                <c:ptCount val="20"/>
                <c:pt idx="0">
                  <c:v>1705252</c:v>
                </c:pt>
                <c:pt idx="1">
                  <c:v>2008969</c:v>
                </c:pt>
                <c:pt idx="2">
                  <c:v>2358326</c:v>
                </c:pt>
                <c:pt idx="3">
                  <c:v>2577681</c:v>
                </c:pt>
                <c:pt idx="4">
                  <c:v>2838620</c:v>
                </c:pt>
                <c:pt idx="5">
                  <c:v>2815629</c:v>
                </c:pt>
                <c:pt idx="6">
                  <c:v>3149889</c:v>
                </c:pt>
                <c:pt idx="7">
                  <c:v>3328711</c:v>
                </c:pt>
                <c:pt idx="8">
                  <c:v>3592359</c:v>
                </c:pt>
                <c:pt idx="9">
                  <c:v>3744584</c:v>
                </c:pt>
                <c:pt idx="10">
                  <c:v>3974560</c:v>
                </c:pt>
                <c:pt idx="11">
                  <c:v>4194233</c:v>
                </c:pt>
                <c:pt idx="12">
                  <c:v>4054312</c:v>
                </c:pt>
                <c:pt idx="13">
                  <c:v>4214917</c:v>
                </c:pt>
                <c:pt idx="14">
                  <c:v>4372022</c:v>
                </c:pt>
                <c:pt idx="15">
                  <c:v>4526180</c:v>
                </c:pt>
                <c:pt idx="16">
                  <c:v>4554971</c:v>
                </c:pt>
                <c:pt idx="17">
                  <c:v>4907160</c:v>
                </c:pt>
                <c:pt idx="18">
                  <c:v>5128093</c:v>
                </c:pt>
                <c:pt idx="19">
                  <c:v>5154480</c:v>
                </c:pt>
              </c:numCache>
            </c:numRef>
          </c:val>
          <c:extLst>
            <c:ext xmlns:c16="http://schemas.microsoft.com/office/drawing/2014/chart" uri="{C3380CC4-5D6E-409C-BE32-E72D297353CC}">
              <c16:uniqueId val="{00000002-C07F-4276-A365-E9EF770CC61F}"/>
            </c:ext>
          </c:extLst>
        </c:ser>
        <c:ser>
          <c:idx val="3"/>
          <c:order val="3"/>
          <c:spPr>
            <a:no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rights'!$D$117:$W$117</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rights'!$D$121:$W$121</c:f>
              <c:numCache>
                <c:formatCode>#,##0</c:formatCode>
                <c:ptCount val="20"/>
                <c:pt idx="0">
                  <c:v>4629055</c:v>
                </c:pt>
                <c:pt idx="1">
                  <c:v>5318802</c:v>
                </c:pt>
                <c:pt idx="2">
                  <c:v>5663441</c:v>
                </c:pt>
                <c:pt idx="3">
                  <c:v>5992183</c:v>
                </c:pt>
                <c:pt idx="4">
                  <c:v>6371033</c:v>
                </c:pt>
                <c:pt idx="5">
                  <c:v>6082067</c:v>
                </c:pt>
                <c:pt idx="6">
                  <c:v>7000125</c:v>
                </c:pt>
                <c:pt idx="7">
                  <c:v>7243219</c:v>
                </c:pt>
                <c:pt idx="8">
                  <c:v>7689415</c:v>
                </c:pt>
                <c:pt idx="9">
                  <c:v>7975545</c:v>
                </c:pt>
                <c:pt idx="10">
                  <c:v>8264570</c:v>
                </c:pt>
                <c:pt idx="11">
                  <c:v>8722722</c:v>
                </c:pt>
                <c:pt idx="12">
                  <c:v>8947061</c:v>
                </c:pt>
                <c:pt idx="13">
                  <c:v>9258981</c:v>
                </c:pt>
                <c:pt idx="14">
                  <c:v>9715184</c:v>
                </c:pt>
                <c:pt idx="15">
                  <c:v>9874005</c:v>
                </c:pt>
                <c:pt idx="16">
                  <c:v>9902937</c:v>
                </c:pt>
                <c:pt idx="17">
                  <c:v>10317406</c:v>
                </c:pt>
                <c:pt idx="18">
                  <c:v>10551603</c:v>
                </c:pt>
                <c:pt idx="19">
                  <c:v>10902013</c:v>
                </c:pt>
              </c:numCache>
            </c:numRef>
          </c:val>
          <c:extLst>
            <c:ext xmlns:c16="http://schemas.microsoft.com/office/drawing/2014/chart" uri="{C3380CC4-5D6E-409C-BE32-E72D297353CC}">
              <c16:uniqueId val="{00000003-C07F-4276-A365-E9EF770CC61F}"/>
            </c:ext>
          </c:extLst>
        </c:ser>
        <c:dLbls>
          <c:showLegendKey val="0"/>
          <c:showVal val="0"/>
          <c:showCatName val="0"/>
          <c:showSerName val="0"/>
          <c:showPercent val="0"/>
          <c:showBubbleSize val="0"/>
        </c:dLbls>
        <c:gapWidth val="10"/>
        <c:overlap val="100"/>
        <c:axId val="1788463120"/>
        <c:axId val="1788463664"/>
      </c:barChart>
      <c:catAx>
        <c:axId val="178846312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63664"/>
        <c:crosses val="autoZero"/>
        <c:auto val="1"/>
        <c:lblAlgn val="ctr"/>
        <c:lblOffset val="100"/>
        <c:noMultiLvlLbl val="0"/>
      </c:catAx>
      <c:valAx>
        <c:axId val="1788463664"/>
        <c:scaling>
          <c:orientation val="minMax"/>
          <c:max val="11530000"/>
          <c:min val="-1800000"/>
        </c:scaling>
        <c:delete val="1"/>
        <c:axPos val="l"/>
        <c:numFmt formatCode="#,##0" sourceLinked="1"/>
        <c:majorTickMark val="out"/>
        <c:minorTickMark val="none"/>
        <c:tickLblPos val="nextTo"/>
        <c:crossAx val="1788463120"/>
        <c:crosses val="autoZero"/>
        <c:crossBetween val="between"/>
      </c:valAx>
      <c:spPr>
        <a:noFill/>
        <a:ln>
          <a:noFill/>
        </a:ln>
        <a:effectLst/>
      </c:spPr>
    </c:plotArea>
    <c:legend>
      <c:legendPos val="b"/>
      <c:legendEntry>
        <c:idx val="3"/>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8c3f7c15-70f5-42a2-8c9a-92c7459c7c62}"/>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Fig.3.9: WORLDWIDE DEMAND FOR PATENT RIGHTS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Demand for patent rights'!$B$129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rights'!$D$129:$W$129</c:f>
              <c:numCache>
                <c:formatCode>#,##0</c:formatCode>
                <c:ptCount val="20"/>
                <c:pt idx="0">
                  <c:v>295312</c:v>
                </c:pt>
                <c:pt idx="1">
                  <c:v>318587</c:v>
                </c:pt>
                <c:pt idx="2">
                  <c:v>366235</c:v>
                </c:pt>
                <c:pt idx="3">
                  <c:v>361778</c:v>
                </c:pt>
                <c:pt idx="4">
                  <c:v>490671</c:v>
                </c:pt>
                <c:pt idx="5">
                  <c:v>415733</c:v>
                </c:pt>
                <c:pt idx="6">
                  <c:v>454661</c:v>
                </c:pt>
                <c:pt idx="7">
                  <c:v>453469</c:v>
                </c:pt>
                <c:pt idx="8">
                  <c:v>490202</c:v>
                </c:pt>
                <c:pt idx="9">
                  <c:v>483772</c:v>
                </c:pt>
                <c:pt idx="10">
                  <c:v>476631</c:v>
                </c:pt>
                <c:pt idx="11">
                  <c:v>495429</c:v>
                </c:pt>
                <c:pt idx="12">
                  <c:v>515099</c:v>
                </c:pt>
                <c:pt idx="13">
                  <c:v>533370</c:v>
                </c:pt>
                <c:pt idx="14">
                  <c:v>580353</c:v>
                </c:pt>
                <c:pt idx="15">
                  <c:v>611354</c:v>
                </c:pt>
                <c:pt idx="16">
                  <c:v>623491</c:v>
                </c:pt>
                <c:pt idx="17">
                  <c:v>625940</c:v>
                </c:pt>
                <c:pt idx="18">
                  <c:v>612032</c:v>
                </c:pt>
                <c:pt idx="19">
                  <c:v>622490</c:v>
                </c:pt>
              </c:numCache>
            </c:numRef>
          </c:val>
          <c:extLst>
            <c:ext xmlns:c16="http://schemas.microsoft.com/office/drawing/2014/chart" uri="{C3380CC4-5D6E-409C-BE32-E72D297353CC}">
              <c16:uniqueId val="{00000000-748B-4899-B506-BD3E3BFC54F4}"/>
            </c:ext>
          </c:extLst>
        </c:ser>
        <c:ser>
          <c:idx val="4"/>
          <c:order val="1"/>
          <c:tx>
            <c:strRef>
              <c:f>'Ch3. Demand for patent rights'!$B$128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rights'!$D$128:$W$128</c:f>
              <c:numCache>
                <c:formatCode>#,##0</c:formatCode>
                <c:ptCount val="20"/>
                <c:pt idx="0">
                  <c:v>1098197</c:v>
                </c:pt>
                <c:pt idx="1">
                  <c:v>1254248</c:v>
                </c:pt>
                <c:pt idx="2">
                  <c:v>1364254</c:v>
                </c:pt>
                <c:pt idx="3">
                  <c:v>1449599</c:v>
                </c:pt>
                <c:pt idx="4">
                  <c:v>1507664</c:v>
                </c:pt>
                <c:pt idx="5">
                  <c:v>1391084</c:v>
                </c:pt>
                <c:pt idx="6">
                  <c:v>1679319</c:v>
                </c:pt>
                <c:pt idx="7">
                  <c:v>1653277</c:v>
                </c:pt>
                <c:pt idx="8">
                  <c:v>1709061</c:v>
                </c:pt>
                <c:pt idx="9">
                  <c:v>1718491</c:v>
                </c:pt>
                <c:pt idx="10">
                  <c:v>1829321</c:v>
                </c:pt>
                <c:pt idx="11">
                  <c:v>2063114</c:v>
                </c:pt>
                <c:pt idx="12">
                  <c:v>1961936</c:v>
                </c:pt>
                <c:pt idx="13">
                  <c:v>2057424</c:v>
                </c:pt>
                <c:pt idx="14">
                  <c:v>2094983</c:v>
                </c:pt>
                <c:pt idx="15">
                  <c:v>2191161</c:v>
                </c:pt>
                <c:pt idx="16">
                  <c:v>2098070</c:v>
                </c:pt>
                <c:pt idx="17">
                  <c:v>2203957</c:v>
                </c:pt>
                <c:pt idx="18">
                  <c:v>2255033</c:v>
                </c:pt>
                <c:pt idx="19">
                  <c:v>2279219</c:v>
                </c:pt>
              </c:numCache>
            </c:numRef>
          </c:val>
          <c:extLst>
            <c:ext xmlns:c16="http://schemas.microsoft.com/office/drawing/2014/chart" uri="{C3380CC4-5D6E-409C-BE32-E72D297353CC}">
              <c16:uniqueId val="{00000001-748B-4899-B506-BD3E3BFC54F4}"/>
            </c:ext>
          </c:extLst>
        </c:ser>
        <c:ser>
          <c:idx val="3"/>
          <c:order val="2"/>
          <c:tx>
            <c:strRef>
              <c:f>'Ch3. Demand for patent rights'!$B$127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rights'!$D$127:$W$127</c:f>
              <c:numCache>
                <c:formatCode>#,##0</c:formatCode>
                <c:ptCount val="20"/>
                <c:pt idx="0">
                  <c:v>79214</c:v>
                </c:pt>
                <c:pt idx="1">
                  <c:v>112900</c:v>
                </c:pt>
                <c:pt idx="2">
                  <c:v>150192</c:v>
                </c:pt>
                <c:pt idx="3">
                  <c:v>196331</c:v>
                </c:pt>
                <c:pt idx="4">
                  <c:v>251277</c:v>
                </c:pt>
                <c:pt idx="5">
                  <c:v>293781</c:v>
                </c:pt>
                <c:pt idx="6">
                  <c:v>376596</c:v>
                </c:pt>
                <c:pt idx="7">
                  <c:v>525218</c:v>
                </c:pt>
                <c:pt idx="8">
                  <c:v>692937</c:v>
                </c:pt>
                <c:pt idx="9">
                  <c:v>881565</c:v>
                </c:pt>
                <c:pt idx="10">
                  <c:v>1008743</c:v>
                </c:pt>
                <c:pt idx="11">
                  <c:v>1217730</c:v>
                </c:pt>
                <c:pt idx="12">
                  <c:v>1515906</c:v>
                </c:pt>
                <c:pt idx="13">
                  <c:v>1619201</c:v>
                </c:pt>
                <c:pt idx="14">
                  <c:v>1804971</c:v>
                </c:pt>
                <c:pt idx="15">
                  <c:v>1772440</c:v>
                </c:pt>
                <c:pt idx="16">
                  <c:v>1929494</c:v>
                </c:pt>
                <c:pt idx="17">
                  <c:v>2138679</c:v>
                </c:pt>
                <c:pt idx="18">
                  <c:v>2290704</c:v>
                </c:pt>
                <c:pt idx="19">
                  <c:v>2420744</c:v>
                </c:pt>
              </c:numCache>
            </c:numRef>
          </c:val>
          <c:extLst>
            <c:ext xmlns:c16="http://schemas.microsoft.com/office/drawing/2014/chart" uri="{C3380CC4-5D6E-409C-BE32-E72D297353CC}">
              <c16:uniqueId val="{00000002-748B-4899-B506-BD3E3BFC54F4}"/>
            </c:ext>
          </c:extLst>
        </c:ser>
        <c:ser>
          <c:idx val="2"/>
          <c:order val="3"/>
          <c:tx>
            <c:strRef>
              <c:f>'Ch3. Demand for patent rights'!$B$126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rights'!$D$126:$W$126</c:f>
              <c:numCache>
                <c:formatCode>#,##0</c:formatCode>
                <c:ptCount val="20"/>
                <c:pt idx="0">
                  <c:v>216380</c:v>
                </c:pt>
                <c:pt idx="1">
                  <c:v>285537</c:v>
                </c:pt>
                <c:pt idx="2">
                  <c:v>317298</c:v>
                </c:pt>
                <c:pt idx="3">
                  <c:v>328462</c:v>
                </c:pt>
                <c:pt idx="4">
                  <c:v>302412</c:v>
                </c:pt>
                <c:pt idx="5">
                  <c:v>298000</c:v>
                </c:pt>
                <c:pt idx="6">
                  <c:v>340552</c:v>
                </c:pt>
                <c:pt idx="7">
                  <c:v>364530</c:v>
                </c:pt>
                <c:pt idx="8">
                  <c:v>409186</c:v>
                </c:pt>
                <c:pt idx="9">
                  <c:v>454204</c:v>
                </c:pt>
                <c:pt idx="10">
                  <c:v>452053</c:v>
                </c:pt>
                <c:pt idx="11">
                  <c:v>469136</c:v>
                </c:pt>
                <c:pt idx="12">
                  <c:v>480312</c:v>
                </c:pt>
                <c:pt idx="13">
                  <c:v>459727</c:v>
                </c:pt>
                <c:pt idx="14">
                  <c:v>493229</c:v>
                </c:pt>
                <c:pt idx="15">
                  <c:v>549660</c:v>
                </c:pt>
                <c:pt idx="16">
                  <c:v>589441</c:v>
                </c:pt>
                <c:pt idx="17">
                  <c:v>609127</c:v>
                </c:pt>
                <c:pt idx="18">
                  <c:v>648750</c:v>
                </c:pt>
                <c:pt idx="19">
                  <c:v>749273</c:v>
                </c:pt>
              </c:numCache>
            </c:numRef>
          </c:val>
          <c:extLst>
            <c:ext xmlns:c16="http://schemas.microsoft.com/office/drawing/2014/chart" uri="{C3380CC4-5D6E-409C-BE32-E72D297353CC}">
              <c16:uniqueId val="{00000003-748B-4899-B506-BD3E3BFC54F4}"/>
            </c:ext>
          </c:extLst>
        </c:ser>
        <c:ser>
          <c:idx val="1"/>
          <c:order val="4"/>
          <c:tx>
            <c:strRef>
              <c:f>'Ch3. Demand for patent rights'!$B$125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rights'!$D$125:$W$125</c:f>
              <c:numCache>
                <c:formatCode>#,##0</c:formatCode>
                <c:ptCount val="20"/>
                <c:pt idx="0">
                  <c:v>984698</c:v>
                </c:pt>
                <c:pt idx="1">
                  <c:v>1082620</c:v>
                </c:pt>
                <c:pt idx="2">
                  <c:v>1085270</c:v>
                </c:pt>
                <c:pt idx="3">
                  <c:v>1095421</c:v>
                </c:pt>
                <c:pt idx="4">
                  <c:v>1081722</c:v>
                </c:pt>
                <c:pt idx="5">
                  <c:v>998209</c:v>
                </c:pt>
                <c:pt idx="6">
                  <c:v>1145232</c:v>
                </c:pt>
                <c:pt idx="7">
                  <c:v>1186328</c:v>
                </c:pt>
                <c:pt idx="8">
                  <c:v>1281023</c:v>
                </c:pt>
                <c:pt idx="9">
                  <c:v>1275625</c:v>
                </c:pt>
                <c:pt idx="10">
                  <c:v>1258882</c:v>
                </c:pt>
                <c:pt idx="11">
                  <c:v>1225357</c:v>
                </c:pt>
                <c:pt idx="12">
                  <c:v>1211142</c:v>
                </c:pt>
                <c:pt idx="13">
                  <c:v>1244535</c:v>
                </c:pt>
                <c:pt idx="14">
                  <c:v>1273772</c:v>
                </c:pt>
                <c:pt idx="15">
                  <c:v>1251430</c:v>
                </c:pt>
                <c:pt idx="16">
                  <c:v>1217123</c:v>
                </c:pt>
                <c:pt idx="17">
                  <c:v>1196855</c:v>
                </c:pt>
                <c:pt idx="18">
                  <c:v>1187688</c:v>
                </c:pt>
                <c:pt idx="19">
                  <c:v>1203357</c:v>
                </c:pt>
              </c:numCache>
            </c:numRef>
          </c:val>
          <c:extLst>
            <c:ext xmlns:c16="http://schemas.microsoft.com/office/drawing/2014/chart" uri="{C3380CC4-5D6E-409C-BE32-E72D297353CC}">
              <c16:uniqueId val="{00000004-748B-4899-B506-BD3E3BFC54F4}"/>
            </c:ext>
          </c:extLst>
        </c:ser>
        <c:ser>
          <c:idx val="0"/>
          <c:order val="5"/>
          <c:tx>
            <c:strRef>
              <c:f>'Ch3. Demand for patent rights'!$B$124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rights'!$D$124:$W$124</c:f>
              <c:numCache>
                <c:formatCode>#,##0</c:formatCode>
                <c:ptCount val="20"/>
                <c:pt idx="0">
                  <c:v>1955254</c:v>
                </c:pt>
                <c:pt idx="1">
                  <c:v>2264910</c:v>
                </c:pt>
                <c:pt idx="2">
                  <c:v>2380192</c:v>
                </c:pt>
                <c:pt idx="3">
                  <c:v>2560592</c:v>
                </c:pt>
                <c:pt idx="4">
                  <c:v>2737287</c:v>
                </c:pt>
                <c:pt idx="5">
                  <c:v>2685260</c:v>
                </c:pt>
                <c:pt idx="6">
                  <c:v>3003765</c:v>
                </c:pt>
                <c:pt idx="7">
                  <c:v>3060397</c:v>
                </c:pt>
                <c:pt idx="8">
                  <c:v>3107006</c:v>
                </c:pt>
                <c:pt idx="9">
                  <c:v>3161888</c:v>
                </c:pt>
                <c:pt idx="10">
                  <c:v>3238940</c:v>
                </c:pt>
                <c:pt idx="11">
                  <c:v>3251956</c:v>
                </c:pt>
                <c:pt idx="12">
                  <c:v>3262666</c:v>
                </c:pt>
                <c:pt idx="13">
                  <c:v>3344724</c:v>
                </c:pt>
                <c:pt idx="14">
                  <c:v>3467876</c:v>
                </c:pt>
                <c:pt idx="15">
                  <c:v>3497960</c:v>
                </c:pt>
                <c:pt idx="16">
                  <c:v>3445318</c:v>
                </c:pt>
                <c:pt idx="17">
                  <c:v>3542848</c:v>
                </c:pt>
                <c:pt idx="18">
                  <c:v>3557396</c:v>
                </c:pt>
                <c:pt idx="19">
                  <c:v>3626930</c:v>
                </c:pt>
              </c:numCache>
            </c:numRef>
          </c:val>
          <c:extLst>
            <c:ext xmlns:c16="http://schemas.microsoft.com/office/drawing/2014/chart" uri="{C3380CC4-5D6E-409C-BE32-E72D297353CC}">
              <c16:uniqueId val="{00000005-748B-4899-B506-BD3E3BFC54F4}"/>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rights'!$D$123:$W$123</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rights'!$D$130:$W$130</c:f>
              <c:numCache>
                <c:formatCode>#,##0</c:formatCode>
                <c:ptCount val="20"/>
                <c:pt idx="0">
                  <c:v>4629055</c:v>
                </c:pt>
                <c:pt idx="1">
                  <c:v>5318802</c:v>
                </c:pt>
                <c:pt idx="2">
                  <c:v>5663441</c:v>
                </c:pt>
                <c:pt idx="3">
                  <c:v>5992183</c:v>
                </c:pt>
                <c:pt idx="4">
                  <c:v>6371033</c:v>
                </c:pt>
                <c:pt idx="5">
                  <c:v>6082067</c:v>
                </c:pt>
                <c:pt idx="6">
                  <c:v>7000125</c:v>
                </c:pt>
                <c:pt idx="7">
                  <c:v>7243219</c:v>
                </c:pt>
                <c:pt idx="8">
                  <c:v>7689415</c:v>
                </c:pt>
                <c:pt idx="9">
                  <c:v>7975545</c:v>
                </c:pt>
                <c:pt idx="10">
                  <c:v>8264570</c:v>
                </c:pt>
                <c:pt idx="11">
                  <c:v>8722722</c:v>
                </c:pt>
                <c:pt idx="12">
                  <c:v>8947061</c:v>
                </c:pt>
                <c:pt idx="13">
                  <c:v>9258981</c:v>
                </c:pt>
                <c:pt idx="14">
                  <c:v>9715184</c:v>
                </c:pt>
                <c:pt idx="15">
                  <c:v>9874005</c:v>
                </c:pt>
                <c:pt idx="16">
                  <c:v>9902937</c:v>
                </c:pt>
                <c:pt idx="17">
                  <c:v>10317406</c:v>
                </c:pt>
                <c:pt idx="18">
                  <c:v>10551603</c:v>
                </c:pt>
                <c:pt idx="19">
                  <c:v>10902013</c:v>
                </c:pt>
              </c:numCache>
            </c:numRef>
          </c:val>
          <c:extLst>
            <c:ext xmlns:c16="http://schemas.microsoft.com/office/drawing/2014/chart" uri="{C3380CC4-5D6E-409C-BE32-E72D297353CC}">
              <c16:uniqueId val="{00000006-748B-4899-B506-BD3E3BFC54F4}"/>
            </c:ext>
          </c:extLst>
        </c:ser>
        <c:dLbls>
          <c:showLegendKey val="0"/>
          <c:showVal val="0"/>
          <c:showCatName val="0"/>
          <c:showSerName val="0"/>
          <c:showPercent val="0"/>
          <c:showBubbleSize val="0"/>
        </c:dLbls>
        <c:gapWidth val="10"/>
        <c:overlap val="100"/>
        <c:axId val="1788464208"/>
        <c:axId val="1788450064"/>
      </c:barChart>
      <c:catAx>
        <c:axId val="178846420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50064"/>
        <c:crosses val="autoZero"/>
        <c:auto val="1"/>
        <c:lblAlgn val="ctr"/>
        <c:lblOffset val="100"/>
        <c:noMultiLvlLbl val="0"/>
      </c:catAx>
      <c:valAx>
        <c:axId val="1788450064"/>
        <c:scaling>
          <c:orientation val="minMax"/>
          <c:max val="11600000"/>
          <c:min val="0"/>
        </c:scaling>
        <c:delete val="1"/>
        <c:axPos val="l"/>
        <c:numFmt formatCode="#,##0" sourceLinked="1"/>
        <c:majorTickMark val="out"/>
        <c:minorTickMark val="none"/>
        <c:tickLblPos val="nextTo"/>
        <c:crossAx val="1788464208"/>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d63ded5f-7f86-4f01-ad1c-98f4e8ea8d17}"/>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Fig.3.10: WORLDWIDE DEMAND FOR PATENT</a:t>
            </a:r>
            <a:r>
              <a:rPr lang="en-US" sz="1400" b="1" baseline="0"/>
              <a:t> RIGHTS</a:t>
            </a:r>
            <a:r>
              <a:rPr lang="en-US" sz="1400" b="1"/>
              <a:t>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Demand for patent rights'!$B$138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rights'!$D$138:$W$138</c:f>
              <c:numCache>
                <c:formatCode>#,##0</c:formatCode>
                <c:ptCount val="20"/>
                <c:pt idx="0">
                  <c:v>244698</c:v>
                </c:pt>
                <c:pt idx="1">
                  <c:v>359972</c:v>
                </c:pt>
                <c:pt idx="2">
                  <c:v>396514</c:v>
                </c:pt>
                <c:pt idx="3">
                  <c:v>356166</c:v>
                </c:pt>
                <c:pt idx="4">
                  <c:v>367509</c:v>
                </c:pt>
                <c:pt idx="5">
                  <c:v>304100</c:v>
                </c:pt>
                <c:pt idx="6">
                  <c:v>311994</c:v>
                </c:pt>
                <c:pt idx="7">
                  <c:v>399369</c:v>
                </c:pt>
                <c:pt idx="8">
                  <c:v>444364</c:v>
                </c:pt>
                <c:pt idx="9">
                  <c:v>468035</c:v>
                </c:pt>
                <c:pt idx="10">
                  <c:v>456319</c:v>
                </c:pt>
                <c:pt idx="11">
                  <c:v>456283</c:v>
                </c:pt>
                <c:pt idx="12">
                  <c:v>454968</c:v>
                </c:pt>
                <c:pt idx="13">
                  <c:v>452866</c:v>
                </c:pt>
                <c:pt idx="14">
                  <c:v>466298</c:v>
                </c:pt>
                <c:pt idx="15">
                  <c:v>474073</c:v>
                </c:pt>
                <c:pt idx="16">
                  <c:v>481642</c:v>
                </c:pt>
                <c:pt idx="17">
                  <c:v>450411</c:v>
                </c:pt>
                <c:pt idx="18">
                  <c:v>469134</c:v>
                </c:pt>
                <c:pt idx="19">
                  <c:v>490915</c:v>
                </c:pt>
              </c:numCache>
            </c:numRef>
          </c:val>
          <c:extLst>
            <c:ext xmlns:c16="http://schemas.microsoft.com/office/drawing/2014/chart" uri="{C3380CC4-5D6E-409C-BE32-E72D297353CC}">
              <c16:uniqueId val="{00000000-FEF1-4241-AE73-76A6A71C1074}"/>
            </c:ext>
          </c:extLst>
        </c:ser>
        <c:ser>
          <c:idx val="4"/>
          <c:order val="1"/>
          <c:tx>
            <c:strRef>
              <c:f>'Ch3. Demand for patent rights'!$B$137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rights'!$D$137:$W$137</c:f>
              <c:numCache>
                <c:formatCode>#,##0</c:formatCode>
                <c:ptCount val="20"/>
                <c:pt idx="0">
                  <c:v>356943</c:v>
                </c:pt>
                <c:pt idx="1">
                  <c:v>390733</c:v>
                </c:pt>
                <c:pt idx="2">
                  <c:v>425967</c:v>
                </c:pt>
                <c:pt idx="3">
                  <c:v>456154</c:v>
                </c:pt>
                <c:pt idx="4">
                  <c:v>456321</c:v>
                </c:pt>
                <c:pt idx="5">
                  <c:v>456106</c:v>
                </c:pt>
                <c:pt idx="6">
                  <c:v>490226</c:v>
                </c:pt>
                <c:pt idx="7">
                  <c:v>503582</c:v>
                </c:pt>
                <c:pt idx="8">
                  <c:v>542815</c:v>
                </c:pt>
                <c:pt idx="9">
                  <c:v>571612</c:v>
                </c:pt>
                <c:pt idx="10">
                  <c:v>578802</c:v>
                </c:pt>
                <c:pt idx="11">
                  <c:v>589410</c:v>
                </c:pt>
                <c:pt idx="12">
                  <c:v>605571</c:v>
                </c:pt>
                <c:pt idx="13">
                  <c:v>606956</c:v>
                </c:pt>
                <c:pt idx="14">
                  <c:v>597141</c:v>
                </c:pt>
                <c:pt idx="15">
                  <c:v>621453</c:v>
                </c:pt>
                <c:pt idx="16">
                  <c:v>597172</c:v>
                </c:pt>
                <c:pt idx="17">
                  <c:v>591473</c:v>
                </c:pt>
                <c:pt idx="18">
                  <c:v>594340</c:v>
                </c:pt>
                <c:pt idx="19">
                  <c:v>602498</c:v>
                </c:pt>
              </c:numCache>
            </c:numRef>
          </c:val>
          <c:extLst>
            <c:ext xmlns:c16="http://schemas.microsoft.com/office/drawing/2014/chart" uri="{C3380CC4-5D6E-409C-BE32-E72D297353CC}">
              <c16:uniqueId val="{00000001-FEF1-4241-AE73-76A6A71C1074}"/>
            </c:ext>
          </c:extLst>
        </c:ser>
        <c:ser>
          <c:idx val="3"/>
          <c:order val="2"/>
          <c:tx>
            <c:strRef>
              <c:f>'Ch3. Demand for patent rights'!$B$136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rights'!$D$136:$W$136</c:f>
              <c:numCache>
                <c:formatCode>#,##0</c:formatCode>
                <c:ptCount val="20"/>
                <c:pt idx="0">
                  <c:v>130384</c:v>
                </c:pt>
                <c:pt idx="1">
                  <c:v>173327</c:v>
                </c:pt>
                <c:pt idx="2">
                  <c:v>210501</c:v>
                </c:pt>
                <c:pt idx="3">
                  <c:v>245161</c:v>
                </c:pt>
                <c:pt idx="4">
                  <c:v>289838</c:v>
                </c:pt>
                <c:pt idx="5">
                  <c:v>314604</c:v>
                </c:pt>
                <c:pt idx="6">
                  <c:v>391178</c:v>
                </c:pt>
                <c:pt idx="7">
                  <c:v>526412</c:v>
                </c:pt>
                <c:pt idx="8">
                  <c:v>652777</c:v>
                </c:pt>
                <c:pt idx="9">
                  <c:v>825136</c:v>
                </c:pt>
                <c:pt idx="10">
                  <c:v>928177</c:v>
                </c:pt>
                <c:pt idx="11">
                  <c:v>1101864</c:v>
                </c:pt>
                <c:pt idx="12">
                  <c:v>1338503</c:v>
                </c:pt>
                <c:pt idx="13">
                  <c:v>1381594</c:v>
                </c:pt>
                <c:pt idx="14">
                  <c:v>1542002</c:v>
                </c:pt>
                <c:pt idx="15">
                  <c:v>1400661</c:v>
                </c:pt>
                <c:pt idx="16">
                  <c:v>1497159</c:v>
                </c:pt>
                <c:pt idx="17">
                  <c:v>1585663</c:v>
                </c:pt>
                <c:pt idx="18">
                  <c:v>1619268</c:v>
                </c:pt>
                <c:pt idx="19">
                  <c:v>1677701</c:v>
                </c:pt>
              </c:numCache>
            </c:numRef>
          </c:val>
          <c:extLst>
            <c:ext xmlns:c16="http://schemas.microsoft.com/office/drawing/2014/chart" uri="{C3380CC4-5D6E-409C-BE32-E72D297353CC}">
              <c16:uniqueId val="{00000002-FEF1-4241-AE73-76A6A71C1074}"/>
            </c:ext>
          </c:extLst>
        </c:ser>
        <c:ser>
          <c:idx val="2"/>
          <c:order val="3"/>
          <c:tx>
            <c:strRef>
              <c:f>'Ch3. Demand for patent rights'!$B$135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rights'!$D$135:$W$135</c:f>
              <c:numCache>
                <c:formatCode>#,##0</c:formatCode>
                <c:ptCount val="20"/>
                <c:pt idx="0">
                  <c:v>140115</c:v>
                </c:pt>
                <c:pt idx="1">
                  <c:v>160921</c:v>
                </c:pt>
                <c:pt idx="2">
                  <c:v>166189</c:v>
                </c:pt>
                <c:pt idx="3">
                  <c:v>172469</c:v>
                </c:pt>
                <c:pt idx="4">
                  <c:v>170632</c:v>
                </c:pt>
                <c:pt idx="5">
                  <c:v>163523</c:v>
                </c:pt>
                <c:pt idx="6">
                  <c:v>170101</c:v>
                </c:pt>
                <c:pt idx="7">
                  <c:v>178924</c:v>
                </c:pt>
                <c:pt idx="8">
                  <c:v>188915</c:v>
                </c:pt>
                <c:pt idx="9">
                  <c:v>204589</c:v>
                </c:pt>
                <c:pt idx="10">
                  <c:v>210292</c:v>
                </c:pt>
                <c:pt idx="11">
                  <c:v>213694</c:v>
                </c:pt>
                <c:pt idx="12">
                  <c:v>208830</c:v>
                </c:pt>
                <c:pt idx="13">
                  <c:v>204775</c:v>
                </c:pt>
                <c:pt idx="14">
                  <c:v>209992</c:v>
                </c:pt>
                <c:pt idx="15">
                  <c:v>218975</c:v>
                </c:pt>
                <c:pt idx="16">
                  <c:v>226759</c:v>
                </c:pt>
                <c:pt idx="17">
                  <c:v>237998</c:v>
                </c:pt>
                <c:pt idx="18">
                  <c:v>237633</c:v>
                </c:pt>
                <c:pt idx="19">
                  <c:v>243310</c:v>
                </c:pt>
              </c:numCache>
            </c:numRef>
          </c:val>
          <c:extLst>
            <c:ext xmlns:c16="http://schemas.microsoft.com/office/drawing/2014/chart" uri="{C3380CC4-5D6E-409C-BE32-E72D297353CC}">
              <c16:uniqueId val="{00000003-FEF1-4241-AE73-76A6A71C1074}"/>
            </c:ext>
          </c:extLst>
        </c:ser>
        <c:ser>
          <c:idx val="1"/>
          <c:order val="4"/>
          <c:tx>
            <c:strRef>
              <c:f>'Ch3. Demand for patent rights'!$B$134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rights'!$D$134:$W$134</c:f>
              <c:numCache>
                <c:formatCode>#,##0</c:formatCode>
                <c:ptCount val="20"/>
                <c:pt idx="0">
                  <c:v>423081</c:v>
                </c:pt>
                <c:pt idx="1">
                  <c:v>427078</c:v>
                </c:pt>
                <c:pt idx="2">
                  <c:v>408674</c:v>
                </c:pt>
                <c:pt idx="3">
                  <c:v>396291</c:v>
                </c:pt>
                <c:pt idx="4">
                  <c:v>391002</c:v>
                </c:pt>
                <c:pt idx="5">
                  <c:v>348596</c:v>
                </c:pt>
                <c:pt idx="6">
                  <c:v>344598</c:v>
                </c:pt>
                <c:pt idx="7">
                  <c:v>342610</c:v>
                </c:pt>
                <c:pt idx="8">
                  <c:v>342796</c:v>
                </c:pt>
                <c:pt idx="9">
                  <c:v>328436</c:v>
                </c:pt>
                <c:pt idx="10">
                  <c:v>325989</c:v>
                </c:pt>
                <c:pt idx="11">
                  <c:v>318721</c:v>
                </c:pt>
                <c:pt idx="12">
                  <c:v>318381</c:v>
                </c:pt>
                <c:pt idx="13">
                  <c:v>318479</c:v>
                </c:pt>
                <c:pt idx="14">
                  <c:v>313567</c:v>
                </c:pt>
                <c:pt idx="15">
                  <c:v>307969</c:v>
                </c:pt>
                <c:pt idx="16">
                  <c:v>288472</c:v>
                </c:pt>
                <c:pt idx="17">
                  <c:v>289200</c:v>
                </c:pt>
                <c:pt idx="18">
                  <c:v>289530</c:v>
                </c:pt>
                <c:pt idx="19">
                  <c:v>300133</c:v>
                </c:pt>
              </c:numCache>
            </c:numRef>
          </c:val>
          <c:extLst>
            <c:ext xmlns:c16="http://schemas.microsoft.com/office/drawing/2014/chart" uri="{C3380CC4-5D6E-409C-BE32-E72D297353CC}">
              <c16:uniqueId val="{00000004-FEF1-4241-AE73-76A6A71C1074}"/>
            </c:ext>
          </c:extLst>
        </c:ser>
        <c:ser>
          <c:idx val="0"/>
          <c:order val="5"/>
          <c:tx>
            <c:strRef>
              <c:f>'Ch3. Demand for patent rights'!$B$133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rights'!$D$133:$W$133</c:f>
              <c:numCache>
                <c:formatCode>#,##0</c:formatCode>
                <c:ptCount val="20"/>
                <c:pt idx="0">
                  <c:v>3333834</c:v>
                </c:pt>
                <c:pt idx="1">
                  <c:v>3806771</c:v>
                </c:pt>
                <c:pt idx="2">
                  <c:v>4055596</c:v>
                </c:pt>
                <c:pt idx="3">
                  <c:v>4365942</c:v>
                </c:pt>
                <c:pt idx="4">
                  <c:v>4695731</c:v>
                </c:pt>
                <c:pt idx="5">
                  <c:v>4495138</c:v>
                </c:pt>
                <c:pt idx="6">
                  <c:v>5292028</c:v>
                </c:pt>
                <c:pt idx="7">
                  <c:v>5292322</c:v>
                </c:pt>
                <c:pt idx="8">
                  <c:v>5517748</c:v>
                </c:pt>
                <c:pt idx="9">
                  <c:v>5577737</c:v>
                </c:pt>
                <c:pt idx="10">
                  <c:v>5764991</c:v>
                </c:pt>
                <c:pt idx="11">
                  <c:v>6042750</c:v>
                </c:pt>
                <c:pt idx="12">
                  <c:v>6020808</c:v>
                </c:pt>
                <c:pt idx="13">
                  <c:v>6294311</c:v>
                </c:pt>
                <c:pt idx="14">
                  <c:v>6586184</c:v>
                </c:pt>
                <c:pt idx="15">
                  <c:v>6850874</c:v>
                </c:pt>
                <c:pt idx="16">
                  <c:v>6811733</c:v>
                </c:pt>
                <c:pt idx="17">
                  <c:v>7162661</c:v>
                </c:pt>
                <c:pt idx="18">
                  <c:v>7341698</c:v>
                </c:pt>
                <c:pt idx="19">
                  <c:v>7587456</c:v>
                </c:pt>
              </c:numCache>
            </c:numRef>
          </c:val>
          <c:extLst>
            <c:ext xmlns:c16="http://schemas.microsoft.com/office/drawing/2014/chart" uri="{C3380CC4-5D6E-409C-BE32-E72D297353CC}">
              <c16:uniqueId val="{00000005-FEF1-4241-AE73-76A6A71C1074}"/>
            </c:ext>
          </c:extLst>
        </c:ser>
        <c:ser>
          <c:idx val="6"/>
          <c:order val="6"/>
          <c:tx>
            <c:strRef>
              <c:f>'Ch3. Demand for patent rights'!$B$139</c:f>
              <c:strCache>
                <c:ptCount val="1"/>
                <c:pt idx="0">
                  <c:v>Total</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Demand for patent rights'!$D$132:$W$132</c:f>
              <c:numCache>
                <c:formatCode>General</c:formatCode>
                <c:ptCount val="20"/>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numCache>
            </c:numRef>
          </c:cat>
          <c:val>
            <c:numRef>
              <c:f>'Ch3. Demand for patent rights'!$D$139:$W$139</c:f>
              <c:numCache>
                <c:formatCode>#,##0</c:formatCode>
                <c:ptCount val="20"/>
                <c:pt idx="0">
                  <c:v>4629055</c:v>
                </c:pt>
                <c:pt idx="1">
                  <c:v>5318802</c:v>
                </c:pt>
                <c:pt idx="2">
                  <c:v>5663441</c:v>
                </c:pt>
                <c:pt idx="3">
                  <c:v>5992183</c:v>
                </c:pt>
                <c:pt idx="4">
                  <c:v>6371033</c:v>
                </c:pt>
                <c:pt idx="5">
                  <c:v>6082067</c:v>
                </c:pt>
                <c:pt idx="6">
                  <c:v>7000125</c:v>
                </c:pt>
                <c:pt idx="7">
                  <c:v>7243219</c:v>
                </c:pt>
                <c:pt idx="8">
                  <c:v>7689415</c:v>
                </c:pt>
                <c:pt idx="9">
                  <c:v>7975545</c:v>
                </c:pt>
                <c:pt idx="10">
                  <c:v>8264570</c:v>
                </c:pt>
                <c:pt idx="11">
                  <c:v>8722722</c:v>
                </c:pt>
                <c:pt idx="12">
                  <c:v>8947061</c:v>
                </c:pt>
                <c:pt idx="13">
                  <c:v>9258981</c:v>
                </c:pt>
                <c:pt idx="14">
                  <c:v>9715184</c:v>
                </c:pt>
                <c:pt idx="15">
                  <c:v>9874005</c:v>
                </c:pt>
                <c:pt idx="16">
                  <c:v>9902937</c:v>
                </c:pt>
                <c:pt idx="17">
                  <c:v>10317406</c:v>
                </c:pt>
                <c:pt idx="18">
                  <c:v>10551603</c:v>
                </c:pt>
                <c:pt idx="19">
                  <c:v>10902013</c:v>
                </c:pt>
              </c:numCache>
            </c:numRef>
          </c:val>
          <c:extLst>
            <c:ext xmlns:c16="http://schemas.microsoft.com/office/drawing/2014/chart" uri="{C3380CC4-5D6E-409C-BE32-E72D297353CC}">
              <c16:uniqueId val="{00000006-FEF1-4241-AE73-76A6A71C1074}"/>
            </c:ext>
          </c:extLst>
        </c:ser>
        <c:dLbls>
          <c:showLegendKey val="0"/>
          <c:showVal val="0"/>
          <c:showCatName val="0"/>
          <c:showSerName val="0"/>
          <c:showPercent val="0"/>
          <c:showBubbleSize val="0"/>
        </c:dLbls>
        <c:gapWidth val="10"/>
        <c:overlap val="100"/>
        <c:axId val="1788448976"/>
        <c:axId val="1788450608"/>
      </c:barChart>
      <c:catAx>
        <c:axId val="178844897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8450608"/>
        <c:crosses val="autoZero"/>
        <c:auto val="1"/>
        <c:lblAlgn val="ctr"/>
        <c:lblOffset val="100"/>
        <c:noMultiLvlLbl val="0"/>
      </c:catAx>
      <c:valAx>
        <c:axId val="1788450608"/>
        <c:scaling>
          <c:orientation val="minMax"/>
          <c:max val="11600000"/>
          <c:min val="0"/>
        </c:scaling>
        <c:delete val="1"/>
        <c:axPos val="l"/>
        <c:numFmt formatCode="#,##0" sourceLinked="1"/>
        <c:majorTickMark val="out"/>
        <c:minorTickMark val="none"/>
        <c:tickLblPos val="nextTo"/>
        <c:crossAx val="178844897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de4f1d2f-addd-4ee8-abea-48c121f40396}"/>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Fig.3.8: WORLDWIDE DEMAND FOR PATENT RIGHTS - FILING PROCEDURES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399720800372E-2"/>
          <c:y val="0.16707456355033401"/>
          <c:w val="0.83379866604622299"/>
          <c:h val="0.79964105074237202"/>
        </c:manualLayout>
      </c:layout>
      <c:barChart>
        <c:barDir val="col"/>
        <c:grouping val="stacked"/>
        <c:varyColors val="0"/>
        <c:ser>
          <c:idx val="0"/>
          <c:order val="0"/>
          <c:tx>
            <c:strRef>
              <c:f>'Ch3. Demand for patent rights'!$B$118</c:f>
              <c:strCache>
                <c:ptCount val="1"/>
                <c:pt idx="0">
                  <c:v>National</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rights'!$L$117:$W$117</c15:sqref>
                  </c15:fullRef>
                </c:ext>
              </c:extLst>
              <c:f>'Ch3. Demand for patent rights'!$N$117:$W$117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rights'!$L$118:$W$118</c15:sqref>
                  </c15:fullRef>
                </c:ext>
              </c:extLst>
              <c:f>'Ch3. Demand for patent rights'!$N$118:$W$118</c:f>
              <c:numCache>
                <c:formatCode>#,##0</c:formatCode>
                <c:ptCount val="10"/>
                <c:pt idx="0">
                  <c:v>2008933</c:v>
                </c:pt>
                <c:pt idx="1">
                  <c:v>2188932</c:v>
                </c:pt>
                <c:pt idx="2">
                  <c:v>2436257</c:v>
                </c:pt>
                <c:pt idx="3">
                  <c:v>2456411</c:v>
                </c:pt>
                <c:pt idx="4">
                  <c:v>2600036</c:v>
                </c:pt>
                <c:pt idx="5">
                  <c:v>2465543</c:v>
                </c:pt>
                <c:pt idx="6">
                  <c:v>2538782</c:v>
                </c:pt>
                <c:pt idx="7">
                  <c:v>2598438</c:v>
                </c:pt>
                <c:pt idx="8">
                  <c:v>2642997</c:v>
                </c:pt>
                <c:pt idx="9">
                  <c:v>2783286</c:v>
                </c:pt>
              </c:numCache>
            </c:numRef>
          </c:val>
          <c:extLst>
            <c:ext xmlns:c16="http://schemas.microsoft.com/office/drawing/2014/chart" uri="{C3380CC4-5D6E-409C-BE32-E72D297353CC}">
              <c16:uniqueId val="{00000000-9A16-4AF2-8132-F5FA392B5BF2}"/>
            </c:ext>
          </c:extLst>
        </c:ser>
        <c:ser>
          <c:idx val="1"/>
          <c:order val="1"/>
          <c:tx>
            <c:strRef>
              <c:f>'Ch3. Demand for patent rights'!$B$119</c:f>
              <c:strCache>
                <c:ptCount val="1"/>
                <c:pt idx="0">
                  <c:v>Regional</c:v>
                </c:pt>
              </c:strCache>
            </c:strRef>
          </c:tx>
          <c:spPr>
            <a:solidFill>
              <a:schemeClr val="accent2">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rights'!$L$117:$W$117</c15:sqref>
                  </c15:fullRef>
                </c:ext>
              </c:extLst>
              <c:f>'Ch3. Demand for patent rights'!$N$117:$W$117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rights'!$L$119:$W$119</c15:sqref>
                  </c15:fullRef>
                </c:ext>
              </c:extLst>
              <c:f>'Ch3. Demand for patent rights'!$N$119:$W$119</c:f>
              <c:numCache>
                <c:formatCode>#,##0</c:formatCode>
                <c:ptCount val="10"/>
                <c:pt idx="0">
                  <c:v>2281077</c:v>
                </c:pt>
                <c:pt idx="1">
                  <c:v>2339557</c:v>
                </c:pt>
                <c:pt idx="2">
                  <c:v>2456492</c:v>
                </c:pt>
                <c:pt idx="3">
                  <c:v>2587653</c:v>
                </c:pt>
                <c:pt idx="4">
                  <c:v>2743126</c:v>
                </c:pt>
                <c:pt idx="5">
                  <c:v>2882282</c:v>
                </c:pt>
                <c:pt idx="6">
                  <c:v>2809184</c:v>
                </c:pt>
                <c:pt idx="7">
                  <c:v>2811808</c:v>
                </c:pt>
                <c:pt idx="8">
                  <c:v>2780513</c:v>
                </c:pt>
                <c:pt idx="9">
                  <c:v>2964247</c:v>
                </c:pt>
              </c:numCache>
            </c:numRef>
          </c:val>
          <c:extLst>
            <c:ext xmlns:c16="http://schemas.microsoft.com/office/drawing/2014/chart" uri="{C3380CC4-5D6E-409C-BE32-E72D297353CC}">
              <c16:uniqueId val="{00000001-9A16-4AF2-8132-F5FA392B5BF2}"/>
            </c:ext>
          </c:extLst>
        </c:ser>
        <c:ser>
          <c:idx val="2"/>
          <c:order val="2"/>
          <c:tx>
            <c:strRef>
              <c:f>'Ch3. Demand for patent rights'!$B$120</c:f>
              <c:strCache>
                <c:ptCount val="1"/>
                <c:pt idx="0">
                  <c:v>PCT national &amp; regional</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rights'!$L$117:$W$117</c15:sqref>
                  </c15:fullRef>
                </c:ext>
              </c:extLst>
              <c:f>'Ch3. Demand for patent rights'!$N$117:$W$117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rights'!$L$120:$W$120</c15:sqref>
                  </c15:fullRef>
                </c:ext>
              </c:extLst>
              <c:f>'Ch3. Demand for patent rights'!$N$120:$W$120</c:f>
              <c:numCache>
                <c:formatCode>#,##0</c:formatCode>
                <c:ptCount val="10"/>
                <c:pt idx="0">
                  <c:v>3974560</c:v>
                </c:pt>
                <c:pt idx="1">
                  <c:v>4194233</c:v>
                </c:pt>
                <c:pt idx="2">
                  <c:v>4054312</c:v>
                </c:pt>
                <c:pt idx="3">
                  <c:v>4214917</c:v>
                </c:pt>
                <c:pt idx="4">
                  <c:v>4372022</c:v>
                </c:pt>
                <c:pt idx="5">
                  <c:v>4526180</c:v>
                </c:pt>
                <c:pt idx="6">
                  <c:v>4554971</c:v>
                </c:pt>
                <c:pt idx="7">
                  <c:v>4907160</c:v>
                </c:pt>
                <c:pt idx="8">
                  <c:v>5128093</c:v>
                </c:pt>
                <c:pt idx="9">
                  <c:v>5154480</c:v>
                </c:pt>
              </c:numCache>
            </c:numRef>
          </c:val>
          <c:extLst>
            <c:ext xmlns:c16="http://schemas.microsoft.com/office/drawing/2014/chart" uri="{C3380CC4-5D6E-409C-BE32-E72D297353CC}">
              <c16:uniqueId val="{00000002-9A16-4AF2-8132-F5FA392B5BF2}"/>
            </c:ext>
          </c:extLst>
        </c:ser>
        <c:ser>
          <c:idx val="3"/>
          <c:order val="3"/>
          <c:spPr>
            <a:no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rights'!$L$117:$W$117</c15:sqref>
                  </c15:fullRef>
                </c:ext>
              </c:extLst>
              <c:f>'Ch3. Demand for patent rights'!$N$117:$W$117</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rights'!$L$121:$W$121</c15:sqref>
                  </c15:fullRef>
                </c:ext>
              </c:extLst>
              <c:f>'Ch3. Demand for patent rights'!$N$121:$W$121</c:f>
              <c:numCache>
                <c:formatCode>#,##0</c:formatCode>
                <c:ptCount val="10"/>
                <c:pt idx="0">
                  <c:v>8264570</c:v>
                </c:pt>
                <c:pt idx="1">
                  <c:v>8722722</c:v>
                </c:pt>
                <c:pt idx="2">
                  <c:v>8947061</c:v>
                </c:pt>
                <c:pt idx="3">
                  <c:v>9258981</c:v>
                </c:pt>
                <c:pt idx="4">
                  <c:v>9715184</c:v>
                </c:pt>
                <c:pt idx="5">
                  <c:v>9874005</c:v>
                </c:pt>
                <c:pt idx="6">
                  <c:v>9902937</c:v>
                </c:pt>
                <c:pt idx="7">
                  <c:v>10317406</c:v>
                </c:pt>
                <c:pt idx="8">
                  <c:v>10551603</c:v>
                </c:pt>
                <c:pt idx="9">
                  <c:v>10902013</c:v>
                </c:pt>
              </c:numCache>
            </c:numRef>
          </c:val>
          <c:extLst>
            <c:ext xmlns:c16="http://schemas.microsoft.com/office/drawing/2014/chart" uri="{C3380CC4-5D6E-409C-BE32-E72D297353CC}">
              <c16:uniqueId val="{00000003-9A16-4AF2-8132-F5FA392B5BF2}"/>
            </c:ext>
          </c:extLst>
        </c:ser>
        <c:dLbls>
          <c:showLegendKey val="0"/>
          <c:showVal val="0"/>
          <c:showCatName val="0"/>
          <c:showSerName val="0"/>
          <c:showPercent val="0"/>
          <c:showBubbleSize val="0"/>
        </c:dLbls>
        <c:gapWidth val="10"/>
        <c:overlap val="100"/>
        <c:axId val="1788449520"/>
        <c:axId val="1787990560"/>
      </c:barChart>
      <c:catAx>
        <c:axId val="178844952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7990560"/>
        <c:crosses val="autoZero"/>
        <c:auto val="1"/>
        <c:lblAlgn val="ctr"/>
        <c:lblOffset val="100"/>
        <c:noMultiLvlLbl val="0"/>
      </c:catAx>
      <c:valAx>
        <c:axId val="1787990560"/>
        <c:scaling>
          <c:orientation val="minMax"/>
          <c:max val="11600000"/>
          <c:min val="-1300000"/>
        </c:scaling>
        <c:delete val="1"/>
        <c:axPos val="l"/>
        <c:numFmt formatCode="#,##0" sourceLinked="1"/>
        <c:majorTickMark val="out"/>
        <c:minorTickMark val="none"/>
        <c:tickLblPos val="nextTo"/>
        <c:crossAx val="1788449520"/>
        <c:crosses val="autoZero"/>
        <c:crossBetween val="between"/>
      </c:valAx>
      <c:spPr>
        <a:noFill/>
        <a:ln>
          <a:noFill/>
        </a:ln>
        <a:effectLst/>
      </c:spPr>
    </c:plotArea>
    <c:legend>
      <c:legendPos val="r"/>
      <c:legendEntry>
        <c:idx val="0"/>
        <c:delete val="1"/>
      </c:legendEntry>
      <c:layout>
        <c:manualLayout>
          <c:xMode val="edge"/>
          <c:yMode val="edge"/>
          <c:x val="0.86464324363987399"/>
          <c:y val="0.30348452037873103"/>
          <c:w val="0.13303009279567701"/>
          <c:h val="0.40154745920960599"/>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d0241a3a-1ba4-47cd-a462-7f45c853dbeb}"/>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2018</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0296-4595-B036-0DAA99482843}"/>
              </c:ext>
            </c:extLst>
          </c:dPt>
          <c:dPt>
            <c:idx val="1"/>
            <c:bubble3D val="0"/>
            <c:spPr>
              <a:solidFill>
                <a:srgbClr val="FF0000"/>
              </a:solidFill>
              <a:ln>
                <a:solidFill>
                  <a:schemeClr val="bg1"/>
                </a:solidFill>
              </a:ln>
            </c:spPr>
            <c:extLst>
              <c:ext xmlns:c16="http://schemas.microsoft.com/office/drawing/2014/chart" uri="{C3380CC4-5D6E-409C-BE32-E72D297353CC}">
                <c16:uniqueId val="{00000003-0296-4595-B036-0DAA99482843}"/>
              </c:ext>
            </c:extLst>
          </c:dPt>
          <c:dPt>
            <c:idx val="2"/>
            <c:bubble3D val="0"/>
            <c:spPr>
              <a:solidFill>
                <a:srgbClr val="7030A0"/>
              </a:solidFill>
              <a:ln>
                <a:solidFill>
                  <a:schemeClr val="bg1"/>
                </a:solidFill>
              </a:ln>
            </c:spPr>
            <c:extLst>
              <c:ext xmlns:c16="http://schemas.microsoft.com/office/drawing/2014/chart" uri="{C3380CC4-5D6E-409C-BE32-E72D297353CC}">
                <c16:uniqueId val="{00000005-0296-4595-B036-0DAA99482843}"/>
              </c:ext>
            </c:extLst>
          </c:dPt>
          <c:dPt>
            <c:idx val="3"/>
            <c:bubble3D val="0"/>
            <c:spPr>
              <a:solidFill>
                <a:srgbClr val="FFC000"/>
              </a:solidFill>
              <a:ln>
                <a:solidFill>
                  <a:schemeClr val="bg1"/>
                </a:solidFill>
              </a:ln>
            </c:spPr>
            <c:extLst>
              <c:ext xmlns:c16="http://schemas.microsoft.com/office/drawing/2014/chart" uri="{C3380CC4-5D6E-409C-BE32-E72D297353CC}">
                <c16:uniqueId val="{00000007-0296-4595-B036-0DAA99482843}"/>
              </c:ext>
            </c:extLst>
          </c:dPt>
          <c:dPt>
            <c:idx val="4"/>
            <c:bubble3D val="0"/>
            <c:spPr>
              <a:solidFill>
                <a:srgbClr val="008000"/>
              </a:solidFill>
              <a:ln>
                <a:solidFill>
                  <a:schemeClr val="bg1"/>
                </a:solidFill>
              </a:ln>
            </c:spPr>
            <c:extLst>
              <c:ext xmlns:c16="http://schemas.microsoft.com/office/drawing/2014/chart" uri="{C3380CC4-5D6E-409C-BE32-E72D297353CC}">
                <c16:uniqueId val="{00000009-0296-4595-B036-0DAA99482843}"/>
              </c:ext>
            </c:extLst>
          </c:dPt>
          <c:dPt>
            <c:idx val="5"/>
            <c:bubble3D val="0"/>
            <c:spPr>
              <a:solidFill>
                <a:schemeClr val="accent2"/>
              </a:solidFill>
              <a:ln>
                <a:solidFill>
                  <a:schemeClr val="bg1"/>
                </a:solidFill>
              </a:ln>
            </c:spPr>
            <c:extLst>
              <c:ext xmlns:c16="http://schemas.microsoft.com/office/drawing/2014/chart" uri="{C3380CC4-5D6E-409C-BE32-E72D297353CC}">
                <c16:uniqueId val="{0000000B-0296-4595-B036-0DAA99482843}"/>
              </c:ext>
            </c:extLst>
          </c:dPt>
          <c:dLbls>
            <c:dLbl>
              <c:idx val="0"/>
              <c:layout>
                <c:manualLayout>
                  <c:x val="-0.19759166467827899"/>
                  <c:y val="0.219050017287118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6339393939393901"/>
                      <c:h val="0.28706765691402503"/>
                    </c:manualLayout>
                  </c15:layout>
                </c:ext>
                <c:ext xmlns:c16="http://schemas.microsoft.com/office/drawing/2014/chart" uri="{C3380CC4-5D6E-409C-BE32-E72D297353CC}">
                  <c16:uniqueId val="{00000001-0296-4595-B036-0DAA99482843}"/>
                </c:ext>
              </c:extLst>
            </c:dLbl>
            <c:dLbl>
              <c:idx val="1"/>
              <c:layout>
                <c:manualLayout>
                  <c:x val="-0.19548222381293201"/>
                  <c:y val="-0.150248737943726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135353535353499"/>
                      <c:h val="0.232109444050799"/>
                    </c:manualLayout>
                  </c15:layout>
                </c:ext>
                <c:ext xmlns:c16="http://schemas.microsoft.com/office/drawing/2014/chart" uri="{C3380CC4-5D6E-409C-BE32-E72D297353CC}">
                  <c16:uniqueId val="{00000003-0296-4595-B036-0DAA99482843}"/>
                </c:ext>
              </c:extLst>
            </c:dLbl>
            <c:dLbl>
              <c:idx val="2"/>
              <c:layout>
                <c:manualLayout>
                  <c:x val="-5.6677960709456798E-2"/>
                  <c:y val="-3.4107016443222997E-2"/>
                </c:manualLayout>
              </c:layout>
              <c:spPr>
                <a:noFill/>
                <a:ln>
                  <a:noFill/>
                </a:ln>
                <a:effectLst/>
              </c:spPr>
              <c:txPr>
                <a:bodyPr rot="0" spcFirstLastPara="0" vertOverflow="ellipsis" vert="horz" wrap="square" lIns="38100" tIns="19050" rIns="38100" bIns="19050" anchor="ctr" anchorCtr="1">
                  <a:noAutofit/>
                </a:bodyPr>
                <a:lstStyle/>
                <a:p>
                  <a:pPr>
                    <a:defRPr lang="zh-CN" sz="1100" b="1" i="0" u="none" strike="noStrike" kern="1200" baseline="0">
                      <a:solidFill>
                        <a:schemeClr val="bg1"/>
                      </a:solidFill>
                      <a:latin typeface="+mn-lt"/>
                      <a:ea typeface="+mn-ea"/>
                      <a:cs typeface="+mn-cs"/>
                    </a:defRPr>
                  </a:pPr>
                  <a:endParaRPr lang="zh-CN"/>
                </a:p>
              </c:txPr>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991919191919199"/>
                      <c:h val="0.23620164158342899"/>
                    </c:manualLayout>
                  </c15:layout>
                </c:ext>
                <c:ext xmlns:c16="http://schemas.microsoft.com/office/drawing/2014/chart" uri="{C3380CC4-5D6E-409C-BE32-E72D297353CC}">
                  <c16:uniqueId val="{00000005-0296-4595-B036-0DAA99482843}"/>
                </c:ext>
              </c:extLst>
            </c:dLbl>
            <c:dLbl>
              <c:idx val="3"/>
              <c:layout>
                <c:manualLayout>
                  <c:x val="0.12676035950051701"/>
                  <c:y val="-8.72139126982822E-2"/>
                </c:manualLayout>
              </c:layout>
              <c:spPr>
                <a:noFill/>
                <a:ln>
                  <a:noFill/>
                </a:ln>
                <a:effectLst/>
              </c:spPr>
              <c:txPr>
                <a:bodyPr rot="0" spcFirstLastPara="0" vertOverflow="ellipsis" vert="horz" wrap="square" lIns="38100" tIns="19050" rIns="38100" bIns="19050" anchor="ctr" anchorCtr="1">
                  <a:noAutofit/>
                </a:bodyPr>
                <a:lstStyle/>
                <a:p>
                  <a:pPr>
                    <a:defRPr lang="zh-CN" sz="1100" b="1" i="0" u="none" strike="noStrike" kern="1200" baseline="0">
                      <a:solidFill>
                        <a:schemeClr val="bg1"/>
                      </a:solidFill>
                      <a:latin typeface="+mn-lt"/>
                      <a:ea typeface="+mn-ea"/>
                      <a:cs typeface="+mn-cs"/>
                    </a:defRPr>
                  </a:pPr>
                  <a:endParaRPr lang="zh-CN"/>
                </a:p>
              </c:txPr>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9397979797979801"/>
                      <c:h val="0.27069886678350402"/>
                    </c:manualLayout>
                  </c15:layout>
                </c:ext>
                <c:ext xmlns:c16="http://schemas.microsoft.com/office/drawing/2014/chart" uri="{C3380CC4-5D6E-409C-BE32-E72D297353CC}">
                  <c16:uniqueId val="{00000007-0296-4595-B036-0DAA99482843}"/>
                </c:ext>
              </c:extLst>
            </c:dLbl>
            <c:dLbl>
              <c:idx val="5"/>
              <c:layout>
                <c:manualLayout>
                  <c:x val="0.14544659190328499"/>
                  <c:y val="0.12402548504624"/>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242424242424199"/>
                      <c:h val="0.232109444050799"/>
                    </c:manualLayout>
                  </c15:layout>
                </c:ext>
                <c:ext xmlns:c16="http://schemas.microsoft.com/office/drawing/2014/chart" uri="{C3380CC4-5D6E-409C-BE32-E72D297353CC}">
                  <c16:uniqueId val="{0000000B-0296-4595-B036-0DAA99482843}"/>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Patents-in-Force'!$V$8:$V$13</c:f>
              <c:numCache>
                <c:formatCode>#,##0</c:formatCode>
                <c:ptCount val="6"/>
                <c:pt idx="0">
                  <c:v>4093382</c:v>
                </c:pt>
                <c:pt idx="1">
                  <c:v>2054308</c:v>
                </c:pt>
                <c:pt idx="2">
                  <c:v>1001163</c:v>
                </c:pt>
                <c:pt idx="3">
                  <c:v>2366314</c:v>
                </c:pt>
                <c:pt idx="4">
                  <c:v>3063494</c:v>
                </c:pt>
                <c:pt idx="5">
                  <c:v>1299707</c:v>
                </c:pt>
              </c:numCache>
            </c:numRef>
          </c:val>
          <c:extLst>
            <c:ext xmlns:c16="http://schemas.microsoft.com/office/drawing/2014/chart" uri="{C3380CC4-5D6E-409C-BE32-E72D297353CC}">
              <c16:uniqueId val="{0000000C-0296-4595-B036-0DAA99482843}"/>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0296-4595-B036-0DAA9948284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0296-4595-B036-0DAA9948284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0296-4595-B036-0DAA9948284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0296-4595-B036-0DAA9948284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0296-4595-B036-0DAA9948284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0296-4595-B036-0DAA99482843}"/>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0296-4595-B036-0DAA99482843}"/>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d83b049a-0d58-4ed4-ae2d-a004f685430b}"/>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Fig.3.9: WORLDWIDE DEMAND FOR PATENT RIGHTS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E-2"/>
          <c:y val="0.112393966211875"/>
          <c:w val="0.84346015850214195"/>
          <c:h val="0.80605029970181297"/>
        </c:manualLayout>
      </c:layout>
      <c:barChart>
        <c:barDir val="col"/>
        <c:grouping val="stacked"/>
        <c:varyColors val="0"/>
        <c:ser>
          <c:idx val="5"/>
          <c:order val="0"/>
          <c:tx>
            <c:strRef>
              <c:f>'Ch3. Demand for patent rights'!$B$129</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rights'!$L$123:$W$123</c15:sqref>
                  </c15:fullRef>
                </c:ext>
              </c:extLst>
              <c:f>'Ch3. Demand for patent rights'!$N$123:$W$123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rights'!$L$129:$W$129</c15:sqref>
                  </c15:fullRef>
                </c:ext>
              </c:extLst>
              <c:f>'Ch3. Demand for patent rights'!$N$129:$W$129</c:f>
              <c:numCache>
                <c:formatCode>#,##0</c:formatCode>
                <c:ptCount val="10"/>
                <c:pt idx="0">
                  <c:v>476631</c:v>
                </c:pt>
                <c:pt idx="1">
                  <c:v>495429</c:v>
                </c:pt>
                <c:pt idx="2">
                  <c:v>515099</c:v>
                </c:pt>
                <c:pt idx="3">
                  <c:v>533370</c:v>
                </c:pt>
                <c:pt idx="4">
                  <c:v>580353</c:v>
                </c:pt>
                <c:pt idx="5">
                  <c:v>611354</c:v>
                </c:pt>
                <c:pt idx="6">
                  <c:v>623491</c:v>
                </c:pt>
                <c:pt idx="7">
                  <c:v>625940</c:v>
                </c:pt>
                <c:pt idx="8">
                  <c:v>612032</c:v>
                </c:pt>
                <c:pt idx="9">
                  <c:v>622490</c:v>
                </c:pt>
              </c:numCache>
            </c:numRef>
          </c:val>
          <c:extLst>
            <c:ext xmlns:c16="http://schemas.microsoft.com/office/drawing/2014/chart" uri="{C3380CC4-5D6E-409C-BE32-E72D297353CC}">
              <c16:uniqueId val="{00000000-5B83-4A32-B439-D24701578F44}"/>
            </c:ext>
          </c:extLst>
        </c:ser>
        <c:ser>
          <c:idx val="4"/>
          <c:order val="1"/>
          <c:tx>
            <c:strRef>
              <c:f>'Ch3. Demand for patent rights'!$B$128</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rights'!$L$123:$W$123</c15:sqref>
                  </c15:fullRef>
                </c:ext>
              </c:extLst>
              <c:f>'Ch3. Demand for patent rights'!$N$123:$W$123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rights'!$L$128:$W$128</c15:sqref>
                  </c15:fullRef>
                </c:ext>
              </c:extLst>
              <c:f>'Ch3. Demand for patent rights'!$N$128:$W$128</c:f>
              <c:numCache>
                <c:formatCode>#,##0</c:formatCode>
                <c:ptCount val="10"/>
                <c:pt idx="0">
                  <c:v>1829321</c:v>
                </c:pt>
                <c:pt idx="1">
                  <c:v>2063114</c:v>
                </c:pt>
                <c:pt idx="2">
                  <c:v>1961936</c:v>
                </c:pt>
                <c:pt idx="3">
                  <c:v>2057424</c:v>
                </c:pt>
                <c:pt idx="4">
                  <c:v>2094983</c:v>
                </c:pt>
                <c:pt idx="5">
                  <c:v>2191161</c:v>
                </c:pt>
                <c:pt idx="6">
                  <c:v>2098070</c:v>
                </c:pt>
                <c:pt idx="7">
                  <c:v>2203957</c:v>
                </c:pt>
                <c:pt idx="8">
                  <c:v>2255033</c:v>
                </c:pt>
                <c:pt idx="9">
                  <c:v>2279219</c:v>
                </c:pt>
              </c:numCache>
            </c:numRef>
          </c:val>
          <c:extLst>
            <c:ext xmlns:c16="http://schemas.microsoft.com/office/drawing/2014/chart" uri="{C3380CC4-5D6E-409C-BE32-E72D297353CC}">
              <c16:uniqueId val="{00000001-5B83-4A32-B439-D24701578F44}"/>
            </c:ext>
          </c:extLst>
        </c:ser>
        <c:ser>
          <c:idx val="3"/>
          <c:order val="2"/>
          <c:tx>
            <c:strRef>
              <c:f>'Ch3. Demand for patent rights'!$B$127</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rights'!$L$123:$W$123</c15:sqref>
                  </c15:fullRef>
                </c:ext>
              </c:extLst>
              <c:f>'Ch3. Demand for patent rights'!$N$123:$W$123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rights'!$L$127:$W$127</c15:sqref>
                  </c15:fullRef>
                </c:ext>
              </c:extLst>
              <c:f>'Ch3. Demand for patent rights'!$N$127:$W$127</c:f>
              <c:numCache>
                <c:formatCode>#,##0</c:formatCode>
                <c:ptCount val="10"/>
                <c:pt idx="0">
                  <c:v>1008743</c:v>
                </c:pt>
                <c:pt idx="1">
                  <c:v>1217730</c:v>
                </c:pt>
                <c:pt idx="2">
                  <c:v>1515906</c:v>
                </c:pt>
                <c:pt idx="3">
                  <c:v>1619201</c:v>
                </c:pt>
                <c:pt idx="4">
                  <c:v>1804971</c:v>
                </c:pt>
                <c:pt idx="5">
                  <c:v>1772440</c:v>
                </c:pt>
                <c:pt idx="6">
                  <c:v>1929494</c:v>
                </c:pt>
                <c:pt idx="7">
                  <c:v>2138679</c:v>
                </c:pt>
                <c:pt idx="8">
                  <c:v>2290704</c:v>
                </c:pt>
                <c:pt idx="9">
                  <c:v>2420744</c:v>
                </c:pt>
              </c:numCache>
            </c:numRef>
          </c:val>
          <c:extLst>
            <c:ext xmlns:c16="http://schemas.microsoft.com/office/drawing/2014/chart" uri="{C3380CC4-5D6E-409C-BE32-E72D297353CC}">
              <c16:uniqueId val="{00000002-5B83-4A32-B439-D24701578F44}"/>
            </c:ext>
          </c:extLst>
        </c:ser>
        <c:ser>
          <c:idx val="2"/>
          <c:order val="3"/>
          <c:tx>
            <c:strRef>
              <c:f>'Ch3. Demand for patent rights'!$B$126</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rights'!$L$123:$W$123</c15:sqref>
                  </c15:fullRef>
                </c:ext>
              </c:extLst>
              <c:f>'Ch3. Demand for patent rights'!$N$123:$W$123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rights'!$L$126:$W$126</c15:sqref>
                  </c15:fullRef>
                </c:ext>
              </c:extLst>
              <c:f>'Ch3. Demand for patent rights'!$N$126:$W$126</c:f>
              <c:numCache>
                <c:formatCode>#,##0</c:formatCode>
                <c:ptCount val="10"/>
                <c:pt idx="0">
                  <c:v>452053</c:v>
                </c:pt>
                <c:pt idx="1">
                  <c:v>469136</c:v>
                </c:pt>
                <c:pt idx="2">
                  <c:v>480312</c:v>
                </c:pt>
                <c:pt idx="3">
                  <c:v>459727</c:v>
                </c:pt>
                <c:pt idx="4">
                  <c:v>493229</c:v>
                </c:pt>
                <c:pt idx="5">
                  <c:v>549660</c:v>
                </c:pt>
                <c:pt idx="6">
                  <c:v>589441</c:v>
                </c:pt>
                <c:pt idx="7">
                  <c:v>609127</c:v>
                </c:pt>
                <c:pt idx="8">
                  <c:v>648750</c:v>
                </c:pt>
                <c:pt idx="9">
                  <c:v>749273</c:v>
                </c:pt>
              </c:numCache>
            </c:numRef>
          </c:val>
          <c:extLst>
            <c:ext xmlns:c16="http://schemas.microsoft.com/office/drawing/2014/chart" uri="{C3380CC4-5D6E-409C-BE32-E72D297353CC}">
              <c16:uniqueId val="{00000003-5B83-4A32-B439-D24701578F44}"/>
            </c:ext>
          </c:extLst>
        </c:ser>
        <c:ser>
          <c:idx val="1"/>
          <c:order val="4"/>
          <c:tx>
            <c:strRef>
              <c:f>'Ch3. Demand for patent rights'!$B$125</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rights'!$L$123:$W$123</c15:sqref>
                  </c15:fullRef>
                </c:ext>
              </c:extLst>
              <c:f>'Ch3. Demand for patent rights'!$N$123:$W$123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rights'!$L$125:$W$125</c15:sqref>
                  </c15:fullRef>
                </c:ext>
              </c:extLst>
              <c:f>'Ch3. Demand for patent rights'!$N$125:$W$125</c:f>
              <c:numCache>
                <c:formatCode>#,##0</c:formatCode>
                <c:ptCount val="10"/>
                <c:pt idx="0">
                  <c:v>1258882</c:v>
                </c:pt>
                <c:pt idx="1">
                  <c:v>1225357</c:v>
                </c:pt>
                <c:pt idx="2">
                  <c:v>1211142</c:v>
                </c:pt>
                <c:pt idx="3">
                  <c:v>1244535</c:v>
                </c:pt>
                <c:pt idx="4">
                  <c:v>1273772</c:v>
                </c:pt>
                <c:pt idx="5">
                  <c:v>1251430</c:v>
                </c:pt>
                <c:pt idx="6">
                  <c:v>1217123</c:v>
                </c:pt>
                <c:pt idx="7">
                  <c:v>1196855</c:v>
                </c:pt>
                <c:pt idx="8">
                  <c:v>1187688</c:v>
                </c:pt>
                <c:pt idx="9">
                  <c:v>1203357</c:v>
                </c:pt>
              </c:numCache>
            </c:numRef>
          </c:val>
          <c:extLst>
            <c:ext xmlns:c16="http://schemas.microsoft.com/office/drawing/2014/chart" uri="{C3380CC4-5D6E-409C-BE32-E72D297353CC}">
              <c16:uniqueId val="{00000004-5B83-4A32-B439-D24701578F44}"/>
            </c:ext>
          </c:extLst>
        </c:ser>
        <c:ser>
          <c:idx val="0"/>
          <c:order val="5"/>
          <c:tx>
            <c:strRef>
              <c:f>'Ch3. Demand for patent rights'!$B$124</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rights'!$L$123:$W$123</c15:sqref>
                  </c15:fullRef>
                </c:ext>
              </c:extLst>
              <c:f>'Ch3. Demand for patent rights'!$N$123:$W$123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rights'!$L$124:$W$124</c15:sqref>
                  </c15:fullRef>
                </c:ext>
              </c:extLst>
              <c:f>'Ch3. Demand for patent rights'!$N$124:$W$124</c:f>
              <c:numCache>
                <c:formatCode>#,##0</c:formatCode>
                <c:ptCount val="10"/>
                <c:pt idx="0">
                  <c:v>3238940</c:v>
                </c:pt>
                <c:pt idx="1">
                  <c:v>3251956</c:v>
                </c:pt>
                <c:pt idx="2">
                  <c:v>3262666</c:v>
                </c:pt>
                <c:pt idx="3">
                  <c:v>3344724</c:v>
                </c:pt>
                <c:pt idx="4">
                  <c:v>3467876</c:v>
                </c:pt>
                <c:pt idx="5">
                  <c:v>3497960</c:v>
                </c:pt>
                <c:pt idx="6">
                  <c:v>3445318</c:v>
                </c:pt>
                <c:pt idx="7">
                  <c:v>3542848</c:v>
                </c:pt>
                <c:pt idx="8">
                  <c:v>3557396</c:v>
                </c:pt>
                <c:pt idx="9">
                  <c:v>3626930</c:v>
                </c:pt>
              </c:numCache>
            </c:numRef>
          </c:val>
          <c:extLst>
            <c:ext xmlns:c16="http://schemas.microsoft.com/office/drawing/2014/chart" uri="{C3380CC4-5D6E-409C-BE32-E72D297353CC}">
              <c16:uniqueId val="{00000005-5B83-4A32-B439-D24701578F44}"/>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rights'!$L$123:$W$123</c15:sqref>
                  </c15:fullRef>
                </c:ext>
              </c:extLst>
              <c:f>'Ch3. Demand for patent rights'!$N$123:$W$123</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rights'!$L$130:$W$130</c15:sqref>
                  </c15:fullRef>
                </c:ext>
              </c:extLst>
              <c:f>'Ch3. Demand for patent rights'!$N$130:$W$130</c:f>
              <c:numCache>
                <c:formatCode>#,##0</c:formatCode>
                <c:ptCount val="10"/>
                <c:pt idx="0">
                  <c:v>8264570</c:v>
                </c:pt>
                <c:pt idx="1">
                  <c:v>8722722</c:v>
                </c:pt>
                <c:pt idx="2">
                  <c:v>8947061</c:v>
                </c:pt>
                <c:pt idx="3">
                  <c:v>9258981</c:v>
                </c:pt>
                <c:pt idx="4">
                  <c:v>9715184</c:v>
                </c:pt>
                <c:pt idx="5">
                  <c:v>9874005</c:v>
                </c:pt>
                <c:pt idx="6">
                  <c:v>9902937</c:v>
                </c:pt>
                <c:pt idx="7">
                  <c:v>10317406</c:v>
                </c:pt>
                <c:pt idx="8">
                  <c:v>10551603</c:v>
                </c:pt>
                <c:pt idx="9">
                  <c:v>10902013</c:v>
                </c:pt>
              </c:numCache>
            </c:numRef>
          </c:val>
          <c:extLst>
            <c:ext xmlns:c16="http://schemas.microsoft.com/office/drawing/2014/chart" uri="{C3380CC4-5D6E-409C-BE32-E72D297353CC}">
              <c16:uniqueId val="{00000006-5B83-4A32-B439-D24701578F44}"/>
            </c:ext>
          </c:extLst>
        </c:ser>
        <c:dLbls>
          <c:showLegendKey val="0"/>
          <c:showVal val="0"/>
          <c:showCatName val="0"/>
          <c:showSerName val="0"/>
          <c:showPercent val="0"/>
          <c:showBubbleSize val="0"/>
        </c:dLbls>
        <c:gapWidth val="10"/>
        <c:overlap val="100"/>
        <c:axId val="1787986208"/>
        <c:axId val="1787991104"/>
      </c:barChart>
      <c:catAx>
        <c:axId val="178798620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7991104"/>
        <c:crosses val="autoZero"/>
        <c:auto val="1"/>
        <c:lblAlgn val="ctr"/>
        <c:lblOffset val="100"/>
        <c:noMultiLvlLbl val="0"/>
      </c:catAx>
      <c:valAx>
        <c:axId val="1787991104"/>
        <c:scaling>
          <c:orientation val="minMax"/>
          <c:max val="11500000"/>
          <c:min val="0"/>
        </c:scaling>
        <c:delete val="1"/>
        <c:axPos val="l"/>
        <c:numFmt formatCode="#,##0" sourceLinked="1"/>
        <c:majorTickMark val="out"/>
        <c:minorTickMark val="none"/>
        <c:tickLblPos val="nextTo"/>
        <c:crossAx val="1787986208"/>
        <c:crosses val="autoZero"/>
        <c:crossBetween val="between"/>
      </c:valAx>
      <c:spPr>
        <a:noFill/>
        <a:ln>
          <a:noFill/>
        </a:ln>
        <a:effectLst/>
      </c:spPr>
    </c:plotArea>
    <c:legend>
      <c:legendPos val="r"/>
      <c:legendEntry>
        <c:idx val="0"/>
        <c:delete val="1"/>
      </c:legendEntry>
      <c:layout>
        <c:manualLayout>
          <c:xMode val="edge"/>
          <c:yMode val="edge"/>
          <c:x val="0.85867109420674403"/>
          <c:y val="0.247073788373607"/>
          <c:w val="0.13372343794095401"/>
          <c:h val="0.56370092190429999"/>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015487b0-ef75-40b3-9b70-49167509c778}"/>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Fig.3.10: WORLDWIDE DEMAND FOR PATENT</a:t>
            </a:r>
            <a:r>
              <a:rPr lang="en-US" sz="1400" b="1" baseline="0"/>
              <a:t> RIGHTS</a:t>
            </a:r>
            <a:r>
              <a:rPr lang="en-US" sz="1400" b="1"/>
              <a:t> - FILING</a:t>
            </a:r>
            <a:r>
              <a:rPr lang="en-US" sz="1400" b="1" baseline="0"/>
              <a:t> OR TARGET BLOC</a:t>
            </a:r>
            <a:endParaRPr lang="en-US" sz="1400" b="1"/>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65938283E-2"/>
          <c:y val="0.164181857356683"/>
          <c:w val="0.84536152546521703"/>
          <c:h val="0.75426240855700499"/>
        </c:manualLayout>
      </c:layout>
      <c:barChart>
        <c:barDir val="col"/>
        <c:grouping val="stacked"/>
        <c:varyColors val="0"/>
        <c:ser>
          <c:idx val="5"/>
          <c:order val="0"/>
          <c:tx>
            <c:strRef>
              <c:f>'Ch3. Demand for patent rights'!$B$138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rights'!$L$132:$W$132</c15:sqref>
                  </c15:fullRef>
                </c:ext>
              </c:extLst>
              <c:f>'Ch3. Demand for patent rights'!$N$132:$W$132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rights'!$L$138:$W$138</c15:sqref>
                  </c15:fullRef>
                </c:ext>
              </c:extLst>
              <c:f>'Ch3. Demand for patent rights'!$N$138:$W$138</c:f>
              <c:numCache>
                <c:formatCode>#,##0</c:formatCode>
                <c:ptCount val="10"/>
                <c:pt idx="0">
                  <c:v>456319</c:v>
                </c:pt>
                <c:pt idx="1">
                  <c:v>456283</c:v>
                </c:pt>
                <c:pt idx="2">
                  <c:v>454968</c:v>
                </c:pt>
                <c:pt idx="3">
                  <c:v>452866</c:v>
                </c:pt>
                <c:pt idx="4">
                  <c:v>466298</c:v>
                </c:pt>
                <c:pt idx="5">
                  <c:v>474073</c:v>
                </c:pt>
                <c:pt idx="6">
                  <c:v>481642</c:v>
                </c:pt>
                <c:pt idx="7">
                  <c:v>450411</c:v>
                </c:pt>
                <c:pt idx="8">
                  <c:v>469134</c:v>
                </c:pt>
                <c:pt idx="9">
                  <c:v>490915</c:v>
                </c:pt>
              </c:numCache>
            </c:numRef>
          </c:val>
          <c:extLst>
            <c:ext xmlns:c16="http://schemas.microsoft.com/office/drawing/2014/chart" uri="{C3380CC4-5D6E-409C-BE32-E72D297353CC}">
              <c16:uniqueId val="{00000000-CE0A-4A4B-AE4B-C2EB6F79C985}"/>
            </c:ext>
          </c:extLst>
        </c:ser>
        <c:ser>
          <c:idx val="4"/>
          <c:order val="1"/>
          <c:tx>
            <c:strRef>
              <c:f>'Ch3. Demand for patent rights'!$B$137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rights'!$L$132:$W$132</c15:sqref>
                  </c15:fullRef>
                </c:ext>
              </c:extLst>
              <c:f>'Ch3. Demand for patent rights'!$N$132:$W$132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rights'!$L$137:$W$137</c15:sqref>
                  </c15:fullRef>
                </c:ext>
              </c:extLst>
              <c:f>'Ch3. Demand for patent rights'!$N$137:$W$137</c:f>
              <c:numCache>
                <c:formatCode>#,##0</c:formatCode>
                <c:ptCount val="10"/>
                <c:pt idx="0">
                  <c:v>578802</c:v>
                </c:pt>
                <c:pt idx="1">
                  <c:v>589410</c:v>
                </c:pt>
                <c:pt idx="2">
                  <c:v>605571</c:v>
                </c:pt>
                <c:pt idx="3">
                  <c:v>606956</c:v>
                </c:pt>
                <c:pt idx="4">
                  <c:v>597141</c:v>
                </c:pt>
                <c:pt idx="5">
                  <c:v>621453</c:v>
                </c:pt>
                <c:pt idx="6">
                  <c:v>597172</c:v>
                </c:pt>
                <c:pt idx="7">
                  <c:v>591473</c:v>
                </c:pt>
                <c:pt idx="8">
                  <c:v>594340</c:v>
                </c:pt>
                <c:pt idx="9">
                  <c:v>602498</c:v>
                </c:pt>
              </c:numCache>
            </c:numRef>
          </c:val>
          <c:extLst>
            <c:ext xmlns:c16="http://schemas.microsoft.com/office/drawing/2014/chart" uri="{C3380CC4-5D6E-409C-BE32-E72D297353CC}">
              <c16:uniqueId val="{00000001-CE0A-4A4B-AE4B-C2EB6F79C985}"/>
            </c:ext>
          </c:extLst>
        </c:ser>
        <c:ser>
          <c:idx val="3"/>
          <c:order val="2"/>
          <c:tx>
            <c:strRef>
              <c:f>'Ch3. Demand for patent rights'!$B$136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rights'!$L$132:$W$132</c15:sqref>
                  </c15:fullRef>
                </c:ext>
              </c:extLst>
              <c:f>'Ch3. Demand for patent rights'!$N$132:$W$132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rights'!$L$136:$W$136</c15:sqref>
                  </c15:fullRef>
                </c:ext>
              </c:extLst>
              <c:f>'Ch3. Demand for patent rights'!$N$136:$W$136</c:f>
              <c:numCache>
                <c:formatCode>#,##0</c:formatCode>
                <c:ptCount val="10"/>
                <c:pt idx="0">
                  <c:v>928177</c:v>
                </c:pt>
                <c:pt idx="1">
                  <c:v>1101864</c:v>
                </c:pt>
                <c:pt idx="2">
                  <c:v>1338503</c:v>
                </c:pt>
                <c:pt idx="3">
                  <c:v>1381594</c:v>
                </c:pt>
                <c:pt idx="4">
                  <c:v>1542002</c:v>
                </c:pt>
                <c:pt idx="5">
                  <c:v>1400661</c:v>
                </c:pt>
                <c:pt idx="6">
                  <c:v>1497159</c:v>
                </c:pt>
                <c:pt idx="7">
                  <c:v>1585663</c:v>
                </c:pt>
                <c:pt idx="8">
                  <c:v>1619268</c:v>
                </c:pt>
                <c:pt idx="9">
                  <c:v>1677701</c:v>
                </c:pt>
              </c:numCache>
            </c:numRef>
          </c:val>
          <c:extLst>
            <c:ext xmlns:c16="http://schemas.microsoft.com/office/drawing/2014/chart" uri="{C3380CC4-5D6E-409C-BE32-E72D297353CC}">
              <c16:uniqueId val="{00000002-CE0A-4A4B-AE4B-C2EB6F79C985}"/>
            </c:ext>
          </c:extLst>
        </c:ser>
        <c:ser>
          <c:idx val="2"/>
          <c:order val="3"/>
          <c:tx>
            <c:strRef>
              <c:f>'Ch3. Demand for patent rights'!$B$135</c:f>
              <c:strCache>
                <c:ptCount val="1"/>
                <c:pt idx="0">
                  <c:v>R.Korea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rights'!$L$132:$W$132</c15:sqref>
                  </c15:fullRef>
                </c:ext>
              </c:extLst>
              <c:f>'Ch3. Demand for patent rights'!$N$132:$W$132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rights'!$L$135:$W$135</c15:sqref>
                  </c15:fullRef>
                </c:ext>
              </c:extLst>
              <c:f>'Ch3. Demand for patent rights'!$N$135:$W$135</c:f>
              <c:numCache>
                <c:formatCode>#,##0</c:formatCode>
                <c:ptCount val="10"/>
                <c:pt idx="0">
                  <c:v>210292</c:v>
                </c:pt>
                <c:pt idx="1">
                  <c:v>213694</c:v>
                </c:pt>
                <c:pt idx="2">
                  <c:v>208830</c:v>
                </c:pt>
                <c:pt idx="3">
                  <c:v>204775</c:v>
                </c:pt>
                <c:pt idx="4">
                  <c:v>209992</c:v>
                </c:pt>
                <c:pt idx="5">
                  <c:v>218975</c:v>
                </c:pt>
                <c:pt idx="6">
                  <c:v>226759</c:v>
                </c:pt>
                <c:pt idx="7">
                  <c:v>237998</c:v>
                </c:pt>
                <c:pt idx="8">
                  <c:v>237633</c:v>
                </c:pt>
                <c:pt idx="9">
                  <c:v>243310</c:v>
                </c:pt>
              </c:numCache>
            </c:numRef>
          </c:val>
          <c:extLst>
            <c:ext xmlns:c16="http://schemas.microsoft.com/office/drawing/2014/chart" uri="{C3380CC4-5D6E-409C-BE32-E72D297353CC}">
              <c16:uniqueId val="{00000003-CE0A-4A4B-AE4B-C2EB6F79C985}"/>
            </c:ext>
          </c:extLst>
        </c:ser>
        <c:ser>
          <c:idx val="1"/>
          <c:order val="4"/>
          <c:tx>
            <c:strRef>
              <c:f>'Ch3. Demand for patent rights'!$B$134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rights'!$L$132:$W$132</c15:sqref>
                  </c15:fullRef>
                </c:ext>
              </c:extLst>
              <c:f>'Ch3. Demand for patent rights'!$N$132:$W$132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rights'!$L$134:$W$134</c15:sqref>
                  </c15:fullRef>
                </c:ext>
              </c:extLst>
              <c:f>'Ch3. Demand for patent rights'!$N$134:$W$134</c:f>
              <c:numCache>
                <c:formatCode>#,##0</c:formatCode>
                <c:ptCount val="10"/>
                <c:pt idx="0">
                  <c:v>325989</c:v>
                </c:pt>
                <c:pt idx="1">
                  <c:v>318721</c:v>
                </c:pt>
                <c:pt idx="2">
                  <c:v>318381</c:v>
                </c:pt>
                <c:pt idx="3">
                  <c:v>318479</c:v>
                </c:pt>
                <c:pt idx="4">
                  <c:v>313567</c:v>
                </c:pt>
                <c:pt idx="5">
                  <c:v>307969</c:v>
                </c:pt>
                <c:pt idx="6">
                  <c:v>288472</c:v>
                </c:pt>
                <c:pt idx="7">
                  <c:v>289200</c:v>
                </c:pt>
                <c:pt idx="8">
                  <c:v>289530</c:v>
                </c:pt>
                <c:pt idx="9">
                  <c:v>300133</c:v>
                </c:pt>
              </c:numCache>
            </c:numRef>
          </c:val>
          <c:extLst>
            <c:ext xmlns:c16="http://schemas.microsoft.com/office/drawing/2014/chart" uri="{C3380CC4-5D6E-409C-BE32-E72D297353CC}">
              <c16:uniqueId val="{00000004-CE0A-4A4B-AE4B-C2EB6F79C985}"/>
            </c:ext>
          </c:extLst>
        </c:ser>
        <c:ser>
          <c:idx val="0"/>
          <c:order val="5"/>
          <c:tx>
            <c:strRef>
              <c:f>'Ch3. Demand for patent rights'!$B$133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rights'!$L$132:$W$132</c15:sqref>
                  </c15:fullRef>
                </c:ext>
              </c:extLst>
              <c:f>'Ch3. Demand for patent rights'!$N$132:$W$132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rights'!$L$133:$W$133</c15:sqref>
                  </c15:fullRef>
                </c:ext>
              </c:extLst>
              <c:f>'Ch3. Demand for patent rights'!$N$133:$W$133</c:f>
              <c:numCache>
                <c:formatCode>#,##0</c:formatCode>
                <c:ptCount val="10"/>
                <c:pt idx="0">
                  <c:v>5764991</c:v>
                </c:pt>
                <c:pt idx="1">
                  <c:v>6042750</c:v>
                </c:pt>
                <c:pt idx="2">
                  <c:v>6020808</c:v>
                </c:pt>
                <c:pt idx="3">
                  <c:v>6294311</c:v>
                </c:pt>
                <c:pt idx="4">
                  <c:v>6586184</c:v>
                </c:pt>
                <c:pt idx="5">
                  <c:v>6850874</c:v>
                </c:pt>
                <c:pt idx="6">
                  <c:v>6811733</c:v>
                </c:pt>
                <c:pt idx="7">
                  <c:v>7162661</c:v>
                </c:pt>
                <c:pt idx="8">
                  <c:v>7341698</c:v>
                </c:pt>
                <c:pt idx="9">
                  <c:v>7587456</c:v>
                </c:pt>
              </c:numCache>
            </c:numRef>
          </c:val>
          <c:extLst>
            <c:ext xmlns:c16="http://schemas.microsoft.com/office/drawing/2014/chart" uri="{C3380CC4-5D6E-409C-BE32-E72D297353CC}">
              <c16:uniqueId val="{00000005-CE0A-4A4B-AE4B-C2EB6F79C985}"/>
            </c:ext>
          </c:extLst>
        </c:ser>
        <c:ser>
          <c:idx val="6"/>
          <c:order val="6"/>
          <c:tx>
            <c:strRef>
              <c:f>'Ch3. Demand for patent rights'!$B$139</c:f>
              <c:strCache>
                <c:ptCount val="1"/>
                <c:pt idx="0">
                  <c:v>Total</c:v>
                </c:pt>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Demand for patent rights'!$L$132:$W$132</c15:sqref>
                  </c15:fullRef>
                </c:ext>
              </c:extLst>
              <c:f>'Ch3. Demand for patent rights'!$N$132:$W$132</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Demand for patent rights'!$L$139:$W$139</c15:sqref>
                  </c15:fullRef>
                </c:ext>
              </c:extLst>
              <c:f>'Ch3. Demand for patent rights'!$N$139:$W$139</c:f>
              <c:numCache>
                <c:formatCode>#,##0</c:formatCode>
                <c:ptCount val="10"/>
                <c:pt idx="0">
                  <c:v>8264570</c:v>
                </c:pt>
                <c:pt idx="1">
                  <c:v>8722722</c:v>
                </c:pt>
                <c:pt idx="2">
                  <c:v>8947061</c:v>
                </c:pt>
                <c:pt idx="3">
                  <c:v>9258981</c:v>
                </c:pt>
                <c:pt idx="4">
                  <c:v>9715184</c:v>
                </c:pt>
                <c:pt idx="5">
                  <c:v>9874005</c:v>
                </c:pt>
                <c:pt idx="6">
                  <c:v>9902937</c:v>
                </c:pt>
                <c:pt idx="7">
                  <c:v>10317406</c:v>
                </c:pt>
                <c:pt idx="8">
                  <c:v>10551603</c:v>
                </c:pt>
                <c:pt idx="9">
                  <c:v>10902013</c:v>
                </c:pt>
              </c:numCache>
            </c:numRef>
          </c:val>
          <c:extLst>
            <c:ext xmlns:c16="http://schemas.microsoft.com/office/drawing/2014/chart" uri="{C3380CC4-5D6E-409C-BE32-E72D297353CC}">
              <c16:uniqueId val="{00000006-CE0A-4A4B-AE4B-C2EB6F79C985}"/>
            </c:ext>
          </c:extLst>
        </c:ser>
        <c:dLbls>
          <c:showLegendKey val="0"/>
          <c:showVal val="0"/>
          <c:showCatName val="0"/>
          <c:showSerName val="0"/>
          <c:showPercent val="0"/>
          <c:showBubbleSize val="0"/>
        </c:dLbls>
        <c:gapWidth val="10"/>
        <c:overlap val="100"/>
        <c:axId val="1787992736"/>
        <c:axId val="1787993280"/>
      </c:barChart>
      <c:catAx>
        <c:axId val="178799273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7993280"/>
        <c:crosses val="autoZero"/>
        <c:auto val="1"/>
        <c:lblAlgn val="ctr"/>
        <c:lblOffset val="100"/>
        <c:noMultiLvlLbl val="0"/>
      </c:catAx>
      <c:valAx>
        <c:axId val="1787993280"/>
        <c:scaling>
          <c:orientation val="minMax"/>
          <c:max val="11490000"/>
          <c:min val="0"/>
        </c:scaling>
        <c:delete val="1"/>
        <c:axPos val="l"/>
        <c:numFmt formatCode="#,##0" sourceLinked="1"/>
        <c:majorTickMark val="out"/>
        <c:minorTickMark val="none"/>
        <c:tickLblPos val="nextTo"/>
        <c:crossAx val="1787992736"/>
        <c:crosses val="autoZero"/>
        <c:crossBetween val="between"/>
      </c:valAx>
      <c:spPr>
        <a:noFill/>
        <a:ln>
          <a:noFill/>
        </a:ln>
        <a:effectLst/>
      </c:spPr>
    </c:plotArea>
    <c:legend>
      <c:legendPos val="r"/>
      <c:legendEntry>
        <c:idx val="0"/>
        <c:delete val="1"/>
      </c:legendEntry>
      <c:layout>
        <c:manualLayout>
          <c:xMode val="edge"/>
          <c:yMode val="edge"/>
          <c:x val="0.86627656205904602"/>
          <c:y val="0.26993731088936102"/>
          <c:w val="0.126117970088653"/>
          <c:h val="0.55157970689088698"/>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db9ea246-a43e-4af2-9f9e-78fb3fed5790}"/>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Fig.3.11: WORLDWIDE PATENTS GRANTED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Granted patents'!$A$65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patents'!$I$59:$AD$59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patents'!$I$65:$AD$65</c:f>
              <c:numCache>
                <c:formatCode>#,##0</c:formatCode>
                <c:ptCount val="22"/>
                <c:pt idx="0">
                  <c:v>54767</c:v>
                </c:pt>
                <c:pt idx="1">
                  <c:v>61551</c:v>
                </c:pt>
                <c:pt idx="2">
                  <c:v>55348</c:v>
                </c:pt>
                <c:pt idx="3">
                  <c:v>51344</c:v>
                </c:pt>
                <c:pt idx="4">
                  <c:v>63535</c:v>
                </c:pt>
                <c:pt idx="5">
                  <c:v>61947</c:v>
                </c:pt>
                <c:pt idx="6">
                  <c:v>94973</c:v>
                </c:pt>
                <c:pt idx="7">
                  <c:v>143630</c:v>
                </c:pt>
                <c:pt idx="8">
                  <c:v>77077</c:v>
                </c:pt>
                <c:pt idx="9">
                  <c:v>75277</c:v>
                </c:pt>
                <c:pt idx="10">
                  <c:v>87161</c:v>
                </c:pt>
                <c:pt idx="11">
                  <c:v>91833</c:v>
                </c:pt>
                <c:pt idx="12">
                  <c:v>97213</c:v>
                </c:pt>
                <c:pt idx="13">
                  <c:v>96034</c:v>
                </c:pt>
                <c:pt idx="14">
                  <c:v>94298</c:v>
                </c:pt>
                <c:pt idx="15">
                  <c:v>96025</c:v>
                </c:pt>
                <c:pt idx="16">
                  <c:v>99065</c:v>
                </c:pt>
                <c:pt idx="17">
                  <c:v>104172</c:v>
                </c:pt>
                <c:pt idx="18">
                  <c:v>113199</c:v>
                </c:pt>
                <c:pt idx="19">
                  <c:v>110238</c:v>
                </c:pt>
                <c:pt idx="20" formatCode="#,##0_);[Red]\(#,##0\)">
                  <c:v>112236</c:v>
                </c:pt>
                <c:pt idx="21" formatCode="#,##0_);[Red]\(#,##0\)">
                  <c:v>125512</c:v>
                </c:pt>
              </c:numCache>
            </c:numRef>
          </c:val>
          <c:extLst>
            <c:ext xmlns:c16="http://schemas.microsoft.com/office/drawing/2014/chart" uri="{C3380CC4-5D6E-409C-BE32-E72D297353CC}">
              <c16:uniqueId val="{00000000-7ADD-438B-B926-54D82ECBFCA8}"/>
            </c:ext>
          </c:extLst>
        </c:ser>
        <c:ser>
          <c:idx val="1"/>
          <c:order val="1"/>
          <c:tx>
            <c:strRef>
              <c:f>'Ch3. Granted patents'!$A$64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patents'!$I$59:$AD$59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patents'!$I$64:$AD$64</c:f>
              <c:numCache>
                <c:formatCode>#,##0</c:formatCode>
                <c:ptCount val="22"/>
                <c:pt idx="0">
                  <c:v>139817</c:v>
                </c:pt>
                <c:pt idx="1">
                  <c:v>148567</c:v>
                </c:pt>
                <c:pt idx="2">
                  <c:v>143484</c:v>
                </c:pt>
                <c:pt idx="3">
                  <c:v>132816</c:v>
                </c:pt>
                <c:pt idx="4">
                  <c:v>155354</c:v>
                </c:pt>
                <c:pt idx="5">
                  <c:v>146709</c:v>
                </c:pt>
                <c:pt idx="6">
                  <c:v>147154</c:v>
                </c:pt>
                <c:pt idx="7">
                  <c:v>140631</c:v>
                </c:pt>
                <c:pt idx="8">
                  <c:v>185873</c:v>
                </c:pt>
                <c:pt idx="9">
                  <c:v>200503</c:v>
                </c:pt>
                <c:pt idx="10">
                  <c:v>226582</c:v>
                </c:pt>
                <c:pt idx="11">
                  <c:v>241251</c:v>
                </c:pt>
                <c:pt idx="12">
                  <c:v>251126</c:v>
                </c:pt>
                <c:pt idx="13">
                  <c:v>252208</c:v>
                </c:pt>
                <c:pt idx="14">
                  <c:v>270107</c:v>
                </c:pt>
                <c:pt idx="15">
                  <c:v>277270</c:v>
                </c:pt>
                <c:pt idx="16">
                  <c:v>278266</c:v>
                </c:pt>
                <c:pt idx="17">
                  <c:v>302767</c:v>
                </c:pt>
                <c:pt idx="18">
                  <c:v>299831</c:v>
                </c:pt>
                <c:pt idx="19">
                  <c:v>293986</c:v>
                </c:pt>
                <c:pt idx="20" formatCode="#,##0_);[Red]\(#,##0\)">
                  <c:v>272276</c:v>
                </c:pt>
                <c:pt idx="21" formatCode="#,##0_);[Red]\(#,##0\)">
                  <c:v>294894</c:v>
                </c:pt>
              </c:numCache>
            </c:numRef>
          </c:val>
          <c:extLst>
            <c:ext xmlns:c16="http://schemas.microsoft.com/office/drawing/2014/chart" uri="{C3380CC4-5D6E-409C-BE32-E72D297353CC}">
              <c16:uniqueId val="{00000001-7ADD-438B-B926-54D82ECBFCA8}"/>
            </c:ext>
          </c:extLst>
        </c:ser>
        <c:ser>
          <c:idx val="2"/>
          <c:order val="2"/>
          <c:tx>
            <c:strRef>
              <c:f>'Ch3. Granted patents'!$A$63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patents'!$I$59:$AD$59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patents'!$I$63:$AD$63</c:f>
              <c:numCache>
                <c:formatCode>#,##0</c:formatCode>
                <c:ptCount val="22"/>
                <c:pt idx="0">
                  <c:v>6300</c:v>
                </c:pt>
                <c:pt idx="1">
                  <c:v>12003</c:v>
                </c:pt>
                <c:pt idx="2">
                  <c:v>18942</c:v>
                </c:pt>
                <c:pt idx="3">
                  <c:v>21449</c:v>
                </c:pt>
                <c:pt idx="4">
                  <c:v>26292</c:v>
                </c:pt>
                <c:pt idx="5">
                  <c:v>33411</c:v>
                </c:pt>
                <c:pt idx="6">
                  <c:v>48815</c:v>
                </c:pt>
                <c:pt idx="7">
                  <c:v>68392</c:v>
                </c:pt>
                <c:pt idx="8">
                  <c:v>84538</c:v>
                </c:pt>
                <c:pt idx="9">
                  <c:v>118116</c:v>
                </c:pt>
                <c:pt idx="10">
                  <c:v>152022</c:v>
                </c:pt>
                <c:pt idx="11">
                  <c:v>154324</c:v>
                </c:pt>
                <c:pt idx="12">
                  <c:v>176004</c:v>
                </c:pt>
                <c:pt idx="13">
                  <c:v>278233</c:v>
                </c:pt>
                <c:pt idx="14">
                  <c:v>321872</c:v>
                </c:pt>
                <c:pt idx="15">
                  <c:v>352004</c:v>
                </c:pt>
                <c:pt idx="16">
                  <c:v>376508</c:v>
                </c:pt>
                <c:pt idx="17">
                  <c:v>399005</c:v>
                </c:pt>
                <c:pt idx="18">
                  <c:v>483948</c:v>
                </c:pt>
                <c:pt idx="19">
                  <c:v>638661</c:v>
                </c:pt>
                <c:pt idx="20" formatCode="#,##0_);[Red]\(#,##0\)">
                  <c:v>760175</c:v>
                </c:pt>
                <c:pt idx="21" formatCode="#,##0_);[Red]\(#,##0\)">
                  <c:v>889965</c:v>
                </c:pt>
              </c:numCache>
            </c:numRef>
          </c:val>
          <c:extLst>
            <c:ext xmlns:c16="http://schemas.microsoft.com/office/drawing/2014/chart" uri="{C3380CC4-5D6E-409C-BE32-E72D297353CC}">
              <c16:uniqueId val="{00000002-7ADD-438B-B926-54D82ECBFCA8}"/>
            </c:ext>
          </c:extLst>
        </c:ser>
        <c:ser>
          <c:idx val="3"/>
          <c:order val="3"/>
          <c:tx>
            <c:strRef>
              <c:f>'Ch3. Granted patents'!$A$62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patents'!$I$59:$AD$59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patents'!$I$62:$AD$62</c:f>
              <c:numCache>
                <c:formatCode>#,##0</c:formatCode>
                <c:ptCount val="22"/>
                <c:pt idx="0">
                  <c:v>36929</c:v>
                </c:pt>
                <c:pt idx="1">
                  <c:v>39564</c:v>
                </c:pt>
                <c:pt idx="2">
                  <c:v>45354</c:v>
                </c:pt>
                <c:pt idx="3">
                  <c:v>63763</c:v>
                </c:pt>
                <c:pt idx="4">
                  <c:v>102645</c:v>
                </c:pt>
                <c:pt idx="5">
                  <c:v>106623</c:v>
                </c:pt>
                <c:pt idx="6">
                  <c:v>79567</c:v>
                </c:pt>
                <c:pt idx="7">
                  <c:v>57124</c:v>
                </c:pt>
                <c:pt idx="8">
                  <c:v>75525</c:v>
                </c:pt>
                <c:pt idx="9">
                  <c:v>97711</c:v>
                </c:pt>
                <c:pt idx="10">
                  <c:v>112058</c:v>
                </c:pt>
                <c:pt idx="11">
                  <c:v>123771</c:v>
                </c:pt>
                <c:pt idx="12">
                  <c:v>127263</c:v>
                </c:pt>
                <c:pt idx="13">
                  <c:v>109007</c:v>
                </c:pt>
                <c:pt idx="14">
                  <c:v>120334</c:v>
                </c:pt>
                <c:pt idx="15">
                  <c:v>131442</c:v>
                </c:pt>
                <c:pt idx="16">
                  <c:v>131711</c:v>
                </c:pt>
                <c:pt idx="17">
                  <c:v>141393</c:v>
                </c:pt>
                <c:pt idx="18">
                  <c:v>150963</c:v>
                </c:pt>
                <c:pt idx="19">
                  <c:v>158207</c:v>
                </c:pt>
                <c:pt idx="20" formatCode="#,##0_);[Red]\(#,##0\)">
                  <c:v>147493</c:v>
                </c:pt>
                <c:pt idx="21" formatCode="#,##0_);[Red]\(#,##0\)">
                  <c:v>154661</c:v>
                </c:pt>
              </c:numCache>
            </c:numRef>
          </c:val>
          <c:extLst>
            <c:ext xmlns:c16="http://schemas.microsoft.com/office/drawing/2014/chart" uri="{C3380CC4-5D6E-409C-BE32-E72D297353CC}">
              <c16:uniqueId val="{00000003-7ADD-438B-B926-54D82ECBFCA8}"/>
            </c:ext>
          </c:extLst>
        </c:ser>
        <c:ser>
          <c:idx val="4"/>
          <c:order val="4"/>
          <c:tx>
            <c:strRef>
              <c:f>'Ch3. Granted patents'!$A$61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patents'!$I$59:$AD$59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patents'!$I$61:$AD$61</c:f>
              <c:numCache>
                <c:formatCode>#,##0</c:formatCode>
                <c:ptCount val="22"/>
                <c:pt idx="0">
                  <c:v>174411</c:v>
                </c:pt>
                <c:pt idx="1">
                  <c:v>182776</c:v>
                </c:pt>
                <c:pt idx="2">
                  <c:v>187697</c:v>
                </c:pt>
                <c:pt idx="3">
                  <c:v>185009</c:v>
                </c:pt>
                <c:pt idx="4">
                  <c:v>217563</c:v>
                </c:pt>
                <c:pt idx="5">
                  <c:v>232620</c:v>
                </c:pt>
                <c:pt idx="6">
                  <c:v>239306</c:v>
                </c:pt>
                <c:pt idx="7">
                  <c:v>225906</c:v>
                </c:pt>
                <c:pt idx="8">
                  <c:v>284996</c:v>
                </c:pt>
                <c:pt idx="9">
                  <c:v>304584</c:v>
                </c:pt>
                <c:pt idx="10">
                  <c:v>343012</c:v>
                </c:pt>
                <c:pt idx="11">
                  <c:v>339676</c:v>
                </c:pt>
                <c:pt idx="12">
                  <c:v>296359</c:v>
                </c:pt>
                <c:pt idx="13">
                  <c:v>269951</c:v>
                </c:pt>
                <c:pt idx="14">
                  <c:v>287770</c:v>
                </c:pt>
                <c:pt idx="15">
                  <c:v>283849</c:v>
                </c:pt>
                <c:pt idx="16">
                  <c:v>282050</c:v>
                </c:pt>
                <c:pt idx="17">
                  <c:v>282535</c:v>
                </c:pt>
                <c:pt idx="18">
                  <c:v>277981</c:v>
                </c:pt>
                <c:pt idx="19">
                  <c:v>277144</c:v>
                </c:pt>
                <c:pt idx="20" formatCode="#,##0_);[Red]\(#,##0\)">
                  <c:v>280530</c:v>
                </c:pt>
                <c:pt idx="21" formatCode="#,##0_);[Red]\(#,##0\)">
                  <c:v>284378</c:v>
                </c:pt>
              </c:numCache>
            </c:numRef>
          </c:val>
          <c:extLst>
            <c:ext xmlns:c16="http://schemas.microsoft.com/office/drawing/2014/chart" uri="{C3380CC4-5D6E-409C-BE32-E72D297353CC}">
              <c16:uniqueId val="{00000004-7ADD-438B-B926-54D82ECBFCA8}"/>
            </c:ext>
          </c:extLst>
        </c:ser>
        <c:ser>
          <c:idx val="5"/>
          <c:order val="5"/>
          <c:tx>
            <c:strRef>
              <c:f>'Ch3. Granted patents'!$A$60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patents'!$I$59:$AD$59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patents'!$I$60:$AD$60</c:f>
              <c:numCache>
                <c:formatCode>#,##0</c:formatCode>
                <c:ptCount val="22"/>
                <c:pt idx="0">
                  <c:v>130863</c:v>
                </c:pt>
                <c:pt idx="1">
                  <c:v>152288</c:v>
                </c:pt>
                <c:pt idx="2">
                  <c:v>142022</c:v>
                </c:pt>
                <c:pt idx="3">
                  <c:v>138686</c:v>
                </c:pt>
                <c:pt idx="4">
                  <c:v>151432</c:v>
                </c:pt>
                <c:pt idx="5">
                  <c:v>152535</c:v>
                </c:pt>
                <c:pt idx="6">
                  <c:v>146583</c:v>
                </c:pt>
                <c:pt idx="7">
                  <c:v>152043</c:v>
                </c:pt>
                <c:pt idx="8">
                  <c:v>163979</c:v>
                </c:pt>
                <c:pt idx="9">
                  <c:v>186630</c:v>
                </c:pt>
                <c:pt idx="10">
                  <c:v>203923</c:v>
                </c:pt>
                <c:pt idx="11">
                  <c:v>218006</c:v>
                </c:pt>
                <c:pt idx="12">
                  <c:v>219231</c:v>
                </c:pt>
                <c:pt idx="13">
                  <c:v>224805</c:v>
                </c:pt>
                <c:pt idx="14">
                  <c:v>248238</c:v>
                </c:pt>
                <c:pt idx="15">
                  <c:v>246110</c:v>
                </c:pt>
                <c:pt idx="16">
                  <c:v>253530</c:v>
                </c:pt>
                <c:pt idx="17">
                  <c:v>267740</c:v>
                </c:pt>
                <c:pt idx="18">
                  <c:v>268315</c:v>
                </c:pt>
                <c:pt idx="19">
                  <c:v>269247</c:v>
                </c:pt>
                <c:pt idx="20" formatCode="#,##0_);[Red]\(#,##0\)">
                  <c:v>247548</c:v>
                </c:pt>
                <c:pt idx="21" formatCode="#,##0_);[Red]\(#,##0\)">
                  <c:v>254497</c:v>
                </c:pt>
              </c:numCache>
            </c:numRef>
          </c:val>
          <c:extLst>
            <c:ext xmlns:c16="http://schemas.microsoft.com/office/drawing/2014/chart" uri="{C3380CC4-5D6E-409C-BE32-E72D297353CC}">
              <c16:uniqueId val="{00000005-7ADD-438B-B926-54D82ECBFCA8}"/>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patents'!$I$59:$AD$59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patents'!$I$66:$AD$66</c:f>
              <c:numCache>
                <c:formatCode>#,##0</c:formatCode>
                <c:ptCount val="22"/>
                <c:pt idx="0">
                  <c:v>543087</c:v>
                </c:pt>
                <c:pt idx="1">
                  <c:v>596749</c:v>
                </c:pt>
                <c:pt idx="2">
                  <c:v>592847</c:v>
                </c:pt>
                <c:pt idx="3">
                  <c:v>593067</c:v>
                </c:pt>
                <c:pt idx="4">
                  <c:v>716821</c:v>
                </c:pt>
                <c:pt idx="5">
                  <c:v>733845</c:v>
                </c:pt>
                <c:pt idx="6">
                  <c:v>756398</c:v>
                </c:pt>
                <c:pt idx="7">
                  <c:v>787726</c:v>
                </c:pt>
                <c:pt idx="8">
                  <c:v>871988</c:v>
                </c:pt>
                <c:pt idx="9">
                  <c:v>982821</c:v>
                </c:pt>
                <c:pt idx="10">
                  <c:v>1124758</c:v>
                </c:pt>
                <c:pt idx="11">
                  <c:v>1168861</c:v>
                </c:pt>
                <c:pt idx="12">
                  <c:v>1167196</c:v>
                </c:pt>
                <c:pt idx="13">
                  <c:v>1230238</c:v>
                </c:pt>
                <c:pt idx="14">
                  <c:v>1342619</c:v>
                </c:pt>
                <c:pt idx="15">
                  <c:v>1386700</c:v>
                </c:pt>
                <c:pt idx="16">
                  <c:v>1421130</c:v>
                </c:pt>
                <c:pt idx="17">
                  <c:v>1497612</c:v>
                </c:pt>
                <c:pt idx="18">
                  <c:v>1594237</c:v>
                </c:pt>
                <c:pt idx="19">
                  <c:v>1747483</c:v>
                </c:pt>
                <c:pt idx="20">
                  <c:v>1820258</c:v>
                </c:pt>
                <c:pt idx="21">
                  <c:v>2003907</c:v>
                </c:pt>
              </c:numCache>
            </c:numRef>
          </c:val>
          <c:extLst>
            <c:ext xmlns:c16="http://schemas.microsoft.com/office/drawing/2014/chart" uri="{C3380CC4-5D6E-409C-BE32-E72D297353CC}">
              <c16:uniqueId val="{00000006-7ADD-438B-B926-54D82ECBFCA8}"/>
            </c:ext>
          </c:extLst>
        </c:ser>
        <c:dLbls>
          <c:showLegendKey val="0"/>
          <c:showVal val="0"/>
          <c:showCatName val="0"/>
          <c:showSerName val="0"/>
          <c:showPercent val="0"/>
          <c:showBubbleSize val="0"/>
        </c:dLbls>
        <c:gapWidth val="10"/>
        <c:overlap val="100"/>
        <c:axId val="1787991648"/>
        <c:axId val="1787986752"/>
      </c:barChart>
      <c:catAx>
        <c:axId val="1787991648"/>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7986752"/>
        <c:crosses val="autoZero"/>
        <c:auto val="1"/>
        <c:lblAlgn val="ctr"/>
        <c:lblOffset val="100"/>
        <c:noMultiLvlLbl val="0"/>
      </c:catAx>
      <c:valAx>
        <c:axId val="1787986752"/>
        <c:scaling>
          <c:orientation val="minMax"/>
          <c:max val="2200000"/>
          <c:min val="0"/>
        </c:scaling>
        <c:delete val="1"/>
        <c:axPos val="l"/>
        <c:numFmt formatCode="#,##0" sourceLinked="1"/>
        <c:majorTickMark val="out"/>
        <c:minorTickMark val="none"/>
        <c:tickLblPos val="nextTo"/>
        <c:crossAx val="1787991648"/>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d943157f-cc57-4062-b745-d5c44fe3f696}"/>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Fig.3.12: WORLDWIDE PATENTS GRANTED - FILING BLOC</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Granted patents'!$A$75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patents'!$I$69:$AD$69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patents'!$I$75:$AD$75</c:f>
              <c:numCache>
                <c:formatCode>#,##0</c:formatCode>
                <c:ptCount val="22"/>
                <c:pt idx="0">
                  <c:v>85973</c:v>
                </c:pt>
                <c:pt idx="1">
                  <c:v>86868</c:v>
                </c:pt>
                <c:pt idx="2">
                  <c:v>84268</c:v>
                </c:pt>
                <c:pt idx="3">
                  <c:v>80288</c:v>
                </c:pt>
                <c:pt idx="4">
                  <c:v>96269</c:v>
                </c:pt>
                <c:pt idx="5">
                  <c:v>96908</c:v>
                </c:pt>
                <c:pt idx="6">
                  <c:v>128833</c:v>
                </c:pt>
                <c:pt idx="7">
                  <c:v>119383</c:v>
                </c:pt>
                <c:pt idx="8">
                  <c:v>121518</c:v>
                </c:pt>
                <c:pt idx="9">
                  <c:v>137503</c:v>
                </c:pt>
                <c:pt idx="10">
                  <c:v>146465</c:v>
                </c:pt>
                <c:pt idx="11">
                  <c:v>154571</c:v>
                </c:pt>
                <c:pt idx="12">
                  <c:v>155016</c:v>
                </c:pt>
                <c:pt idx="13">
                  <c:v>155568</c:v>
                </c:pt>
                <c:pt idx="14">
                  <c:v>166860</c:v>
                </c:pt>
                <c:pt idx="15">
                  <c:v>164209</c:v>
                </c:pt>
                <c:pt idx="16">
                  <c:v>179879</c:v>
                </c:pt>
                <c:pt idx="17">
                  <c:v>183530</c:v>
                </c:pt>
                <c:pt idx="18">
                  <c:v>198941</c:v>
                </c:pt>
                <c:pt idx="19">
                  <c:v>211924</c:v>
                </c:pt>
                <c:pt idx="20" formatCode="#,##0_);[Red]\(#,##0\)">
                  <c:v>207747</c:v>
                </c:pt>
                <c:pt idx="21" formatCode="#,##0_);[Red]\(#,##0\)">
                  <c:v>251214</c:v>
                </c:pt>
              </c:numCache>
            </c:numRef>
          </c:val>
          <c:extLst>
            <c:ext xmlns:c16="http://schemas.microsoft.com/office/drawing/2014/chart" uri="{C3380CC4-5D6E-409C-BE32-E72D297353CC}">
              <c16:uniqueId val="{00000000-8E0A-41C6-AF58-39D76A634931}"/>
            </c:ext>
          </c:extLst>
        </c:ser>
        <c:ser>
          <c:idx val="1"/>
          <c:order val="1"/>
          <c:tx>
            <c:strRef>
              <c:f>'Ch3. Granted patents'!$A$74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patents'!$I$69:$AD$69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patents'!$I$74:$AD$74</c:f>
              <c:numCache>
                <c:formatCode>#,##0</c:formatCode>
                <c:ptCount val="22"/>
                <c:pt idx="0">
                  <c:v>168928</c:v>
                </c:pt>
                <c:pt idx="1">
                  <c:v>170443</c:v>
                </c:pt>
                <c:pt idx="2">
                  <c:v>165607</c:v>
                </c:pt>
                <c:pt idx="3">
                  <c:v>144767</c:v>
                </c:pt>
                <c:pt idx="4">
                  <c:v>175439</c:v>
                </c:pt>
                <c:pt idx="5">
                  <c:v>158838</c:v>
                </c:pt>
                <c:pt idx="6">
                  <c:v>157772</c:v>
                </c:pt>
                <c:pt idx="7">
                  <c:v>167349</c:v>
                </c:pt>
                <c:pt idx="8">
                  <c:v>219614</c:v>
                </c:pt>
                <c:pt idx="9">
                  <c:v>224505</c:v>
                </c:pt>
                <c:pt idx="10">
                  <c:v>253155</c:v>
                </c:pt>
                <c:pt idx="11">
                  <c:v>277835</c:v>
                </c:pt>
                <c:pt idx="12">
                  <c:v>300678</c:v>
                </c:pt>
                <c:pt idx="13">
                  <c:v>298407</c:v>
                </c:pt>
                <c:pt idx="14">
                  <c:v>303049</c:v>
                </c:pt>
                <c:pt idx="15">
                  <c:v>318829</c:v>
                </c:pt>
                <c:pt idx="16">
                  <c:v>307759</c:v>
                </c:pt>
                <c:pt idx="17">
                  <c:v>354430</c:v>
                </c:pt>
                <c:pt idx="18">
                  <c:v>351993</c:v>
                </c:pt>
                <c:pt idx="19">
                  <c:v>327307</c:v>
                </c:pt>
                <c:pt idx="20" formatCode="#,##0_);[Red]\(#,##0\)">
                  <c:v>323410</c:v>
                </c:pt>
                <c:pt idx="21" formatCode="#,##0_);[Red]\(#,##0\)">
                  <c:v>315245</c:v>
                </c:pt>
              </c:numCache>
            </c:numRef>
          </c:val>
          <c:extLst>
            <c:ext xmlns:c16="http://schemas.microsoft.com/office/drawing/2014/chart" uri="{C3380CC4-5D6E-409C-BE32-E72D297353CC}">
              <c16:uniqueId val="{00000001-8E0A-41C6-AF58-39D76A634931}"/>
            </c:ext>
          </c:extLst>
        </c:ser>
        <c:ser>
          <c:idx val="2"/>
          <c:order val="2"/>
          <c:tx>
            <c:strRef>
              <c:f>'Ch3. Granted patents'!$A$73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patents'!$I$69:$AD$69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patents'!$I$73:$AD$73</c:f>
              <c:numCache>
                <c:formatCode>#,##0</c:formatCode>
                <c:ptCount val="22"/>
                <c:pt idx="0">
                  <c:v>21257</c:v>
                </c:pt>
                <c:pt idx="1">
                  <c:v>49356</c:v>
                </c:pt>
                <c:pt idx="2">
                  <c:v>49360</c:v>
                </c:pt>
                <c:pt idx="3">
                  <c:v>53305</c:v>
                </c:pt>
                <c:pt idx="4">
                  <c:v>57786</c:v>
                </c:pt>
                <c:pt idx="5">
                  <c:v>67948</c:v>
                </c:pt>
                <c:pt idx="6">
                  <c:v>93706</c:v>
                </c:pt>
                <c:pt idx="7">
                  <c:v>128489</c:v>
                </c:pt>
                <c:pt idx="8">
                  <c:v>135110</c:v>
                </c:pt>
                <c:pt idx="9">
                  <c:v>172113</c:v>
                </c:pt>
                <c:pt idx="10">
                  <c:v>217105</c:v>
                </c:pt>
                <c:pt idx="11">
                  <c:v>207688</c:v>
                </c:pt>
                <c:pt idx="12">
                  <c:v>233228</c:v>
                </c:pt>
                <c:pt idx="13">
                  <c:v>359316</c:v>
                </c:pt>
                <c:pt idx="14">
                  <c:v>404208</c:v>
                </c:pt>
                <c:pt idx="15">
                  <c:v>420144</c:v>
                </c:pt>
                <c:pt idx="16">
                  <c:v>432147</c:v>
                </c:pt>
                <c:pt idx="17">
                  <c:v>452804</c:v>
                </c:pt>
                <c:pt idx="18">
                  <c:v>530127</c:v>
                </c:pt>
                <c:pt idx="19">
                  <c:v>695946</c:v>
                </c:pt>
                <c:pt idx="20" formatCode="#,##0_);[Red]\(#,##0\)">
                  <c:v>798347</c:v>
                </c:pt>
                <c:pt idx="21" formatCode="#,##0_);[Red]\(#,##0\)">
                  <c:v>920797</c:v>
                </c:pt>
              </c:numCache>
            </c:numRef>
          </c:val>
          <c:extLst>
            <c:ext xmlns:c16="http://schemas.microsoft.com/office/drawing/2014/chart" uri="{C3380CC4-5D6E-409C-BE32-E72D297353CC}">
              <c16:uniqueId val="{00000002-8E0A-41C6-AF58-39D76A634931}"/>
            </c:ext>
          </c:extLst>
        </c:ser>
        <c:ser>
          <c:idx val="3"/>
          <c:order val="3"/>
          <c:tx>
            <c:strRef>
              <c:f>'Ch3. Granted patents'!$A$72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patents'!$I$69:$AD$69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patents'!$I$72:$AD$72</c:f>
              <c:numCache>
                <c:formatCode>#,##0</c:formatCode>
                <c:ptCount val="22"/>
                <c:pt idx="0">
                  <c:v>45046</c:v>
                </c:pt>
                <c:pt idx="1">
                  <c:v>44178</c:v>
                </c:pt>
                <c:pt idx="2">
                  <c:v>49068</c:v>
                </c:pt>
                <c:pt idx="3">
                  <c:v>73512</c:v>
                </c:pt>
                <c:pt idx="4">
                  <c:v>120790</c:v>
                </c:pt>
                <c:pt idx="5">
                  <c:v>123705</c:v>
                </c:pt>
                <c:pt idx="6">
                  <c:v>83523</c:v>
                </c:pt>
                <c:pt idx="7">
                  <c:v>56732</c:v>
                </c:pt>
                <c:pt idx="8">
                  <c:v>68843</c:v>
                </c:pt>
                <c:pt idx="9">
                  <c:v>94720</c:v>
                </c:pt>
                <c:pt idx="10">
                  <c:v>113467</c:v>
                </c:pt>
                <c:pt idx="11">
                  <c:v>127330</c:v>
                </c:pt>
                <c:pt idx="12">
                  <c:v>129786</c:v>
                </c:pt>
                <c:pt idx="13">
                  <c:v>101873</c:v>
                </c:pt>
                <c:pt idx="14">
                  <c:v>108875</c:v>
                </c:pt>
                <c:pt idx="15">
                  <c:v>120662</c:v>
                </c:pt>
                <c:pt idx="16">
                  <c:v>119012</c:v>
                </c:pt>
                <c:pt idx="17">
                  <c:v>125661</c:v>
                </c:pt>
                <c:pt idx="18">
                  <c:v>134766</c:v>
                </c:pt>
                <c:pt idx="19">
                  <c:v>145882</c:v>
                </c:pt>
                <c:pt idx="20" formatCode="#,##0_);[Red]\(#,##0\)">
                  <c:v>135180</c:v>
                </c:pt>
                <c:pt idx="21" formatCode="#,##0_);[Red]\(#,##0\)">
                  <c:v>134734</c:v>
                </c:pt>
              </c:numCache>
            </c:numRef>
          </c:val>
          <c:extLst>
            <c:ext xmlns:c16="http://schemas.microsoft.com/office/drawing/2014/chart" uri="{C3380CC4-5D6E-409C-BE32-E72D297353CC}">
              <c16:uniqueId val="{00000003-8E0A-41C6-AF58-39D76A634931}"/>
            </c:ext>
          </c:extLst>
        </c:ser>
        <c:ser>
          <c:idx val="4"/>
          <c:order val="4"/>
          <c:tx>
            <c:strRef>
              <c:f>'Ch3. Granted patents'!$A$71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patents'!$I$69:$AD$69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patents'!$I$71:$AD$71</c:f>
              <c:numCache>
                <c:formatCode>#,##0</c:formatCode>
                <c:ptCount val="22"/>
                <c:pt idx="0">
                  <c:v>119192</c:v>
                </c:pt>
                <c:pt idx="1">
                  <c:v>122522</c:v>
                </c:pt>
                <c:pt idx="2">
                  <c:v>124192</c:v>
                </c:pt>
                <c:pt idx="3">
                  <c:v>122944</c:v>
                </c:pt>
                <c:pt idx="4">
                  <c:v>141399</c:v>
                </c:pt>
                <c:pt idx="5">
                  <c:v>164954</c:v>
                </c:pt>
                <c:pt idx="6">
                  <c:v>176950</c:v>
                </c:pt>
                <c:pt idx="7">
                  <c:v>193349</c:v>
                </c:pt>
                <c:pt idx="8">
                  <c:v>222693</c:v>
                </c:pt>
                <c:pt idx="9">
                  <c:v>238323</c:v>
                </c:pt>
                <c:pt idx="10">
                  <c:v>274791</c:v>
                </c:pt>
                <c:pt idx="11">
                  <c:v>277079</c:v>
                </c:pt>
                <c:pt idx="12">
                  <c:v>227142</c:v>
                </c:pt>
                <c:pt idx="13">
                  <c:v>189358</c:v>
                </c:pt>
                <c:pt idx="14">
                  <c:v>203087</c:v>
                </c:pt>
                <c:pt idx="15">
                  <c:v>199577</c:v>
                </c:pt>
                <c:pt idx="16">
                  <c:v>194525</c:v>
                </c:pt>
                <c:pt idx="17">
                  <c:v>179910</c:v>
                </c:pt>
                <c:pt idx="18">
                  <c:v>179383</c:v>
                </c:pt>
                <c:pt idx="19">
                  <c:v>184372</c:v>
                </c:pt>
                <c:pt idx="20" formatCode="#,##0_);[Red]\(#,##0\)">
                  <c:v>201420</c:v>
                </c:pt>
                <c:pt idx="21" formatCode="#,##0_);[Red]\(#,##0\)">
                  <c:v>209368</c:v>
                </c:pt>
              </c:numCache>
            </c:numRef>
          </c:val>
          <c:extLst>
            <c:ext xmlns:c16="http://schemas.microsoft.com/office/drawing/2014/chart" uri="{C3380CC4-5D6E-409C-BE32-E72D297353CC}">
              <c16:uniqueId val="{00000004-8E0A-41C6-AF58-39D76A634931}"/>
            </c:ext>
          </c:extLst>
        </c:ser>
        <c:ser>
          <c:idx val="5"/>
          <c:order val="5"/>
          <c:tx>
            <c:strRef>
              <c:f>'Ch3. Granted patents'!$A$70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patents'!$I$69:$AD$69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patents'!$I$70:$AD$70</c:f>
              <c:numCache>
                <c:formatCode>#,##0</c:formatCode>
                <c:ptCount val="22"/>
                <c:pt idx="0">
                  <c:v>102691</c:v>
                </c:pt>
                <c:pt idx="1">
                  <c:v>123382</c:v>
                </c:pt>
                <c:pt idx="2">
                  <c:v>120352</c:v>
                </c:pt>
                <c:pt idx="3">
                  <c:v>118251</c:v>
                </c:pt>
                <c:pt idx="4">
                  <c:v>125138</c:v>
                </c:pt>
                <c:pt idx="5">
                  <c:v>121492</c:v>
                </c:pt>
                <c:pt idx="6">
                  <c:v>115614</c:v>
                </c:pt>
                <c:pt idx="7">
                  <c:v>122424</c:v>
                </c:pt>
                <c:pt idx="8">
                  <c:v>104210</c:v>
                </c:pt>
                <c:pt idx="9">
                  <c:v>115657</c:v>
                </c:pt>
                <c:pt idx="10">
                  <c:v>119775</c:v>
                </c:pt>
                <c:pt idx="11">
                  <c:v>124358</c:v>
                </c:pt>
                <c:pt idx="12">
                  <c:v>121346</c:v>
                </c:pt>
                <c:pt idx="13">
                  <c:v>125716</c:v>
                </c:pt>
                <c:pt idx="14">
                  <c:v>156540</c:v>
                </c:pt>
                <c:pt idx="15">
                  <c:v>163279</c:v>
                </c:pt>
                <c:pt idx="16">
                  <c:v>187808</c:v>
                </c:pt>
                <c:pt idx="17">
                  <c:v>201277</c:v>
                </c:pt>
                <c:pt idx="18">
                  <c:v>199027</c:v>
                </c:pt>
                <c:pt idx="19">
                  <c:v>182052</c:v>
                </c:pt>
                <c:pt idx="20" formatCode="#,##0_);[Red]\(#,##0\)">
                  <c:v>154154</c:v>
                </c:pt>
                <c:pt idx="21" formatCode="#,##0_);[Red]\(#,##0\)">
                  <c:v>172549</c:v>
                </c:pt>
              </c:numCache>
            </c:numRef>
          </c:val>
          <c:extLst>
            <c:ext xmlns:c16="http://schemas.microsoft.com/office/drawing/2014/chart" uri="{C3380CC4-5D6E-409C-BE32-E72D297353CC}">
              <c16:uniqueId val="{00000005-8E0A-41C6-AF58-39D76A634931}"/>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patents'!$I$69:$AD$69</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patents'!$I$76:$AD$76</c:f>
              <c:numCache>
                <c:formatCode>#,##0</c:formatCode>
                <c:ptCount val="22"/>
                <c:pt idx="0">
                  <c:v>543087</c:v>
                </c:pt>
                <c:pt idx="1">
                  <c:v>596749</c:v>
                </c:pt>
                <c:pt idx="2">
                  <c:v>592847</c:v>
                </c:pt>
                <c:pt idx="3">
                  <c:v>593067</c:v>
                </c:pt>
                <c:pt idx="4">
                  <c:v>716821</c:v>
                </c:pt>
                <c:pt idx="5">
                  <c:v>733845</c:v>
                </c:pt>
                <c:pt idx="6">
                  <c:v>756398</c:v>
                </c:pt>
                <c:pt idx="7">
                  <c:v>787726</c:v>
                </c:pt>
                <c:pt idx="8">
                  <c:v>871988</c:v>
                </c:pt>
                <c:pt idx="9">
                  <c:v>982821</c:v>
                </c:pt>
                <c:pt idx="10">
                  <c:v>1124758</c:v>
                </c:pt>
                <c:pt idx="11">
                  <c:v>1168861</c:v>
                </c:pt>
                <c:pt idx="12">
                  <c:v>1167196</c:v>
                </c:pt>
                <c:pt idx="13">
                  <c:v>1230238</c:v>
                </c:pt>
                <c:pt idx="14">
                  <c:v>1342619</c:v>
                </c:pt>
                <c:pt idx="15">
                  <c:v>1386700</c:v>
                </c:pt>
                <c:pt idx="16">
                  <c:v>1421130</c:v>
                </c:pt>
                <c:pt idx="17">
                  <c:v>1497612</c:v>
                </c:pt>
                <c:pt idx="18">
                  <c:v>1594237</c:v>
                </c:pt>
                <c:pt idx="19">
                  <c:v>1747483</c:v>
                </c:pt>
                <c:pt idx="20">
                  <c:v>1820258</c:v>
                </c:pt>
                <c:pt idx="21">
                  <c:v>2003907</c:v>
                </c:pt>
              </c:numCache>
            </c:numRef>
          </c:val>
          <c:extLst>
            <c:ext xmlns:c16="http://schemas.microsoft.com/office/drawing/2014/chart" uri="{C3380CC4-5D6E-409C-BE32-E72D297353CC}">
              <c16:uniqueId val="{00000006-8E0A-41C6-AF58-39D76A634931}"/>
            </c:ext>
          </c:extLst>
        </c:ser>
        <c:dLbls>
          <c:showLegendKey val="0"/>
          <c:showVal val="0"/>
          <c:showCatName val="0"/>
          <c:showSerName val="0"/>
          <c:showPercent val="0"/>
          <c:showBubbleSize val="0"/>
        </c:dLbls>
        <c:gapWidth val="10"/>
        <c:overlap val="100"/>
        <c:axId val="1787988384"/>
        <c:axId val="1787987296"/>
      </c:barChart>
      <c:catAx>
        <c:axId val="1787988384"/>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7987296"/>
        <c:crosses val="autoZero"/>
        <c:auto val="1"/>
        <c:lblAlgn val="ctr"/>
        <c:lblOffset val="100"/>
        <c:noMultiLvlLbl val="0"/>
      </c:catAx>
      <c:valAx>
        <c:axId val="1787987296"/>
        <c:scaling>
          <c:orientation val="minMax"/>
          <c:max val="2150000"/>
          <c:min val="0"/>
        </c:scaling>
        <c:delete val="1"/>
        <c:axPos val="l"/>
        <c:numFmt formatCode="#,##0" sourceLinked="1"/>
        <c:majorTickMark val="out"/>
        <c:minorTickMark val="none"/>
        <c:tickLblPos val="nextTo"/>
        <c:crossAx val="1787988384"/>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a7d4e441-a929-47dd-bc96-201d0d6e18f5}"/>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Fig.3.11: WORLDWIDE PATENTS GRANTED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52380952381E-2"/>
          <c:y val="0.11081980110249801"/>
          <c:w val="0.848552080989876"/>
          <c:h val="0.80876671644083997"/>
        </c:manualLayout>
      </c:layout>
      <c:barChart>
        <c:barDir val="col"/>
        <c:grouping val="stacked"/>
        <c:varyColors val="0"/>
        <c:ser>
          <c:idx val="0"/>
          <c:order val="0"/>
          <c:tx>
            <c:strRef>
              <c:f>'Ch3. Granted patents'!$A$65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Granted patents'!$S$59:$AD$59</c15:sqref>
                  </c15:fullRef>
                </c:ext>
              </c:extLst>
              <c:f>'Ch3. Granted patents'!$U$59:$AD$59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patents'!$S$65:$AD$65</c15:sqref>
                  </c15:fullRef>
                </c:ext>
              </c:extLst>
              <c:f>'Ch3. Granted patents'!$U$65:$AD$65</c:f>
              <c:numCache>
                <c:formatCode>#,##0</c:formatCode>
                <c:ptCount val="10"/>
                <c:pt idx="0">
                  <c:v>97213</c:v>
                </c:pt>
                <c:pt idx="1">
                  <c:v>96034</c:v>
                </c:pt>
                <c:pt idx="2">
                  <c:v>94298</c:v>
                </c:pt>
                <c:pt idx="3">
                  <c:v>96025</c:v>
                </c:pt>
                <c:pt idx="4">
                  <c:v>99065</c:v>
                </c:pt>
                <c:pt idx="5">
                  <c:v>104172</c:v>
                </c:pt>
                <c:pt idx="6">
                  <c:v>113199</c:v>
                </c:pt>
                <c:pt idx="7">
                  <c:v>110238</c:v>
                </c:pt>
                <c:pt idx="8" formatCode="#,##0_);[Red]\(#,##0\)">
                  <c:v>112236</c:v>
                </c:pt>
                <c:pt idx="9" formatCode="#,##0_);[Red]\(#,##0\)">
                  <c:v>125512</c:v>
                </c:pt>
              </c:numCache>
            </c:numRef>
          </c:val>
          <c:extLst>
            <c:ext xmlns:c16="http://schemas.microsoft.com/office/drawing/2014/chart" uri="{C3380CC4-5D6E-409C-BE32-E72D297353CC}">
              <c16:uniqueId val="{00000000-2484-4C79-AE55-FEC915510462}"/>
            </c:ext>
          </c:extLst>
        </c:ser>
        <c:ser>
          <c:idx val="1"/>
          <c:order val="1"/>
          <c:tx>
            <c:strRef>
              <c:f>'Ch3. Granted patents'!$A$64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Granted patents'!$S$59:$AD$59</c15:sqref>
                  </c15:fullRef>
                </c:ext>
              </c:extLst>
              <c:f>'Ch3. Granted patents'!$U$59:$AD$59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patents'!$S$64:$AD$64</c15:sqref>
                  </c15:fullRef>
                </c:ext>
              </c:extLst>
              <c:f>'Ch3. Granted patents'!$U$64:$AD$64</c:f>
              <c:numCache>
                <c:formatCode>#,##0</c:formatCode>
                <c:ptCount val="10"/>
                <c:pt idx="0">
                  <c:v>251126</c:v>
                </c:pt>
                <c:pt idx="1">
                  <c:v>252208</c:v>
                </c:pt>
                <c:pt idx="2">
                  <c:v>270107</c:v>
                </c:pt>
                <c:pt idx="3">
                  <c:v>277270</c:v>
                </c:pt>
                <c:pt idx="4">
                  <c:v>278266</c:v>
                </c:pt>
                <c:pt idx="5">
                  <c:v>302767</c:v>
                </c:pt>
                <c:pt idx="6">
                  <c:v>299831</c:v>
                </c:pt>
                <c:pt idx="7">
                  <c:v>293986</c:v>
                </c:pt>
                <c:pt idx="8" formatCode="#,##0_);[Red]\(#,##0\)">
                  <c:v>272276</c:v>
                </c:pt>
                <c:pt idx="9" formatCode="#,##0_);[Red]\(#,##0\)">
                  <c:v>294894</c:v>
                </c:pt>
              </c:numCache>
            </c:numRef>
          </c:val>
          <c:extLst>
            <c:ext xmlns:c16="http://schemas.microsoft.com/office/drawing/2014/chart" uri="{C3380CC4-5D6E-409C-BE32-E72D297353CC}">
              <c16:uniqueId val="{00000001-2484-4C79-AE55-FEC915510462}"/>
            </c:ext>
          </c:extLst>
        </c:ser>
        <c:ser>
          <c:idx val="2"/>
          <c:order val="2"/>
          <c:tx>
            <c:strRef>
              <c:f>'Ch3. Granted patents'!$A$63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Granted patents'!$S$59:$AD$59</c15:sqref>
                  </c15:fullRef>
                </c:ext>
              </c:extLst>
              <c:f>'Ch3. Granted patents'!$U$59:$AD$59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patents'!$S$63:$AD$63</c15:sqref>
                  </c15:fullRef>
                </c:ext>
              </c:extLst>
              <c:f>'Ch3. Granted patents'!$U$63:$AD$63</c:f>
              <c:numCache>
                <c:formatCode>#,##0</c:formatCode>
                <c:ptCount val="10"/>
                <c:pt idx="0">
                  <c:v>176004</c:v>
                </c:pt>
                <c:pt idx="1">
                  <c:v>278233</c:v>
                </c:pt>
                <c:pt idx="2">
                  <c:v>321872</c:v>
                </c:pt>
                <c:pt idx="3">
                  <c:v>352004</c:v>
                </c:pt>
                <c:pt idx="4">
                  <c:v>376508</c:v>
                </c:pt>
                <c:pt idx="5">
                  <c:v>399005</c:v>
                </c:pt>
                <c:pt idx="6">
                  <c:v>483948</c:v>
                </c:pt>
                <c:pt idx="7">
                  <c:v>638661</c:v>
                </c:pt>
                <c:pt idx="8" formatCode="#,##0_);[Red]\(#,##0\)">
                  <c:v>760175</c:v>
                </c:pt>
                <c:pt idx="9" formatCode="#,##0_);[Red]\(#,##0\)">
                  <c:v>889965</c:v>
                </c:pt>
              </c:numCache>
            </c:numRef>
          </c:val>
          <c:extLst>
            <c:ext xmlns:c16="http://schemas.microsoft.com/office/drawing/2014/chart" uri="{C3380CC4-5D6E-409C-BE32-E72D297353CC}">
              <c16:uniqueId val="{00000002-2484-4C79-AE55-FEC915510462}"/>
            </c:ext>
          </c:extLst>
        </c:ser>
        <c:ser>
          <c:idx val="3"/>
          <c:order val="3"/>
          <c:tx>
            <c:strRef>
              <c:f>'Ch3. Granted patents'!$A$62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Granted patents'!$S$59:$AD$59</c15:sqref>
                  </c15:fullRef>
                </c:ext>
              </c:extLst>
              <c:f>'Ch3. Granted patents'!$U$59:$AD$59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patents'!$S$62:$AD$62</c15:sqref>
                  </c15:fullRef>
                </c:ext>
              </c:extLst>
              <c:f>'Ch3. Granted patents'!$U$62:$AD$62</c:f>
              <c:numCache>
                <c:formatCode>#,##0</c:formatCode>
                <c:ptCount val="10"/>
                <c:pt idx="0">
                  <c:v>127263</c:v>
                </c:pt>
                <c:pt idx="1">
                  <c:v>109007</c:v>
                </c:pt>
                <c:pt idx="2">
                  <c:v>120334</c:v>
                </c:pt>
                <c:pt idx="3">
                  <c:v>131442</c:v>
                </c:pt>
                <c:pt idx="4">
                  <c:v>131711</c:v>
                </c:pt>
                <c:pt idx="5">
                  <c:v>141393</c:v>
                </c:pt>
                <c:pt idx="6">
                  <c:v>150963</c:v>
                </c:pt>
                <c:pt idx="7">
                  <c:v>158207</c:v>
                </c:pt>
                <c:pt idx="8" formatCode="#,##0_);[Red]\(#,##0\)">
                  <c:v>147493</c:v>
                </c:pt>
                <c:pt idx="9" formatCode="#,##0_);[Red]\(#,##0\)">
                  <c:v>154661</c:v>
                </c:pt>
              </c:numCache>
            </c:numRef>
          </c:val>
          <c:extLst>
            <c:ext xmlns:c16="http://schemas.microsoft.com/office/drawing/2014/chart" uri="{C3380CC4-5D6E-409C-BE32-E72D297353CC}">
              <c16:uniqueId val="{00000003-2484-4C79-AE55-FEC915510462}"/>
            </c:ext>
          </c:extLst>
        </c:ser>
        <c:ser>
          <c:idx val="4"/>
          <c:order val="4"/>
          <c:tx>
            <c:strRef>
              <c:f>'Ch3. Granted patents'!$A$61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Granted patents'!$S$59:$AD$59</c15:sqref>
                  </c15:fullRef>
                </c:ext>
              </c:extLst>
              <c:f>'Ch3. Granted patents'!$U$59:$AD$59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patents'!$S$61:$AD$61</c15:sqref>
                  </c15:fullRef>
                </c:ext>
              </c:extLst>
              <c:f>'Ch3. Granted patents'!$U$61:$AD$61</c:f>
              <c:numCache>
                <c:formatCode>#,##0</c:formatCode>
                <c:ptCount val="10"/>
                <c:pt idx="0">
                  <c:v>296359</c:v>
                </c:pt>
                <c:pt idx="1">
                  <c:v>269951</c:v>
                </c:pt>
                <c:pt idx="2">
                  <c:v>287770</c:v>
                </c:pt>
                <c:pt idx="3">
                  <c:v>283849</c:v>
                </c:pt>
                <c:pt idx="4">
                  <c:v>282050</c:v>
                </c:pt>
                <c:pt idx="5">
                  <c:v>282535</c:v>
                </c:pt>
                <c:pt idx="6">
                  <c:v>277981</c:v>
                </c:pt>
                <c:pt idx="7">
                  <c:v>277144</c:v>
                </c:pt>
                <c:pt idx="8" formatCode="#,##0_);[Red]\(#,##0\)">
                  <c:v>280530</c:v>
                </c:pt>
                <c:pt idx="9" formatCode="#,##0_);[Red]\(#,##0\)">
                  <c:v>284378</c:v>
                </c:pt>
              </c:numCache>
            </c:numRef>
          </c:val>
          <c:extLst>
            <c:ext xmlns:c16="http://schemas.microsoft.com/office/drawing/2014/chart" uri="{C3380CC4-5D6E-409C-BE32-E72D297353CC}">
              <c16:uniqueId val="{00000004-2484-4C79-AE55-FEC915510462}"/>
            </c:ext>
          </c:extLst>
        </c:ser>
        <c:ser>
          <c:idx val="5"/>
          <c:order val="5"/>
          <c:tx>
            <c:strRef>
              <c:f>'Ch3. Granted patents'!$A$60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Granted patents'!$S$59:$AD$59</c15:sqref>
                  </c15:fullRef>
                </c:ext>
              </c:extLst>
              <c:f>'Ch3. Granted patents'!$U$59:$AD$59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patents'!$S$60:$AD$60</c15:sqref>
                  </c15:fullRef>
                </c:ext>
              </c:extLst>
              <c:f>'Ch3. Granted patents'!$U$60:$AD$60</c:f>
              <c:numCache>
                <c:formatCode>#,##0</c:formatCode>
                <c:ptCount val="10"/>
                <c:pt idx="0">
                  <c:v>219231</c:v>
                </c:pt>
                <c:pt idx="1">
                  <c:v>224805</c:v>
                </c:pt>
                <c:pt idx="2">
                  <c:v>248238</c:v>
                </c:pt>
                <c:pt idx="3">
                  <c:v>246110</c:v>
                </c:pt>
                <c:pt idx="4">
                  <c:v>253530</c:v>
                </c:pt>
                <c:pt idx="5">
                  <c:v>267740</c:v>
                </c:pt>
                <c:pt idx="6">
                  <c:v>268315</c:v>
                </c:pt>
                <c:pt idx="7">
                  <c:v>269247</c:v>
                </c:pt>
                <c:pt idx="8" formatCode="#,##0_);[Red]\(#,##0\)">
                  <c:v>247548</c:v>
                </c:pt>
                <c:pt idx="9" formatCode="#,##0_);[Red]\(#,##0\)">
                  <c:v>254497</c:v>
                </c:pt>
              </c:numCache>
            </c:numRef>
          </c:val>
          <c:extLst>
            <c:ext xmlns:c16="http://schemas.microsoft.com/office/drawing/2014/chart" uri="{C3380CC4-5D6E-409C-BE32-E72D297353CC}">
              <c16:uniqueId val="{00000005-2484-4C79-AE55-FEC915510462}"/>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'Ch3. Granted patents'!$S$59:$AD$59</c15:sqref>
                  </c15:fullRef>
                </c:ext>
              </c:extLst>
              <c:f>'Ch3. Granted patents'!$U$59:$AD$59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patents'!$S$66:$AD$66</c15:sqref>
                  </c15:fullRef>
                </c:ext>
              </c:extLst>
              <c:f>'Ch3. Granted patents'!$U$66:$AD$66</c:f>
              <c:numCache>
                <c:formatCode>#,##0</c:formatCode>
                <c:ptCount val="10"/>
                <c:pt idx="0">
                  <c:v>1167196</c:v>
                </c:pt>
                <c:pt idx="1">
                  <c:v>1230238</c:v>
                </c:pt>
                <c:pt idx="2">
                  <c:v>1342619</c:v>
                </c:pt>
                <c:pt idx="3">
                  <c:v>1386700</c:v>
                </c:pt>
                <c:pt idx="4">
                  <c:v>1421130</c:v>
                </c:pt>
                <c:pt idx="5">
                  <c:v>1497612</c:v>
                </c:pt>
                <c:pt idx="6">
                  <c:v>1594237</c:v>
                </c:pt>
                <c:pt idx="7">
                  <c:v>1747483</c:v>
                </c:pt>
                <c:pt idx="8">
                  <c:v>1820258</c:v>
                </c:pt>
                <c:pt idx="9">
                  <c:v>2003907</c:v>
                </c:pt>
              </c:numCache>
            </c:numRef>
          </c:val>
          <c:extLst>
            <c:ext xmlns:c16="http://schemas.microsoft.com/office/drawing/2014/chart" uri="{C3380CC4-5D6E-409C-BE32-E72D297353CC}">
              <c16:uniqueId val="{00000006-2484-4C79-AE55-FEC915510462}"/>
            </c:ext>
          </c:extLst>
        </c:ser>
        <c:dLbls>
          <c:showLegendKey val="0"/>
          <c:showVal val="0"/>
          <c:showCatName val="0"/>
          <c:showSerName val="0"/>
          <c:showPercent val="0"/>
          <c:showBubbleSize val="0"/>
        </c:dLbls>
        <c:gapWidth val="10"/>
        <c:overlap val="100"/>
        <c:axId val="1787987840"/>
        <c:axId val="1787988928"/>
      </c:barChart>
      <c:catAx>
        <c:axId val="178798784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7988928"/>
        <c:crosses val="autoZero"/>
        <c:auto val="1"/>
        <c:lblAlgn val="ctr"/>
        <c:lblOffset val="100"/>
        <c:noMultiLvlLbl val="0"/>
      </c:catAx>
      <c:valAx>
        <c:axId val="1787988928"/>
        <c:scaling>
          <c:orientation val="minMax"/>
          <c:max val="2200000"/>
          <c:min val="0"/>
        </c:scaling>
        <c:delete val="1"/>
        <c:axPos val="l"/>
        <c:numFmt formatCode="#,##0" sourceLinked="1"/>
        <c:majorTickMark val="out"/>
        <c:minorTickMark val="none"/>
        <c:tickLblPos val="nextTo"/>
        <c:crossAx val="1787987840"/>
        <c:crosses val="autoZero"/>
        <c:crossBetween val="between"/>
      </c:valAx>
      <c:spPr>
        <a:noFill/>
        <a:ln>
          <a:noFill/>
        </a:ln>
        <a:effectLst/>
      </c:spPr>
    </c:plotArea>
    <c:legend>
      <c:legendPos val="r"/>
      <c:legendEntry>
        <c:idx val="0"/>
        <c:delete val="1"/>
      </c:legendEntry>
      <c:layout>
        <c:manualLayout>
          <c:xMode val="edge"/>
          <c:yMode val="edge"/>
          <c:x val="0.86950446194225695"/>
          <c:y val="0.30140987090789401"/>
          <c:w val="0.12478125234345699"/>
          <c:h val="0.5169636452480880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8d450abb-4c1f-4a99-a9e8-7a16476502cb}"/>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Fig.3.12: WORLDWIDE PATENTS GRANTED - FILING BLOC</a:t>
            </a:r>
          </a:p>
        </c:rich>
      </c:tx>
      <c:overlay val="0"/>
      <c:spPr>
        <a:noFill/>
        <a:ln>
          <a:noFill/>
        </a:ln>
        <a:effectLst/>
      </c:spPr>
    </c:title>
    <c:autoTitleDeleted val="0"/>
    <c:plotArea>
      <c:layout>
        <c:manualLayout>
          <c:layoutTarget val="inner"/>
          <c:xMode val="edge"/>
          <c:yMode val="edge"/>
          <c:x val="2.0915033462556399E-2"/>
          <c:y val="0.11113108614232201"/>
          <c:w val="0.84121656925780497"/>
          <c:h val="0.80822955557521603"/>
        </c:manualLayout>
      </c:layout>
      <c:barChart>
        <c:barDir val="col"/>
        <c:grouping val="stacked"/>
        <c:varyColors val="0"/>
        <c:ser>
          <c:idx val="7"/>
          <c:order val="0"/>
          <c:tx>
            <c:strRef>
              <c:f>'Ch3. Granted patents'!$A$75</c:f>
              <c:strCache>
                <c:ptCount val="1"/>
                <c:pt idx="0">
                  <c:v>Others</c:v>
                </c:pt>
              </c:strCache>
            </c:strRef>
          </c:tx>
          <c:spPr>
            <a:solidFill>
              <a:schemeClr val="accent2"/>
            </a:solidFill>
          </c:spPr>
          <c:invertIfNegative val="0"/>
          <c:cat>
            <c:numRef>
              <c:extLst>
                <c:ext xmlns:c15="http://schemas.microsoft.com/office/drawing/2012/chart" uri="{02D57815-91ED-43cb-92C2-25804820EDAC}">
                  <c15:fullRef>
                    <c15:sqref>'Ch3. Granted patents'!$S$69:$AD$69</c15:sqref>
                  </c15:fullRef>
                </c:ext>
              </c:extLst>
              <c:f>'Ch3. Granted patents'!$U$69:$AD$69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patents'!$S$75:$AD$75</c15:sqref>
                  </c15:fullRef>
                </c:ext>
              </c:extLst>
              <c:f>'Ch3. Granted patents'!$U$75:$AD$75</c:f>
              <c:numCache>
                <c:formatCode>#,##0</c:formatCode>
                <c:ptCount val="10"/>
                <c:pt idx="0">
                  <c:v>155016</c:v>
                </c:pt>
                <c:pt idx="1">
                  <c:v>155568</c:v>
                </c:pt>
                <c:pt idx="2">
                  <c:v>166860</c:v>
                </c:pt>
                <c:pt idx="3">
                  <c:v>164209</c:v>
                </c:pt>
                <c:pt idx="4">
                  <c:v>179879</c:v>
                </c:pt>
                <c:pt idx="5">
                  <c:v>183530</c:v>
                </c:pt>
                <c:pt idx="6">
                  <c:v>198941</c:v>
                </c:pt>
                <c:pt idx="7">
                  <c:v>211924</c:v>
                </c:pt>
                <c:pt idx="8" formatCode="#,##0_);[Red]\(#,##0\)">
                  <c:v>207747</c:v>
                </c:pt>
                <c:pt idx="9" formatCode="#,##0_);[Red]\(#,##0\)">
                  <c:v>251214</c:v>
                </c:pt>
              </c:numCache>
            </c:numRef>
          </c:val>
          <c:extLst>
            <c:ext xmlns:c16="http://schemas.microsoft.com/office/drawing/2014/chart" uri="{C3380CC4-5D6E-409C-BE32-E72D297353CC}">
              <c16:uniqueId val="{00000000-C978-4D53-B5F9-3BBB3FA36850}"/>
            </c:ext>
          </c:extLst>
        </c:ser>
        <c:ser>
          <c:idx val="8"/>
          <c:order val="1"/>
          <c:tx>
            <c:strRef>
              <c:f>'Ch3. Granted patents'!$A$74</c:f>
              <c:strCache>
                <c:ptCount val="1"/>
                <c:pt idx="0">
                  <c:v>U.S.</c:v>
                </c:pt>
              </c:strCache>
            </c:strRef>
          </c:tx>
          <c:spPr>
            <a:solidFill>
              <a:srgbClr val="008000"/>
            </a:solidFill>
          </c:spPr>
          <c:invertIfNegative val="0"/>
          <c:cat>
            <c:numRef>
              <c:extLst>
                <c:ext xmlns:c15="http://schemas.microsoft.com/office/drawing/2012/chart" uri="{02D57815-91ED-43cb-92C2-25804820EDAC}">
                  <c15:fullRef>
                    <c15:sqref>'Ch3. Granted patents'!$S$69:$AD$69</c15:sqref>
                  </c15:fullRef>
                </c:ext>
              </c:extLst>
              <c:f>'Ch3. Granted patents'!$U$69:$AD$69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patents'!$S$74:$AD$74</c15:sqref>
                  </c15:fullRef>
                </c:ext>
              </c:extLst>
              <c:f>'Ch3. Granted patents'!$U$74:$AD$74</c:f>
              <c:numCache>
                <c:formatCode>#,##0</c:formatCode>
                <c:ptCount val="10"/>
                <c:pt idx="0">
                  <c:v>300678</c:v>
                </c:pt>
                <c:pt idx="1">
                  <c:v>298407</c:v>
                </c:pt>
                <c:pt idx="2">
                  <c:v>303049</c:v>
                </c:pt>
                <c:pt idx="3">
                  <c:v>318829</c:v>
                </c:pt>
                <c:pt idx="4">
                  <c:v>307759</c:v>
                </c:pt>
                <c:pt idx="5">
                  <c:v>354430</c:v>
                </c:pt>
                <c:pt idx="6">
                  <c:v>351993</c:v>
                </c:pt>
                <c:pt idx="7">
                  <c:v>327307</c:v>
                </c:pt>
                <c:pt idx="8" formatCode="#,##0_);[Red]\(#,##0\)">
                  <c:v>323410</c:v>
                </c:pt>
                <c:pt idx="9" formatCode="#,##0_);[Red]\(#,##0\)">
                  <c:v>315245</c:v>
                </c:pt>
              </c:numCache>
            </c:numRef>
          </c:val>
          <c:extLst>
            <c:ext xmlns:c16="http://schemas.microsoft.com/office/drawing/2014/chart" uri="{C3380CC4-5D6E-409C-BE32-E72D297353CC}">
              <c16:uniqueId val="{00000001-C978-4D53-B5F9-3BBB3FA36850}"/>
            </c:ext>
          </c:extLst>
        </c:ser>
        <c:ser>
          <c:idx val="9"/>
          <c:order val="2"/>
          <c:tx>
            <c:strRef>
              <c:f>'Ch3. Granted patents'!$A$73</c:f>
              <c:strCache>
                <c:ptCount val="1"/>
                <c:pt idx="0">
                  <c:v>P.R. China</c:v>
                </c:pt>
              </c:strCache>
            </c:strRef>
          </c:tx>
          <c:spPr>
            <a:solidFill>
              <a:srgbClr val="FFC000"/>
            </a:solidFill>
          </c:spPr>
          <c:invertIfNegative val="0"/>
          <c:cat>
            <c:numRef>
              <c:extLst>
                <c:ext xmlns:c15="http://schemas.microsoft.com/office/drawing/2012/chart" uri="{02D57815-91ED-43cb-92C2-25804820EDAC}">
                  <c15:fullRef>
                    <c15:sqref>'Ch3. Granted patents'!$S$69:$AD$69</c15:sqref>
                  </c15:fullRef>
                </c:ext>
              </c:extLst>
              <c:f>'Ch3. Granted patents'!$U$69:$AD$69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patents'!$S$73:$AD$73</c15:sqref>
                  </c15:fullRef>
                </c:ext>
              </c:extLst>
              <c:f>'Ch3. Granted patents'!$U$73:$AD$73</c:f>
              <c:numCache>
                <c:formatCode>#,##0</c:formatCode>
                <c:ptCount val="10"/>
                <c:pt idx="0">
                  <c:v>233228</c:v>
                </c:pt>
                <c:pt idx="1">
                  <c:v>359316</c:v>
                </c:pt>
                <c:pt idx="2">
                  <c:v>404208</c:v>
                </c:pt>
                <c:pt idx="3">
                  <c:v>420144</c:v>
                </c:pt>
                <c:pt idx="4">
                  <c:v>432147</c:v>
                </c:pt>
                <c:pt idx="5">
                  <c:v>452804</c:v>
                </c:pt>
                <c:pt idx="6">
                  <c:v>530127</c:v>
                </c:pt>
                <c:pt idx="7">
                  <c:v>695946</c:v>
                </c:pt>
                <c:pt idx="8" formatCode="#,##0_);[Red]\(#,##0\)">
                  <c:v>798347</c:v>
                </c:pt>
                <c:pt idx="9" formatCode="#,##0_);[Red]\(#,##0\)">
                  <c:v>920797</c:v>
                </c:pt>
              </c:numCache>
            </c:numRef>
          </c:val>
          <c:extLst>
            <c:ext xmlns:c16="http://schemas.microsoft.com/office/drawing/2014/chart" uri="{C3380CC4-5D6E-409C-BE32-E72D297353CC}">
              <c16:uniqueId val="{00000002-C978-4D53-B5F9-3BBB3FA36850}"/>
            </c:ext>
          </c:extLst>
        </c:ser>
        <c:ser>
          <c:idx val="10"/>
          <c:order val="3"/>
          <c:tx>
            <c:strRef>
              <c:f>'Ch3. Granted patents'!$A$72</c:f>
              <c:strCache>
                <c:ptCount val="1"/>
                <c:pt idx="0">
                  <c:v>R. Korea</c:v>
                </c:pt>
              </c:strCache>
            </c:strRef>
          </c:tx>
          <c:spPr>
            <a:solidFill>
              <a:srgbClr val="7030A0"/>
            </a:solidFill>
          </c:spPr>
          <c:invertIfNegative val="0"/>
          <c:cat>
            <c:numRef>
              <c:extLst>
                <c:ext xmlns:c15="http://schemas.microsoft.com/office/drawing/2012/chart" uri="{02D57815-91ED-43cb-92C2-25804820EDAC}">
                  <c15:fullRef>
                    <c15:sqref>'Ch3. Granted patents'!$S$69:$AD$69</c15:sqref>
                  </c15:fullRef>
                </c:ext>
              </c:extLst>
              <c:f>'Ch3. Granted patents'!$U$69:$AD$69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patents'!$S$72:$AD$72</c15:sqref>
                  </c15:fullRef>
                </c:ext>
              </c:extLst>
              <c:f>'Ch3. Granted patents'!$U$72:$AD$72</c:f>
              <c:numCache>
                <c:formatCode>#,##0</c:formatCode>
                <c:ptCount val="10"/>
                <c:pt idx="0">
                  <c:v>129786</c:v>
                </c:pt>
                <c:pt idx="1">
                  <c:v>101873</c:v>
                </c:pt>
                <c:pt idx="2">
                  <c:v>108875</c:v>
                </c:pt>
                <c:pt idx="3">
                  <c:v>120662</c:v>
                </c:pt>
                <c:pt idx="4">
                  <c:v>119012</c:v>
                </c:pt>
                <c:pt idx="5">
                  <c:v>125661</c:v>
                </c:pt>
                <c:pt idx="6">
                  <c:v>134766</c:v>
                </c:pt>
                <c:pt idx="7">
                  <c:v>145882</c:v>
                </c:pt>
                <c:pt idx="8" formatCode="#,##0_);[Red]\(#,##0\)">
                  <c:v>135180</c:v>
                </c:pt>
                <c:pt idx="9" formatCode="#,##0_);[Red]\(#,##0\)">
                  <c:v>134734</c:v>
                </c:pt>
              </c:numCache>
            </c:numRef>
          </c:val>
          <c:extLst>
            <c:ext xmlns:c16="http://schemas.microsoft.com/office/drawing/2014/chart" uri="{C3380CC4-5D6E-409C-BE32-E72D297353CC}">
              <c16:uniqueId val="{00000003-C978-4D53-B5F9-3BBB3FA36850}"/>
            </c:ext>
          </c:extLst>
        </c:ser>
        <c:ser>
          <c:idx val="11"/>
          <c:order val="4"/>
          <c:tx>
            <c:strRef>
              <c:f>'Ch3. Granted patents'!$A$71</c:f>
              <c:strCache>
                <c:ptCount val="1"/>
                <c:pt idx="0">
                  <c:v>Japan</c:v>
                </c:pt>
              </c:strCache>
            </c:strRef>
          </c:tx>
          <c:spPr>
            <a:solidFill>
              <a:srgbClr val="FF0000"/>
            </a:solidFill>
          </c:spPr>
          <c:invertIfNegative val="0"/>
          <c:cat>
            <c:numRef>
              <c:extLst>
                <c:ext xmlns:c15="http://schemas.microsoft.com/office/drawing/2012/chart" uri="{02D57815-91ED-43cb-92C2-25804820EDAC}">
                  <c15:fullRef>
                    <c15:sqref>'Ch3. Granted patents'!$S$69:$AD$69</c15:sqref>
                  </c15:fullRef>
                </c:ext>
              </c:extLst>
              <c:f>'Ch3. Granted patents'!$U$69:$AD$69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patents'!$S$71:$AD$71</c15:sqref>
                  </c15:fullRef>
                </c:ext>
              </c:extLst>
              <c:f>'Ch3. Granted patents'!$U$71:$AD$71</c:f>
              <c:numCache>
                <c:formatCode>#,##0</c:formatCode>
                <c:ptCount val="10"/>
                <c:pt idx="0">
                  <c:v>227142</c:v>
                </c:pt>
                <c:pt idx="1">
                  <c:v>189358</c:v>
                </c:pt>
                <c:pt idx="2">
                  <c:v>203087</c:v>
                </c:pt>
                <c:pt idx="3">
                  <c:v>199577</c:v>
                </c:pt>
                <c:pt idx="4">
                  <c:v>194525</c:v>
                </c:pt>
                <c:pt idx="5">
                  <c:v>179910</c:v>
                </c:pt>
                <c:pt idx="6">
                  <c:v>179383</c:v>
                </c:pt>
                <c:pt idx="7">
                  <c:v>184372</c:v>
                </c:pt>
                <c:pt idx="8" formatCode="#,##0_);[Red]\(#,##0\)">
                  <c:v>201420</c:v>
                </c:pt>
                <c:pt idx="9" formatCode="#,##0_);[Red]\(#,##0\)">
                  <c:v>209368</c:v>
                </c:pt>
              </c:numCache>
            </c:numRef>
          </c:val>
          <c:extLst>
            <c:ext xmlns:c16="http://schemas.microsoft.com/office/drawing/2014/chart" uri="{C3380CC4-5D6E-409C-BE32-E72D297353CC}">
              <c16:uniqueId val="{00000004-C978-4D53-B5F9-3BBB3FA36850}"/>
            </c:ext>
          </c:extLst>
        </c:ser>
        <c:ser>
          <c:idx val="12"/>
          <c:order val="5"/>
          <c:tx>
            <c:strRef>
              <c:f>'Ch3. Granted patents'!$A$70</c:f>
              <c:strCache>
                <c:ptCount val="1"/>
                <c:pt idx="0">
                  <c:v>EPC states</c:v>
                </c:pt>
              </c:strCache>
            </c:strRef>
          </c:tx>
          <c:spPr>
            <a:solidFill>
              <a:schemeClr val="accent1"/>
            </a:solidFill>
          </c:spPr>
          <c:invertIfNegative val="0"/>
          <c:cat>
            <c:numRef>
              <c:extLst>
                <c:ext xmlns:c15="http://schemas.microsoft.com/office/drawing/2012/chart" uri="{02D57815-91ED-43cb-92C2-25804820EDAC}">
                  <c15:fullRef>
                    <c15:sqref>'Ch3. Granted patents'!$S$69:$AD$69</c15:sqref>
                  </c15:fullRef>
                </c:ext>
              </c:extLst>
              <c:f>'Ch3. Granted patents'!$U$69:$AD$69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patents'!$S$70:$AD$70</c15:sqref>
                  </c15:fullRef>
                </c:ext>
              </c:extLst>
              <c:f>'Ch3. Granted patents'!$U$70:$AD$70</c:f>
              <c:numCache>
                <c:formatCode>#,##0</c:formatCode>
                <c:ptCount val="10"/>
                <c:pt idx="0">
                  <c:v>121346</c:v>
                </c:pt>
                <c:pt idx="1">
                  <c:v>125716</c:v>
                </c:pt>
                <c:pt idx="2">
                  <c:v>156540</c:v>
                </c:pt>
                <c:pt idx="3">
                  <c:v>163279</c:v>
                </c:pt>
                <c:pt idx="4">
                  <c:v>187808</c:v>
                </c:pt>
                <c:pt idx="5">
                  <c:v>201277</c:v>
                </c:pt>
                <c:pt idx="6">
                  <c:v>199027</c:v>
                </c:pt>
                <c:pt idx="7">
                  <c:v>182052</c:v>
                </c:pt>
                <c:pt idx="8" formatCode="#,##0_);[Red]\(#,##0\)">
                  <c:v>154154</c:v>
                </c:pt>
                <c:pt idx="9" formatCode="#,##0_);[Red]\(#,##0\)">
                  <c:v>172549</c:v>
                </c:pt>
              </c:numCache>
            </c:numRef>
          </c:val>
          <c:extLst>
            <c:ext xmlns:c16="http://schemas.microsoft.com/office/drawing/2014/chart" uri="{C3380CC4-5D6E-409C-BE32-E72D297353CC}">
              <c16:uniqueId val="{00000005-C978-4D53-B5F9-3BBB3FA36850}"/>
            </c:ext>
          </c:extLst>
        </c:ser>
        <c:ser>
          <c:idx val="13"/>
          <c:order val="6"/>
          <c:spPr>
            <a:noFill/>
          </c:spPr>
          <c:invertIfNegative val="0"/>
          <c:cat>
            <c:numRef>
              <c:extLst>
                <c:ext xmlns:c15="http://schemas.microsoft.com/office/drawing/2012/chart" uri="{02D57815-91ED-43cb-92C2-25804820EDAC}">
                  <c15:fullRef>
                    <c15:sqref>'Ch3. Granted patents'!$S$69:$AD$69</c15:sqref>
                  </c15:fullRef>
                </c:ext>
              </c:extLst>
              <c:f>'Ch3. Granted patents'!$U$69:$AD$69</c:f>
              <c:numCache>
                <c:formatCode>General</c:formatCode>
                <c:ptCount val="10"/>
                <c:pt idx="0">
                  <c:v>2014</c:v>
                </c:pt>
                <c:pt idx="1">
                  <c:v>2015</c:v>
                </c:pt>
                <c:pt idx="2">
                  <c:v>2016</c:v>
                </c:pt>
                <c:pt idx="3">
                  <c:v>2017</c:v>
                </c:pt>
                <c:pt idx="4">
                  <c:v>2018</c:v>
                </c:pt>
                <c:pt idx="5">
                  <c:v>2019</c:v>
                </c:pt>
                <c:pt idx="6">
                  <c:v>2020</c:v>
                </c:pt>
                <c:pt idx="7">
                  <c:v>2021</c:v>
                </c:pt>
                <c:pt idx="8">
                  <c:v>2022</c:v>
                </c:pt>
                <c:pt idx="9">
                  <c:v>2023</c:v>
                </c:pt>
              </c:numCache>
            </c:numRef>
          </c:cat>
          <c:val>
            <c:numRef>
              <c:extLst>
                <c:ext xmlns:c15="http://schemas.microsoft.com/office/drawing/2012/chart" uri="{02D57815-91ED-43cb-92C2-25804820EDAC}">
                  <c15:fullRef>
                    <c15:sqref>'Ch3. Granted patents'!$S$76:$AD$76</c15:sqref>
                  </c15:fullRef>
                </c:ext>
              </c:extLst>
              <c:f>'Ch3. Granted patents'!$U$76:$AD$76</c:f>
              <c:numCache>
                <c:formatCode>#,##0</c:formatCode>
                <c:ptCount val="10"/>
                <c:pt idx="0">
                  <c:v>1167196</c:v>
                </c:pt>
                <c:pt idx="1">
                  <c:v>1230238</c:v>
                </c:pt>
                <c:pt idx="2">
                  <c:v>1342619</c:v>
                </c:pt>
                <c:pt idx="3">
                  <c:v>1386700</c:v>
                </c:pt>
                <c:pt idx="4">
                  <c:v>1421130</c:v>
                </c:pt>
                <c:pt idx="5">
                  <c:v>1497612</c:v>
                </c:pt>
                <c:pt idx="6">
                  <c:v>1594237</c:v>
                </c:pt>
                <c:pt idx="7">
                  <c:v>1747483</c:v>
                </c:pt>
                <c:pt idx="8">
                  <c:v>1820258</c:v>
                </c:pt>
                <c:pt idx="9">
                  <c:v>2003907</c:v>
                </c:pt>
              </c:numCache>
            </c:numRef>
          </c:val>
          <c:extLst>
            <c:ext xmlns:c16="http://schemas.microsoft.com/office/drawing/2014/chart" uri="{C3380CC4-5D6E-409C-BE32-E72D297353CC}">
              <c16:uniqueId val="{00000006-C978-4D53-B5F9-3BBB3FA36850}"/>
            </c:ext>
          </c:extLst>
        </c:ser>
        <c:ser>
          <c:idx val="0"/>
          <c:order val="7"/>
          <c:tx>
            <c:strRef>
              <c:f>'Ch3. Granted patents'!$A$75</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extLst>
                <c:ext xmlns:c15="http://schemas.microsoft.com/office/drawing/2012/chart" uri="{02D57815-91ED-43cb-92C2-25804820EDAC}">
                  <c15:fullRef>
                    <c15:sqref>'Ch3. Granted patents'!$U$69:$AD$69</c15:sqref>
                  </c15:fullRef>
                </c:ext>
              </c:extLst>
              <c:f>'Ch3. Granted patents'!$W$69:$AD$69</c:f>
              <c:numCache>
                <c:formatCode>General</c:formatCode>
                <c:ptCount val="8"/>
                <c:pt idx="0">
                  <c:v>2016</c:v>
                </c:pt>
                <c:pt idx="1">
                  <c:v>2017</c:v>
                </c:pt>
                <c:pt idx="2">
                  <c:v>2018</c:v>
                </c:pt>
                <c:pt idx="3">
                  <c:v>2019</c:v>
                </c:pt>
                <c:pt idx="4">
                  <c:v>2020</c:v>
                </c:pt>
                <c:pt idx="5">
                  <c:v>2021</c:v>
                </c:pt>
                <c:pt idx="6">
                  <c:v>2022</c:v>
                </c:pt>
                <c:pt idx="7">
                  <c:v>2023</c:v>
                </c:pt>
              </c:numCache>
            </c:numRef>
          </c:cat>
          <c:val>
            <c:numRef>
              <c:extLst>
                <c:ext xmlns:c15="http://schemas.microsoft.com/office/drawing/2012/chart" uri="{02D57815-91ED-43cb-92C2-25804820EDAC}">
                  <c15:fullRef>
                    <c15:sqref>'Ch3. Granted patents'!$U$75:$AD$75</c15:sqref>
                  </c15:fullRef>
                </c:ext>
              </c:extLst>
              <c:f>'Ch3. Granted patents'!$W$75:$AD$75</c:f>
              <c:numCache>
                <c:formatCode>#,##0</c:formatCode>
                <c:ptCount val="8"/>
                <c:pt idx="0">
                  <c:v>166860</c:v>
                </c:pt>
                <c:pt idx="1">
                  <c:v>164209</c:v>
                </c:pt>
                <c:pt idx="2">
                  <c:v>179879</c:v>
                </c:pt>
                <c:pt idx="3">
                  <c:v>183530</c:v>
                </c:pt>
                <c:pt idx="4">
                  <c:v>198941</c:v>
                </c:pt>
                <c:pt idx="5">
                  <c:v>211924</c:v>
                </c:pt>
                <c:pt idx="6" formatCode="#,##0_);[Red]\(#,##0\)">
                  <c:v>207747</c:v>
                </c:pt>
                <c:pt idx="7" formatCode="#,##0_);[Red]\(#,##0\)">
                  <c:v>251214</c:v>
                </c:pt>
              </c:numCache>
            </c:numRef>
          </c:val>
          <c:extLst>
            <c:ext xmlns:c16="http://schemas.microsoft.com/office/drawing/2014/chart" uri="{C3380CC4-5D6E-409C-BE32-E72D297353CC}">
              <c16:uniqueId val="{00000007-C978-4D53-B5F9-3BBB3FA36850}"/>
            </c:ext>
          </c:extLst>
        </c:ser>
        <c:ser>
          <c:idx val="1"/>
          <c:order val="8"/>
          <c:tx>
            <c:strRef>
              <c:f>'Ch3. Granted patents'!$A$74</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extLst>
                <c:ext xmlns:c15="http://schemas.microsoft.com/office/drawing/2012/chart" uri="{02D57815-91ED-43cb-92C2-25804820EDAC}">
                  <c15:fullRef>
                    <c15:sqref>'Ch3. Granted patents'!$U$69:$AD$69</c15:sqref>
                  </c15:fullRef>
                </c:ext>
              </c:extLst>
              <c:f>'Ch3. Granted patents'!$W$69:$AD$69</c:f>
              <c:numCache>
                <c:formatCode>General</c:formatCode>
                <c:ptCount val="8"/>
                <c:pt idx="0">
                  <c:v>2016</c:v>
                </c:pt>
                <c:pt idx="1">
                  <c:v>2017</c:v>
                </c:pt>
                <c:pt idx="2">
                  <c:v>2018</c:v>
                </c:pt>
                <c:pt idx="3">
                  <c:v>2019</c:v>
                </c:pt>
                <c:pt idx="4">
                  <c:v>2020</c:v>
                </c:pt>
                <c:pt idx="5">
                  <c:v>2021</c:v>
                </c:pt>
                <c:pt idx="6">
                  <c:v>2022</c:v>
                </c:pt>
                <c:pt idx="7">
                  <c:v>2023</c:v>
                </c:pt>
              </c:numCache>
            </c:numRef>
          </c:cat>
          <c:val>
            <c:numRef>
              <c:extLst>
                <c:ext xmlns:c15="http://schemas.microsoft.com/office/drawing/2012/chart" uri="{02D57815-91ED-43cb-92C2-25804820EDAC}">
                  <c15:fullRef>
                    <c15:sqref>'Ch3. Granted patents'!$U$74:$AD$74</c15:sqref>
                  </c15:fullRef>
                </c:ext>
              </c:extLst>
              <c:f>'Ch3. Granted patents'!$W$74:$AD$74</c:f>
              <c:numCache>
                <c:formatCode>#,##0</c:formatCode>
                <c:ptCount val="8"/>
                <c:pt idx="0">
                  <c:v>303049</c:v>
                </c:pt>
                <c:pt idx="1">
                  <c:v>318829</c:v>
                </c:pt>
                <c:pt idx="2">
                  <c:v>307759</c:v>
                </c:pt>
                <c:pt idx="3">
                  <c:v>354430</c:v>
                </c:pt>
                <c:pt idx="4">
                  <c:v>351993</c:v>
                </c:pt>
                <c:pt idx="5">
                  <c:v>327307</c:v>
                </c:pt>
                <c:pt idx="6" formatCode="#,##0_);[Red]\(#,##0\)">
                  <c:v>323410</c:v>
                </c:pt>
                <c:pt idx="7" formatCode="#,##0_);[Red]\(#,##0\)">
                  <c:v>315245</c:v>
                </c:pt>
              </c:numCache>
            </c:numRef>
          </c:val>
          <c:extLst>
            <c:ext xmlns:c16="http://schemas.microsoft.com/office/drawing/2014/chart" uri="{C3380CC4-5D6E-409C-BE32-E72D297353CC}">
              <c16:uniqueId val="{00000008-C978-4D53-B5F9-3BBB3FA36850}"/>
            </c:ext>
          </c:extLst>
        </c:ser>
        <c:ser>
          <c:idx val="2"/>
          <c:order val="9"/>
          <c:tx>
            <c:strRef>
              <c:f>'Ch3. Granted patents'!$A$73</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extLst>
                <c:ext xmlns:c15="http://schemas.microsoft.com/office/drawing/2012/chart" uri="{02D57815-91ED-43cb-92C2-25804820EDAC}">
                  <c15:fullRef>
                    <c15:sqref>'Ch3. Granted patents'!$U$69:$AD$69</c15:sqref>
                  </c15:fullRef>
                </c:ext>
              </c:extLst>
              <c:f>'Ch3. Granted patents'!$W$69:$AD$69</c:f>
              <c:numCache>
                <c:formatCode>General</c:formatCode>
                <c:ptCount val="8"/>
                <c:pt idx="0">
                  <c:v>2016</c:v>
                </c:pt>
                <c:pt idx="1">
                  <c:v>2017</c:v>
                </c:pt>
                <c:pt idx="2">
                  <c:v>2018</c:v>
                </c:pt>
                <c:pt idx="3">
                  <c:v>2019</c:v>
                </c:pt>
                <c:pt idx="4">
                  <c:v>2020</c:v>
                </c:pt>
                <c:pt idx="5">
                  <c:v>2021</c:v>
                </c:pt>
                <c:pt idx="6">
                  <c:v>2022</c:v>
                </c:pt>
                <c:pt idx="7">
                  <c:v>2023</c:v>
                </c:pt>
              </c:numCache>
            </c:numRef>
          </c:cat>
          <c:val>
            <c:numRef>
              <c:extLst>
                <c:ext xmlns:c15="http://schemas.microsoft.com/office/drawing/2012/chart" uri="{02D57815-91ED-43cb-92C2-25804820EDAC}">
                  <c15:fullRef>
                    <c15:sqref>'Ch3. Granted patents'!$U$73:$AD$73</c15:sqref>
                  </c15:fullRef>
                </c:ext>
              </c:extLst>
              <c:f>'Ch3. Granted patents'!$W$73:$AD$73</c:f>
              <c:numCache>
                <c:formatCode>#,##0</c:formatCode>
                <c:ptCount val="8"/>
                <c:pt idx="0">
                  <c:v>404208</c:v>
                </c:pt>
                <c:pt idx="1">
                  <c:v>420144</c:v>
                </c:pt>
                <c:pt idx="2">
                  <c:v>432147</c:v>
                </c:pt>
                <c:pt idx="3">
                  <c:v>452804</c:v>
                </c:pt>
                <c:pt idx="4">
                  <c:v>530127</c:v>
                </c:pt>
                <c:pt idx="5">
                  <c:v>695946</c:v>
                </c:pt>
                <c:pt idx="6" formatCode="#,##0_);[Red]\(#,##0\)">
                  <c:v>798347</c:v>
                </c:pt>
                <c:pt idx="7" formatCode="#,##0_);[Red]\(#,##0\)">
                  <c:v>920797</c:v>
                </c:pt>
              </c:numCache>
            </c:numRef>
          </c:val>
          <c:extLst>
            <c:ext xmlns:c16="http://schemas.microsoft.com/office/drawing/2014/chart" uri="{C3380CC4-5D6E-409C-BE32-E72D297353CC}">
              <c16:uniqueId val="{00000009-C978-4D53-B5F9-3BBB3FA36850}"/>
            </c:ext>
          </c:extLst>
        </c:ser>
        <c:ser>
          <c:idx val="3"/>
          <c:order val="10"/>
          <c:tx>
            <c:strRef>
              <c:f>'Ch3. Granted patents'!$A$72</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extLst>
                <c:ext xmlns:c15="http://schemas.microsoft.com/office/drawing/2012/chart" uri="{02D57815-91ED-43cb-92C2-25804820EDAC}">
                  <c15:fullRef>
                    <c15:sqref>'Ch3. Granted patents'!$U$69:$AD$69</c15:sqref>
                  </c15:fullRef>
                </c:ext>
              </c:extLst>
              <c:f>'Ch3. Granted patents'!$W$69:$AD$69</c:f>
              <c:numCache>
                <c:formatCode>General</c:formatCode>
                <c:ptCount val="8"/>
                <c:pt idx="0">
                  <c:v>2016</c:v>
                </c:pt>
                <c:pt idx="1">
                  <c:v>2017</c:v>
                </c:pt>
                <c:pt idx="2">
                  <c:v>2018</c:v>
                </c:pt>
                <c:pt idx="3">
                  <c:v>2019</c:v>
                </c:pt>
                <c:pt idx="4">
                  <c:v>2020</c:v>
                </c:pt>
                <c:pt idx="5">
                  <c:v>2021</c:v>
                </c:pt>
                <c:pt idx="6">
                  <c:v>2022</c:v>
                </c:pt>
                <c:pt idx="7">
                  <c:v>2023</c:v>
                </c:pt>
              </c:numCache>
            </c:numRef>
          </c:cat>
          <c:val>
            <c:numRef>
              <c:extLst>
                <c:ext xmlns:c15="http://schemas.microsoft.com/office/drawing/2012/chart" uri="{02D57815-91ED-43cb-92C2-25804820EDAC}">
                  <c15:fullRef>
                    <c15:sqref>'Ch3. Granted patents'!$U$72:$AD$72</c15:sqref>
                  </c15:fullRef>
                </c:ext>
              </c:extLst>
              <c:f>'Ch3. Granted patents'!$W$72:$AD$72</c:f>
              <c:numCache>
                <c:formatCode>#,##0</c:formatCode>
                <c:ptCount val="8"/>
                <c:pt idx="0">
                  <c:v>108875</c:v>
                </c:pt>
                <c:pt idx="1">
                  <c:v>120662</c:v>
                </c:pt>
                <c:pt idx="2">
                  <c:v>119012</c:v>
                </c:pt>
                <c:pt idx="3">
                  <c:v>125661</c:v>
                </c:pt>
                <c:pt idx="4">
                  <c:v>134766</c:v>
                </c:pt>
                <c:pt idx="5">
                  <c:v>145882</c:v>
                </c:pt>
                <c:pt idx="6" formatCode="#,##0_);[Red]\(#,##0\)">
                  <c:v>135180</c:v>
                </c:pt>
                <c:pt idx="7" formatCode="#,##0_);[Red]\(#,##0\)">
                  <c:v>134734</c:v>
                </c:pt>
              </c:numCache>
            </c:numRef>
          </c:val>
          <c:extLst>
            <c:ext xmlns:c16="http://schemas.microsoft.com/office/drawing/2014/chart" uri="{C3380CC4-5D6E-409C-BE32-E72D297353CC}">
              <c16:uniqueId val="{0000000A-C978-4D53-B5F9-3BBB3FA36850}"/>
            </c:ext>
          </c:extLst>
        </c:ser>
        <c:ser>
          <c:idx val="4"/>
          <c:order val="11"/>
          <c:tx>
            <c:strRef>
              <c:f>'Ch3. Granted patents'!$A$71</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extLst>
                <c:ext xmlns:c15="http://schemas.microsoft.com/office/drawing/2012/chart" uri="{02D57815-91ED-43cb-92C2-25804820EDAC}">
                  <c15:fullRef>
                    <c15:sqref>'Ch3. Granted patents'!$U$69:$AD$69</c15:sqref>
                  </c15:fullRef>
                </c:ext>
              </c:extLst>
              <c:f>'Ch3. Granted patents'!$W$69:$AD$69</c:f>
              <c:numCache>
                <c:formatCode>General</c:formatCode>
                <c:ptCount val="8"/>
                <c:pt idx="0">
                  <c:v>2016</c:v>
                </c:pt>
                <c:pt idx="1">
                  <c:v>2017</c:v>
                </c:pt>
                <c:pt idx="2">
                  <c:v>2018</c:v>
                </c:pt>
                <c:pt idx="3">
                  <c:v>2019</c:v>
                </c:pt>
                <c:pt idx="4">
                  <c:v>2020</c:v>
                </c:pt>
                <c:pt idx="5">
                  <c:v>2021</c:v>
                </c:pt>
                <c:pt idx="6">
                  <c:v>2022</c:v>
                </c:pt>
                <c:pt idx="7">
                  <c:v>2023</c:v>
                </c:pt>
              </c:numCache>
            </c:numRef>
          </c:cat>
          <c:val>
            <c:numRef>
              <c:extLst>
                <c:ext xmlns:c15="http://schemas.microsoft.com/office/drawing/2012/chart" uri="{02D57815-91ED-43cb-92C2-25804820EDAC}">
                  <c15:fullRef>
                    <c15:sqref>'Ch3. Granted patents'!$U$71:$AD$71</c15:sqref>
                  </c15:fullRef>
                </c:ext>
              </c:extLst>
              <c:f>'Ch3. Granted patents'!$W$71:$AD$71</c:f>
              <c:numCache>
                <c:formatCode>#,##0</c:formatCode>
                <c:ptCount val="8"/>
                <c:pt idx="0">
                  <c:v>203087</c:v>
                </c:pt>
                <c:pt idx="1">
                  <c:v>199577</c:v>
                </c:pt>
                <c:pt idx="2">
                  <c:v>194525</c:v>
                </c:pt>
                <c:pt idx="3">
                  <c:v>179910</c:v>
                </c:pt>
                <c:pt idx="4">
                  <c:v>179383</c:v>
                </c:pt>
                <c:pt idx="5">
                  <c:v>184372</c:v>
                </c:pt>
                <c:pt idx="6" formatCode="#,##0_);[Red]\(#,##0\)">
                  <c:v>201420</c:v>
                </c:pt>
                <c:pt idx="7" formatCode="#,##0_);[Red]\(#,##0\)">
                  <c:v>209368</c:v>
                </c:pt>
              </c:numCache>
            </c:numRef>
          </c:val>
          <c:extLst>
            <c:ext xmlns:c16="http://schemas.microsoft.com/office/drawing/2014/chart" uri="{C3380CC4-5D6E-409C-BE32-E72D297353CC}">
              <c16:uniqueId val="{0000000B-C978-4D53-B5F9-3BBB3FA36850}"/>
            </c:ext>
          </c:extLst>
        </c:ser>
        <c:ser>
          <c:idx val="5"/>
          <c:order val="12"/>
          <c:tx>
            <c:strRef>
              <c:f>'Ch3. Granted patents'!$A$70</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extLst>
                <c:ext xmlns:c15="http://schemas.microsoft.com/office/drawing/2012/chart" uri="{02D57815-91ED-43cb-92C2-25804820EDAC}">
                  <c15:fullRef>
                    <c15:sqref>'Ch3. Granted patents'!$U$69:$AD$69</c15:sqref>
                  </c15:fullRef>
                </c:ext>
              </c:extLst>
              <c:f>'Ch3. Granted patents'!$W$69:$AD$69</c:f>
              <c:numCache>
                <c:formatCode>General</c:formatCode>
                <c:ptCount val="8"/>
                <c:pt idx="0">
                  <c:v>2016</c:v>
                </c:pt>
                <c:pt idx="1">
                  <c:v>2017</c:v>
                </c:pt>
                <c:pt idx="2">
                  <c:v>2018</c:v>
                </c:pt>
                <c:pt idx="3">
                  <c:v>2019</c:v>
                </c:pt>
                <c:pt idx="4">
                  <c:v>2020</c:v>
                </c:pt>
                <c:pt idx="5">
                  <c:v>2021</c:v>
                </c:pt>
                <c:pt idx="6">
                  <c:v>2022</c:v>
                </c:pt>
                <c:pt idx="7">
                  <c:v>2023</c:v>
                </c:pt>
              </c:numCache>
            </c:numRef>
          </c:cat>
          <c:val>
            <c:numRef>
              <c:extLst>
                <c:ext xmlns:c15="http://schemas.microsoft.com/office/drawing/2012/chart" uri="{02D57815-91ED-43cb-92C2-25804820EDAC}">
                  <c15:fullRef>
                    <c15:sqref>'Ch3. Granted patents'!$U$70:$AD$70</c15:sqref>
                  </c15:fullRef>
                </c:ext>
              </c:extLst>
              <c:f>'Ch3. Granted patents'!$W$70:$AD$70</c:f>
              <c:numCache>
                <c:formatCode>#,##0</c:formatCode>
                <c:ptCount val="8"/>
                <c:pt idx="0">
                  <c:v>156540</c:v>
                </c:pt>
                <c:pt idx="1">
                  <c:v>163279</c:v>
                </c:pt>
                <c:pt idx="2">
                  <c:v>187808</c:v>
                </c:pt>
                <c:pt idx="3">
                  <c:v>201277</c:v>
                </c:pt>
                <c:pt idx="4">
                  <c:v>199027</c:v>
                </c:pt>
                <c:pt idx="5">
                  <c:v>182052</c:v>
                </c:pt>
                <c:pt idx="6" formatCode="#,##0_);[Red]\(#,##0\)">
                  <c:v>154154</c:v>
                </c:pt>
                <c:pt idx="7" formatCode="#,##0_);[Red]\(#,##0\)">
                  <c:v>172549</c:v>
                </c:pt>
              </c:numCache>
            </c:numRef>
          </c:val>
          <c:extLst>
            <c:ext xmlns:c16="http://schemas.microsoft.com/office/drawing/2014/chart" uri="{C3380CC4-5D6E-409C-BE32-E72D297353CC}">
              <c16:uniqueId val="{0000000C-C978-4D53-B5F9-3BBB3FA36850}"/>
            </c:ext>
          </c:extLst>
        </c:ser>
        <c:ser>
          <c:idx val="6"/>
          <c:order val="13"/>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numRef>
              <c:extLst>
                <c:ext xmlns:c15="http://schemas.microsoft.com/office/drawing/2012/chart" uri="{02D57815-91ED-43cb-92C2-25804820EDAC}">
                  <c15:fullRef>
                    <c15:sqref>'Ch3. Granted patents'!$U$69:$AD$69</c15:sqref>
                  </c15:fullRef>
                </c:ext>
              </c:extLst>
              <c:f>'Ch3. Granted patents'!$W$69:$AD$69</c:f>
              <c:numCache>
                <c:formatCode>General</c:formatCode>
                <c:ptCount val="8"/>
                <c:pt idx="0">
                  <c:v>2016</c:v>
                </c:pt>
                <c:pt idx="1">
                  <c:v>2017</c:v>
                </c:pt>
                <c:pt idx="2">
                  <c:v>2018</c:v>
                </c:pt>
                <c:pt idx="3">
                  <c:v>2019</c:v>
                </c:pt>
                <c:pt idx="4">
                  <c:v>2020</c:v>
                </c:pt>
                <c:pt idx="5">
                  <c:v>2021</c:v>
                </c:pt>
                <c:pt idx="6">
                  <c:v>2022</c:v>
                </c:pt>
                <c:pt idx="7">
                  <c:v>2023</c:v>
                </c:pt>
              </c:numCache>
            </c:numRef>
          </c:cat>
          <c:val>
            <c:numRef>
              <c:extLst>
                <c:ext xmlns:c15="http://schemas.microsoft.com/office/drawing/2012/chart" uri="{02D57815-91ED-43cb-92C2-25804820EDAC}">
                  <c15:fullRef>
                    <c15:sqref>'Ch3. Granted patents'!$U$76:$AD$76</c15:sqref>
                  </c15:fullRef>
                </c:ext>
              </c:extLst>
              <c:f>'Ch3. Granted patents'!$W$76:$AD$76</c:f>
              <c:numCache>
                <c:formatCode>#,##0</c:formatCode>
                <c:ptCount val="8"/>
                <c:pt idx="0">
                  <c:v>1342619</c:v>
                </c:pt>
                <c:pt idx="1">
                  <c:v>1386700</c:v>
                </c:pt>
                <c:pt idx="2">
                  <c:v>1421130</c:v>
                </c:pt>
                <c:pt idx="3">
                  <c:v>1497612</c:v>
                </c:pt>
                <c:pt idx="4">
                  <c:v>1594237</c:v>
                </c:pt>
                <c:pt idx="5">
                  <c:v>1747483</c:v>
                </c:pt>
                <c:pt idx="6">
                  <c:v>1820258</c:v>
                </c:pt>
                <c:pt idx="7">
                  <c:v>2003907</c:v>
                </c:pt>
              </c:numCache>
            </c:numRef>
          </c:val>
          <c:extLst>
            <c:ext xmlns:c16="http://schemas.microsoft.com/office/drawing/2014/chart" uri="{C3380CC4-5D6E-409C-BE32-E72D297353CC}">
              <c16:uniqueId val="{0000000D-C978-4D53-B5F9-3BBB3FA36850}"/>
            </c:ext>
          </c:extLst>
        </c:ser>
        <c:dLbls>
          <c:showLegendKey val="0"/>
          <c:showVal val="0"/>
          <c:showCatName val="0"/>
          <c:showSerName val="0"/>
          <c:showPercent val="0"/>
          <c:showBubbleSize val="0"/>
        </c:dLbls>
        <c:gapWidth val="10"/>
        <c:overlap val="100"/>
        <c:axId val="1787992192"/>
        <c:axId val="1787989472"/>
      </c:barChart>
      <c:catAx>
        <c:axId val="1787992192"/>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787989472"/>
        <c:crosses val="autoZero"/>
        <c:auto val="1"/>
        <c:lblAlgn val="ctr"/>
        <c:lblOffset val="100"/>
        <c:noMultiLvlLbl val="0"/>
      </c:catAx>
      <c:valAx>
        <c:axId val="1787989472"/>
        <c:scaling>
          <c:orientation val="minMax"/>
          <c:max val="2200000"/>
          <c:min val="0"/>
        </c:scaling>
        <c:delete val="1"/>
        <c:axPos val="l"/>
        <c:numFmt formatCode="#,##0" sourceLinked="1"/>
        <c:majorTickMark val="out"/>
        <c:minorTickMark val="none"/>
        <c:tickLblPos val="nextTo"/>
        <c:crossAx val="1787992192"/>
        <c:crosses val="autoZero"/>
        <c:crossBetween val="between"/>
      </c:valAx>
    </c:plotArea>
    <c:legend>
      <c:legendPos val="r"/>
      <c:legendEntry>
        <c:idx val="0"/>
        <c:delete val="1"/>
      </c:legendEntry>
      <c:layout>
        <c:manualLayout>
          <c:xMode val="edge"/>
          <c:yMode val="edge"/>
          <c:x val="0.86403296939877605"/>
          <c:y val="0.27987826240821001"/>
          <c:w val="0.128361563887567"/>
          <c:h val="0.494445722374591"/>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8ca93f5e-e36e-4de8-b6a5-7cce48efe86c}"/>
      </c:ext>
    </c:extLst>
  </c:chart>
  <c:spPr>
    <a:solidFill>
      <a:schemeClr val="bg1"/>
    </a:solidFill>
    <a:ln w="9525" cap="flat" cmpd="sng" algn="ctr">
      <a:solidFill>
        <a:schemeClr val="tx1"/>
      </a:solidFill>
      <a:prstDash val="solid"/>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1"/>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Fig.3.13: NATIONAL PATENT RIGHTS GRANTED - FILING BLOC</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0"/>
          <c:order val="0"/>
          <c:tx>
            <c:strRef>
              <c:f>'Ch3. Granted patents'!$A$88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patents'!$I$82:$AD$82</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patents'!$I$88:$AD$88</c:f>
              <c:numCache>
                <c:formatCode>#,##0</c:formatCode>
                <c:ptCount val="22"/>
                <c:pt idx="0">
                  <c:v>140592</c:v>
                </c:pt>
                <c:pt idx="1">
                  <c:v>141564.975438197</c:v>
                </c:pt>
                <c:pt idx="2">
                  <c:v>140109.73394753499</c:v>
                </c:pt>
                <c:pt idx="3">
                  <c:v>140291.56793636599</c:v>
                </c:pt>
                <c:pt idx="4">
                  <c:v>102062.85</c:v>
                </c:pt>
                <c:pt idx="5">
                  <c:v>105105</c:v>
                </c:pt>
                <c:pt idx="6">
                  <c:v>135011</c:v>
                </c:pt>
                <c:pt idx="7">
                  <c:v>129841</c:v>
                </c:pt>
                <c:pt idx="8">
                  <c:v>127465</c:v>
                </c:pt>
                <c:pt idx="9">
                  <c:v>142681.60000000001</c:v>
                </c:pt>
                <c:pt idx="10">
                  <c:v>163047</c:v>
                </c:pt>
                <c:pt idx="11">
                  <c:v>173164</c:v>
                </c:pt>
                <c:pt idx="12">
                  <c:v>183703</c:v>
                </c:pt>
                <c:pt idx="13">
                  <c:v>189324</c:v>
                </c:pt>
                <c:pt idx="14">
                  <c:v>205976</c:v>
                </c:pt>
                <c:pt idx="15">
                  <c:v>212645</c:v>
                </c:pt>
                <c:pt idx="16">
                  <c:v>225305</c:v>
                </c:pt>
                <c:pt idx="17">
                  <c:v>220979</c:v>
                </c:pt>
                <c:pt idx="18">
                  <c:v>240124</c:v>
                </c:pt>
                <c:pt idx="19">
                  <c:v>247708</c:v>
                </c:pt>
                <c:pt idx="20" formatCode="#,##0_);[Red]\(#,##0\)">
                  <c:v>247749</c:v>
                </c:pt>
                <c:pt idx="21" formatCode="#,##0_);[Red]\(#,##0\)">
                  <c:v>297165</c:v>
                </c:pt>
              </c:numCache>
            </c:numRef>
          </c:val>
          <c:extLst>
            <c:ext xmlns:c16="http://schemas.microsoft.com/office/drawing/2014/chart" uri="{C3380CC4-5D6E-409C-BE32-E72D297353CC}">
              <c16:uniqueId val="{00000000-65EA-467F-8CAF-823EC1613571}"/>
            </c:ext>
          </c:extLst>
        </c:ser>
        <c:ser>
          <c:idx val="1"/>
          <c:order val="1"/>
          <c:tx>
            <c:strRef>
              <c:f>'Ch3. Granted patents'!$A$87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patents'!$I$82:$AD$82</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patents'!$I$87:$AD$87</c:f>
              <c:numCache>
                <c:formatCode>#,##0</c:formatCode>
                <c:ptCount val="22"/>
                <c:pt idx="0">
                  <c:v>168928</c:v>
                </c:pt>
                <c:pt idx="1">
                  <c:v>170443</c:v>
                </c:pt>
                <c:pt idx="2">
                  <c:v>165607</c:v>
                </c:pt>
                <c:pt idx="3">
                  <c:v>144767</c:v>
                </c:pt>
                <c:pt idx="4">
                  <c:v>175439</c:v>
                </c:pt>
                <c:pt idx="5">
                  <c:v>157282</c:v>
                </c:pt>
                <c:pt idx="6">
                  <c:v>157772</c:v>
                </c:pt>
                <c:pt idx="7">
                  <c:v>167349</c:v>
                </c:pt>
                <c:pt idx="8">
                  <c:v>219614</c:v>
                </c:pt>
                <c:pt idx="9">
                  <c:v>224505</c:v>
                </c:pt>
                <c:pt idx="10">
                  <c:v>253155</c:v>
                </c:pt>
                <c:pt idx="11">
                  <c:v>277835</c:v>
                </c:pt>
                <c:pt idx="12">
                  <c:v>300678</c:v>
                </c:pt>
                <c:pt idx="13">
                  <c:v>298407</c:v>
                </c:pt>
                <c:pt idx="14">
                  <c:v>303049</c:v>
                </c:pt>
                <c:pt idx="15">
                  <c:v>318829</c:v>
                </c:pt>
                <c:pt idx="16">
                  <c:v>307759</c:v>
                </c:pt>
                <c:pt idx="17">
                  <c:v>354430</c:v>
                </c:pt>
                <c:pt idx="18">
                  <c:v>351993</c:v>
                </c:pt>
                <c:pt idx="19">
                  <c:v>327307</c:v>
                </c:pt>
                <c:pt idx="20" formatCode="#,##0_);[Red]\(#,##0\)">
                  <c:v>323410</c:v>
                </c:pt>
                <c:pt idx="21" formatCode="#,##0_);[Red]\(#,##0\)">
                  <c:v>315245</c:v>
                </c:pt>
              </c:numCache>
            </c:numRef>
          </c:val>
          <c:extLst>
            <c:ext xmlns:c16="http://schemas.microsoft.com/office/drawing/2014/chart" uri="{C3380CC4-5D6E-409C-BE32-E72D297353CC}">
              <c16:uniqueId val="{00000001-65EA-467F-8CAF-823EC1613571}"/>
            </c:ext>
          </c:extLst>
        </c:ser>
        <c:ser>
          <c:idx val="2"/>
          <c:order val="2"/>
          <c:tx>
            <c:strRef>
              <c:f>'Ch3. Granted patents'!$A$86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patents'!$I$82:$AD$82</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patents'!$I$86:$AD$86</c:f>
              <c:numCache>
                <c:formatCode>#,##0</c:formatCode>
                <c:ptCount val="22"/>
                <c:pt idx="0">
                  <c:v>21257</c:v>
                </c:pt>
                <c:pt idx="1">
                  <c:v>49356</c:v>
                </c:pt>
                <c:pt idx="2">
                  <c:v>49360</c:v>
                </c:pt>
                <c:pt idx="3">
                  <c:v>53305</c:v>
                </c:pt>
                <c:pt idx="4">
                  <c:v>57786</c:v>
                </c:pt>
                <c:pt idx="5">
                  <c:v>67948</c:v>
                </c:pt>
                <c:pt idx="6">
                  <c:v>93706</c:v>
                </c:pt>
                <c:pt idx="7">
                  <c:v>128489</c:v>
                </c:pt>
                <c:pt idx="8">
                  <c:v>135110</c:v>
                </c:pt>
                <c:pt idx="9">
                  <c:v>172113</c:v>
                </c:pt>
                <c:pt idx="10">
                  <c:v>217105</c:v>
                </c:pt>
                <c:pt idx="11">
                  <c:v>207688</c:v>
                </c:pt>
                <c:pt idx="12">
                  <c:v>233228</c:v>
                </c:pt>
                <c:pt idx="13">
                  <c:v>359316</c:v>
                </c:pt>
                <c:pt idx="14">
                  <c:v>404208</c:v>
                </c:pt>
                <c:pt idx="15">
                  <c:v>420144</c:v>
                </c:pt>
                <c:pt idx="16">
                  <c:v>432147</c:v>
                </c:pt>
                <c:pt idx="17">
                  <c:v>452804</c:v>
                </c:pt>
                <c:pt idx="18">
                  <c:v>530127</c:v>
                </c:pt>
                <c:pt idx="19">
                  <c:v>695946</c:v>
                </c:pt>
                <c:pt idx="20" formatCode="#,##0_);[Red]\(#,##0\)">
                  <c:v>798347</c:v>
                </c:pt>
                <c:pt idx="21" formatCode="#,##0_);[Red]\(#,##0\)">
                  <c:v>920797</c:v>
                </c:pt>
              </c:numCache>
            </c:numRef>
          </c:val>
          <c:extLst>
            <c:ext xmlns:c16="http://schemas.microsoft.com/office/drawing/2014/chart" uri="{C3380CC4-5D6E-409C-BE32-E72D297353CC}">
              <c16:uniqueId val="{00000002-65EA-467F-8CAF-823EC1613571}"/>
            </c:ext>
          </c:extLst>
        </c:ser>
        <c:ser>
          <c:idx val="3"/>
          <c:order val="3"/>
          <c:tx>
            <c:strRef>
              <c:f>'Ch3. Granted patents'!$A$85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patents'!$I$82:$AD$82</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patents'!$I$85:$AD$85</c:f>
              <c:numCache>
                <c:formatCode>#,##0</c:formatCode>
                <c:ptCount val="22"/>
                <c:pt idx="0">
                  <c:v>45046</c:v>
                </c:pt>
                <c:pt idx="1">
                  <c:v>44178</c:v>
                </c:pt>
                <c:pt idx="2">
                  <c:v>49068</c:v>
                </c:pt>
                <c:pt idx="3">
                  <c:v>73512</c:v>
                </c:pt>
                <c:pt idx="4">
                  <c:v>120790</c:v>
                </c:pt>
                <c:pt idx="5">
                  <c:v>123705</c:v>
                </c:pt>
                <c:pt idx="6">
                  <c:v>83523</c:v>
                </c:pt>
                <c:pt idx="7">
                  <c:v>56732</c:v>
                </c:pt>
                <c:pt idx="8">
                  <c:v>68843</c:v>
                </c:pt>
                <c:pt idx="9">
                  <c:v>94720</c:v>
                </c:pt>
                <c:pt idx="10">
                  <c:v>113467</c:v>
                </c:pt>
                <c:pt idx="11">
                  <c:v>127330</c:v>
                </c:pt>
                <c:pt idx="12">
                  <c:v>129786</c:v>
                </c:pt>
                <c:pt idx="13">
                  <c:v>101873</c:v>
                </c:pt>
                <c:pt idx="14">
                  <c:v>108875</c:v>
                </c:pt>
                <c:pt idx="15">
                  <c:v>120662</c:v>
                </c:pt>
                <c:pt idx="16">
                  <c:v>119012</c:v>
                </c:pt>
                <c:pt idx="17">
                  <c:v>125661</c:v>
                </c:pt>
                <c:pt idx="18">
                  <c:v>134766</c:v>
                </c:pt>
                <c:pt idx="19">
                  <c:v>145882</c:v>
                </c:pt>
                <c:pt idx="20" formatCode="#,##0_);[Red]\(#,##0\)">
                  <c:v>135180</c:v>
                </c:pt>
                <c:pt idx="21" formatCode="#,##0_);[Red]\(#,##0\)">
                  <c:v>134734</c:v>
                </c:pt>
              </c:numCache>
            </c:numRef>
          </c:val>
          <c:extLst>
            <c:ext xmlns:c16="http://schemas.microsoft.com/office/drawing/2014/chart" uri="{C3380CC4-5D6E-409C-BE32-E72D297353CC}">
              <c16:uniqueId val="{00000003-65EA-467F-8CAF-823EC1613571}"/>
            </c:ext>
          </c:extLst>
        </c:ser>
        <c:ser>
          <c:idx val="4"/>
          <c:order val="4"/>
          <c:tx>
            <c:strRef>
              <c:f>'Ch3. Granted patents'!$A$84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patents'!$I$82:$AD$82</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patents'!$I$84:$AD$84</c:f>
              <c:numCache>
                <c:formatCode>#,##0</c:formatCode>
                <c:ptCount val="22"/>
                <c:pt idx="0">
                  <c:v>119192</c:v>
                </c:pt>
                <c:pt idx="1">
                  <c:v>122522</c:v>
                </c:pt>
                <c:pt idx="2">
                  <c:v>124192</c:v>
                </c:pt>
                <c:pt idx="3">
                  <c:v>122944</c:v>
                </c:pt>
                <c:pt idx="4">
                  <c:v>141399</c:v>
                </c:pt>
                <c:pt idx="5">
                  <c:v>164954</c:v>
                </c:pt>
                <c:pt idx="6">
                  <c:v>176950</c:v>
                </c:pt>
                <c:pt idx="7">
                  <c:v>193349</c:v>
                </c:pt>
                <c:pt idx="8">
                  <c:v>222693</c:v>
                </c:pt>
                <c:pt idx="9">
                  <c:v>238323</c:v>
                </c:pt>
                <c:pt idx="10">
                  <c:v>274791</c:v>
                </c:pt>
                <c:pt idx="11">
                  <c:v>277079</c:v>
                </c:pt>
                <c:pt idx="12">
                  <c:v>227142</c:v>
                </c:pt>
                <c:pt idx="13">
                  <c:v>189358</c:v>
                </c:pt>
                <c:pt idx="14">
                  <c:v>203087</c:v>
                </c:pt>
                <c:pt idx="15">
                  <c:v>199577</c:v>
                </c:pt>
                <c:pt idx="16">
                  <c:v>194525</c:v>
                </c:pt>
                <c:pt idx="17">
                  <c:v>179910</c:v>
                </c:pt>
                <c:pt idx="18">
                  <c:v>179383</c:v>
                </c:pt>
                <c:pt idx="19">
                  <c:v>184372</c:v>
                </c:pt>
                <c:pt idx="20" formatCode="#,##0_);[Red]\(#,##0\)">
                  <c:v>201420</c:v>
                </c:pt>
                <c:pt idx="21" formatCode="#,##0_);[Red]\(#,##0\)">
                  <c:v>209368</c:v>
                </c:pt>
              </c:numCache>
            </c:numRef>
          </c:val>
          <c:extLst>
            <c:ext xmlns:c16="http://schemas.microsoft.com/office/drawing/2014/chart" uri="{C3380CC4-5D6E-409C-BE32-E72D297353CC}">
              <c16:uniqueId val="{00000004-65EA-467F-8CAF-823EC1613571}"/>
            </c:ext>
          </c:extLst>
        </c:ser>
        <c:ser>
          <c:idx val="5"/>
          <c:order val="5"/>
          <c:tx>
            <c:strRef>
              <c:f>'Ch3. Granted patents'!$A$83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patents'!$I$82:$AD$82</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patents'!$I$83:$AD$83</c:f>
              <c:numCache>
                <c:formatCode>#,##0</c:formatCode>
                <c:ptCount val="22"/>
                <c:pt idx="0">
                  <c:v>396655.61956862698</c:v>
                </c:pt>
                <c:pt idx="1">
                  <c:v>542359.22576470301</c:v>
                </c:pt>
                <c:pt idx="2">
                  <c:v>585357.74226784799</c:v>
                </c:pt>
                <c:pt idx="3">
                  <c:v>619976.116987966</c:v>
                </c:pt>
                <c:pt idx="4">
                  <c:v>708084.89867424301</c:v>
                </c:pt>
                <c:pt idx="5">
                  <c:v>754908.01827165799</c:v>
                </c:pt>
                <c:pt idx="6">
                  <c:v>868857.4</c:v>
                </c:pt>
                <c:pt idx="7">
                  <c:v>881478.2</c:v>
                </c:pt>
                <c:pt idx="8">
                  <c:v>865190</c:v>
                </c:pt>
                <c:pt idx="9">
                  <c:v>926979.4</c:v>
                </c:pt>
                <c:pt idx="10">
                  <c:v>959347</c:v>
                </c:pt>
                <c:pt idx="11">
                  <c:v>988423.5</c:v>
                </c:pt>
                <c:pt idx="12">
                  <c:v>928477</c:v>
                </c:pt>
                <c:pt idx="13">
                  <c:v>1090050</c:v>
                </c:pt>
                <c:pt idx="14">
                  <c:v>1502038</c:v>
                </c:pt>
                <c:pt idx="15">
                  <c:v>1267216</c:v>
                </c:pt>
                <c:pt idx="16">
                  <c:v>1324480</c:v>
                </c:pt>
                <c:pt idx="17">
                  <c:v>1414780</c:v>
                </c:pt>
                <c:pt idx="18">
                  <c:v>1401799</c:v>
                </c:pt>
                <c:pt idx="19">
                  <c:v>1164969</c:v>
                </c:pt>
                <c:pt idx="20" formatCode="#,##0_);[Red]\(#,##0\)">
                  <c:v>1025276.98908838</c:v>
                </c:pt>
                <c:pt idx="21" formatCode="#,##0_);[Red]\(#,##0\)">
                  <c:v>1273632.1280240901</c:v>
                </c:pt>
              </c:numCache>
            </c:numRef>
          </c:val>
          <c:extLst>
            <c:ext xmlns:c16="http://schemas.microsoft.com/office/drawing/2014/chart" uri="{C3380CC4-5D6E-409C-BE32-E72D297353CC}">
              <c16:uniqueId val="{00000005-65EA-467F-8CAF-823EC1613571}"/>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patents'!$I$82:$AD$82</c:f>
              <c:numCache>
                <c:formatCode>General</c:formatCode>
                <c:ptCount val="22"/>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pt idx="18">
                  <c:v>2020</c:v>
                </c:pt>
                <c:pt idx="19">
                  <c:v>2021</c:v>
                </c:pt>
                <c:pt idx="20">
                  <c:v>2022</c:v>
                </c:pt>
                <c:pt idx="21">
                  <c:v>2023</c:v>
                </c:pt>
              </c:numCache>
            </c:numRef>
          </c:cat>
          <c:val>
            <c:numRef>
              <c:f>'Ch3. Granted patents'!$I$89:$AD$89</c:f>
              <c:numCache>
                <c:formatCode>#,##0</c:formatCode>
                <c:ptCount val="22"/>
                <c:pt idx="0">
                  <c:v>891670.61956862698</c:v>
                </c:pt>
                <c:pt idx="1">
                  <c:v>1070423.2012028999</c:v>
                </c:pt>
                <c:pt idx="2">
                  <c:v>1113694.47621538</c:v>
                </c:pt>
                <c:pt idx="3">
                  <c:v>1154795.6849243301</c:v>
                </c:pt>
                <c:pt idx="4">
                  <c:v>1305561.74867424</c:v>
                </c:pt>
                <c:pt idx="5">
                  <c:v>1373902.01827166</c:v>
                </c:pt>
                <c:pt idx="6">
                  <c:v>1515819.4</c:v>
                </c:pt>
                <c:pt idx="7">
                  <c:v>1557238.2</c:v>
                </c:pt>
                <c:pt idx="8">
                  <c:v>1638915</c:v>
                </c:pt>
                <c:pt idx="9">
                  <c:v>1799322</c:v>
                </c:pt>
                <c:pt idx="10">
                  <c:v>1980912</c:v>
                </c:pt>
                <c:pt idx="11">
                  <c:v>2051519.5</c:v>
                </c:pt>
                <c:pt idx="12">
                  <c:v>2003014</c:v>
                </c:pt>
                <c:pt idx="13">
                  <c:v>2228328</c:v>
                </c:pt>
                <c:pt idx="14">
                  <c:v>2727233</c:v>
                </c:pt>
                <c:pt idx="15">
                  <c:v>2539073</c:v>
                </c:pt>
                <c:pt idx="16">
                  <c:v>2603228</c:v>
                </c:pt>
                <c:pt idx="17">
                  <c:v>2748564</c:v>
                </c:pt>
                <c:pt idx="18">
                  <c:v>2838192</c:v>
                </c:pt>
                <c:pt idx="19">
                  <c:v>2766184</c:v>
                </c:pt>
                <c:pt idx="20">
                  <c:v>2731382.9890883798</c:v>
                </c:pt>
                <c:pt idx="21">
                  <c:v>3150941.1280240901</c:v>
                </c:pt>
              </c:numCache>
            </c:numRef>
          </c:val>
          <c:extLst>
            <c:ext xmlns:c16="http://schemas.microsoft.com/office/drawing/2014/chart" uri="{C3380CC4-5D6E-409C-BE32-E72D297353CC}">
              <c16:uniqueId val="{00000006-65EA-467F-8CAF-823EC1613571}"/>
            </c:ext>
          </c:extLst>
        </c:ser>
        <c:dLbls>
          <c:showLegendKey val="0"/>
          <c:showVal val="0"/>
          <c:showCatName val="0"/>
          <c:showSerName val="0"/>
          <c:showPercent val="0"/>
          <c:showBubbleSize val="0"/>
        </c:dLbls>
        <c:gapWidth val="5"/>
        <c:overlap val="100"/>
        <c:axId val="1787990016"/>
        <c:axId val="1801080912"/>
      </c:barChart>
      <c:catAx>
        <c:axId val="178799001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80912"/>
        <c:crosses val="autoZero"/>
        <c:auto val="1"/>
        <c:lblAlgn val="ctr"/>
        <c:lblOffset val="100"/>
        <c:noMultiLvlLbl val="0"/>
      </c:catAx>
      <c:valAx>
        <c:axId val="1801080912"/>
        <c:scaling>
          <c:orientation val="minMax"/>
          <c:max val="3350000"/>
          <c:min val="0"/>
        </c:scaling>
        <c:delete val="1"/>
        <c:axPos val="l"/>
        <c:numFmt formatCode="#,##0" sourceLinked="1"/>
        <c:majorTickMark val="out"/>
        <c:minorTickMark val="none"/>
        <c:tickLblPos val="nextTo"/>
        <c:crossAx val="1787990016"/>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6150311b-b59e-41f5-b8cc-e9d28b3c1c55}"/>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sz="1400" b="1"/>
              <a:t>Fig.3.13: NATIONAL PATENT RIGHTS GRANTED - FILING BLOC</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0915033462556399E-2"/>
          <c:y val="0.11113108614232201"/>
          <c:w val="0.83741383590097695"/>
          <c:h val="0.80822955557521603"/>
        </c:manualLayout>
      </c:layout>
      <c:barChart>
        <c:barDir val="col"/>
        <c:grouping val="stacked"/>
        <c:varyColors val="0"/>
        <c:ser>
          <c:idx val="0"/>
          <c:order val="0"/>
          <c:tx>
            <c:strRef>
              <c:f>'Ch3. Granted patents'!$A$88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patents'!$S$82:$AD$82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'Ch3. Granted patents'!$S$88:$AD$88</c:f>
              <c:numCache>
                <c:formatCode>#,##0</c:formatCode>
                <c:ptCount val="12"/>
                <c:pt idx="0">
                  <c:v>163047</c:v>
                </c:pt>
                <c:pt idx="1">
                  <c:v>173164</c:v>
                </c:pt>
                <c:pt idx="2">
                  <c:v>183703</c:v>
                </c:pt>
                <c:pt idx="3">
                  <c:v>189324</c:v>
                </c:pt>
                <c:pt idx="4">
                  <c:v>205976</c:v>
                </c:pt>
                <c:pt idx="5">
                  <c:v>212645</c:v>
                </c:pt>
                <c:pt idx="6">
                  <c:v>225305</c:v>
                </c:pt>
                <c:pt idx="7">
                  <c:v>220979</c:v>
                </c:pt>
                <c:pt idx="8">
                  <c:v>240124</c:v>
                </c:pt>
                <c:pt idx="9">
                  <c:v>247708</c:v>
                </c:pt>
                <c:pt idx="10" formatCode="#,##0_);[Red]\(#,##0\)">
                  <c:v>247749</c:v>
                </c:pt>
                <c:pt idx="11" formatCode="#,##0_);[Red]\(#,##0\)">
                  <c:v>297165</c:v>
                </c:pt>
              </c:numCache>
            </c:numRef>
          </c:val>
          <c:extLst>
            <c:ext xmlns:c16="http://schemas.microsoft.com/office/drawing/2014/chart" uri="{C3380CC4-5D6E-409C-BE32-E72D297353CC}">
              <c16:uniqueId val="{00000000-F39C-4BB4-94A2-C9E0DF77A253}"/>
            </c:ext>
          </c:extLst>
        </c:ser>
        <c:ser>
          <c:idx val="1"/>
          <c:order val="1"/>
          <c:tx>
            <c:strRef>
              <c:f>'Ch3. Granted patents'!$A$87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patents'!$S$82:$AD$82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'Ch3. Granted patents'!$S$87:$AD$87</c:f>
              <c:numCache>
                <c:formatCode>#,##0</c:formatCode>
                <c:ptCount val="12"/>
                <c:pt idx="0">
                  <c:v>253155</c:v>
                </c:pt>
                <c:pt idx="1">
                  <c:v>277835</c:v>
                </c:pt>
                <c:pt idx="2">
                  <c:v>300678</c:v>
                </c:pt>
                <c:pt idx="3">
                  <c:v>298407</c:v>
                </c:pt>
                <c:pt idx="4">
                  <c:v>303049</c:v>
                </c:pt>
                <c:pt idx="5">
                  <c:v>318829</c:v>
                </c:pt>
                <c:pt idx="6">
                  <c:v>307759</c:v>
                </c:pt>
                <c:pt idx="7">
                  <c:v>354430</c:v>
                </c:pt>
                <c:pt idx="8">
                  <c:v>351993</c:v>
                </c:pt>
                <c:pt idx="9">
                  <c:v>327307</c:v>
                </c:pt>
                <c:pt idx="10" formatCode="#,##0_);[Red]\(#,##0\)">
                  <c:v>323410</c:v>
                </c:pt>
                <c:pt idx="11" formatCode="#,##0_);[Red]\(#,##0\)">
                  <c:v>315245</c:v>
                </c:pt>
              </c:numCache>
            </c:numRef>
          </c:val>
          <c:extLst>
            <c:ext xmlns:c16="http://schemas.microsoft.com/office/drawing/2014/chart" uri="{C3380CC4-5D6E-409C-BE32-E72D297353CC}">
              <c16:uniqueId val="{00000001-F39C-4BB4-94A2-C9E0DF77A253}"/>
            </c:ext>
          </c:extLst>
        </c:ser>
        <c:ser>
          <c:idx val="2"/>
          <c:order val="2"/>
          <c:tx>
            <c:strRef>
              <c:f>'Ch3. Granted patents'!$A$86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patents'!$S$82:$AD$82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'Ch3. Granted patents'!$S$86:$AD$86</c:f>
              <c:numCache>
                <c:formatCode>#,##0</c:formatCode>
                <c:ptCount val="12"/>
                <c:pt idx="0">
                  <c:v>217105</c:v>
                </c:pt>
                <c:pt idx="1">
                  <c:v>207688</c:v>
                </c:pt>
                <c:pt idx="2">
                  <c:v>233228</c:v>
                </c:pt>
                <c:pt idx="3">
                  <c:v>359316</c:v>
                </c:pt>
                <c:pt idx="4">
                  <c:v>404208</c:v>
                </c:pt>
                <c:pt idx="5">
                  <c:v>420144</c:v>
                </c:pt>
                <c:pt idx="6">
                  <c:v>432147</c:v>
                </c:pt>
                <c:pt idx="7">
                  <c:v>452804</c:v>
                </c:pt>
                <c:pt idx="8">
                  <c:v>530127</c:v>
                </c:pt>
                <c:pt idx="9">
                  <c:v>695946</c:v>
                </c:pt>
                <c:pt idx="10" formatCode="#,##0_);[Red]\(#,##0\)">
                  <c:v>798347</c:v>
                </c:pt>
                <c:pt idx="11" formatCode="#,##0_);[Red]\(#,##0\)">
                  <c:v>920797</c:v>
                </c:pt>
              </c:numCache>
            </c:numRef>
          </c:val>
          <c:extLst>
            <c:ext xmlns:c16="http://schemas.microsoft.com/office/drawing/2014/chart" uri="{C3380CC4-5D6E-409C-BE32-E72D297353CC}">
              <c16:uniqueId val="{00000002-F39C-4BB4-94A2-C9E0DF77A253}"/>
            </c:ext>
          </c:extLst>
        </c:ser>
        <c:ser>
          <c:idx val="3"/>
          <c:order val="3"/>
          <c:tx>
            <c:strRef>
              <c:f>'Ch3. Granted patents'!$A$85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patents'!$S$82:$AD$82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'Ch3. Granted patents'!$S$85:$AD$85</c:f>
              <c:numCache>
                <c:formatCode>#,##0</c:formatCode>
                <c:ptCount val="12"/>
                <c:pt idx="0">
                  <c:v>113467</c:v>
                </c:pt>
                <c:pt idx="1">
                  <c:v>127330</c:v>
                </c:pt>
                <c:pt idx="2">
                  <c:v>129786</c:v>
                </c:pt>
                <c:pt idx="3">
                  <c:v>101873</c:v>
                </c:pt>
                <c:pt idx="4">
                  <c:v>108875</c:v>
                </c:pt>
                <c:pt idx="5">
                  <c:v>120662</c:v>
                </c:pt>
                <c:pt idx="6">
                  <c:v>119012</c:v>
                </c:pt>
                <c:pt idx="7">
                  <c:v>125661</c:v>
                </c:pt>
                <c:pt idx="8">
                  <c:v>134766</c:v>
                </c:pt>
                <c:pt idx="9">
                  <c:v>145882</c:v>
                </c:pt>
                <c:pt idx="10" formatCode="#,##0_);[Red]\(#,##0\)">
                  <c:v>135180</c:v>
                </c:pt>
                <c:pt idx="11" formatCode="#,##0_);[Red]\(#,##0\)">
                  <c:v>134734</c:v>
                </c:pt>
              </c:numCache>
            </c:numRef>
          </c:val>
          <c:extLst>
            <c:ext xmlns:c16="http://schemas.microsoft.com/office/drawing/2014/chart" uri="{C3380CC4-5D6E-409C-BE32-E72D297353CC}">
              <c16:uniqueId val="{00000003-F39C-4BB4-94A2-C9E0DF77A253}"/>
            </c:ext>
          </c:extLst>
        </c:ser>
        <c:ser>
          <c:idx val="4"/>
          <c:order val="4"/>
          <c:tx>
            <c:strRef>
              <c:f>'Ch3. Granted patents'!$A$84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patents'!$S$82:$AD$82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'Ch3. Granted patents'!$S$84:$AD$84</c:f>
              <c:numCache>
                <c:formatCode>#,##0</c:formatCode>
                <c:ptCount val="12"/>
                <c:pt idx="0">
                  <c:v>274791</c:v>
                </c:pt>
                <c:pt idx="1">
                  <c:v>277079</c:v>
                </c:pt>
                <c:pt idx="2">
                  <c:v>227142</c:v>
                </c:pt>
                <c:pt idx="3">
                  <c:v>189358</c:v>
                </c:pt>
                <c:pt idx="4">
                  <c:v>203087</c:v>
                </c:pt>
                <c:pt idx="5">
                  <c:v>199577</c:v>
                </c:pt>
                <c:pt idx="6">
                  <c:v>194525</c:v>
                </c:pt>
                <c:pt idx="7">
                  <c:v>179910</c:v>
                </c:pt>
                <c:pt idx="8">
                  <c:v>179383</c:v>
                </c:pt>
                <c:pt idx="9">
                  <c:v>184372</c:v>
                </c:pt>
                <c:pt idx="10" formatCode="#,##0_);[Red]\(#,##0\)">
                  <c:v>201420</c:v>
                </c:pt>
                <c:pt idx="11" formatCode="#,##0_);[Red]\(#,##0\)">
                  <c:v>209368</c:v>
                </c:pt>
              </c:numCache>
            </c:numRef>
          </c:val>
          <c:extLst>
            <c:ext xmlns:c16="http://schemas.microsoft.com/office/drawing/2014/chart" uri="{C3380CC4-5D6E-409C-BE32-E72D297353CC}">
              <c16:uniqueId val="{00000004-F39C-4BB4-94A2-C9E0DF77A253}"/>
            </c:ext>
          </c:extLst>
        </c:ser>
        <c:ser>
          <c:idx val="5"/>
          <c:order val="5"/>
          <c:tx>
            <c:strRef>
              <c:f>'Ch3. Granted patents'!$A$83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patents'!$S$82:$AD$82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'Ch3. Granted patents'!$S$83:$AD$83</c:f>
              <c:numCache>
                <c:formatCode>#,##0</c:formatCode>
                <c:ptCount val="12"/>
                <c:pt idx="0">
                  <c:v>959347</c:v>
                </c:pt>
                <c:pt idx="1">
                  <c:v>988423.5</c:v>
                </c:pt>
                <c:pt idx="2">
                  <c:v>928477</c:v>
                </c:pt>
                <c:pt idx="3">
                  <c:v>1090050</c:v>
                </c:pt>
                <c:pt idx="4">
                  <c:v>1502038</c:v>
                </c:pt>
                <c:pt idx="5">
                  <c:v>1267216</c:v>
                </c:pt>
                <c:pt idx="6">
                  <c:v>1324480</c:v>
                </c:pt>
                <c:pt idx="7">
                  <c:v>1414780</c:v>
                </c:pt>
                <c:pt idx="8">
                  <c:v>1401799</c:v>
                </c:pt>
                <c:pt idx="9">
                  <c:v>1164969</c:v>
                </c:pt>
                <c:pt idx="10" formatCode="#,##0_);[Red]\(#,##0\)">
                  <c:v>1025276.98908838</c:v>
                </c:pt>
                <c:pt idx="11" formatCode="#,##0_);[Red]\(#,##0\)">
                  <c:v>1273632.1280240901</c:v>
                </c:pt>
              </c:numCache>
            </c:numRef>
          </c:val>
          <c:extLst>
            <c:ext xmlns:c16="http://schemas.microsoft.com/office/drawing/2014/chart" uri="{C3380CC4-5D6E-409C-BE32-E72D297353CC}">
              <c16:uniqueId val="{00000005-F39C-4BB4-94A2-C9E0DF77A253}"/>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Granted patents'!$S$82:$AD$82</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'Ch3. Granted patents'!$S$89:$AD$89</c:f>
              <c:numCache>
                <c:formatCode>#,##0</c:formatCode>
                <c:ptCount val="12"/>
                <c:pt idx="0">
                  <c:v>1980912</c:v>
                </c:pt>
                <c:pt idx="1">
                  <c:v>2051519.5</c:v>
                </c:pt>
                <c:pt idx="2">
                  <c:v>2003014</c:v>
                </c:pt>
                <c:pt idx="3">
                  <c:v>2228328</c:v>
                </c:pt>
                <c:pt idx="4">
                  <c:v>2727233</c:v>
                </c:pt>
                <c:pt idx="5">
                  <c:v>2539073</c:v>
                </c:pt>
                <c:pt idx="6">
                  <c:v>2603228</c:v>
                </c:pt>
                <c:pt idx="7">
                  <c:v>2748564</c:v>
                </c:pt>
                <c:pt idx="8">
                  <c:v>2838192</c:v>
                </c:pt>
                <c:pt idx="9">
                  <c:v>2766184</c:v>
                </c:pt>
                <c:pt idx="10">
                  <c:v>2731382.9890883798</c:v>
                </c:pt>
                <c:pt idx="11">
                  <c:v>3150941.1280240901</c:v>
                </c:pt>
              </c:numCache>
            </c:numRef>
          </c:val>
          <c:extLst>
            <c:ext xmlns:c16="http://schemas.microsoft.com/office/drawing/2014/chart" uri="{C3380CC4-5D6E-409C-BE32-E72D297353CC}">
              <c16:uniqueId val="{00000006-F39C-4BB4-94A2-C9E0DF77A253}"/>
            </c:ext>
          </c:extLst>
        </c:ser>
        <c:dLbls>
          <c:showLegendKey val="0"/>
          <c:showVal val="0"/>
          <c:showCatName val="0"/>
          <c:showSerName val="0"/>
          <c:showPercent val="0"/>
          <c:showBubbleSize val="0"/>
        </c:dLbls>
        <c:gapWidth val="5"/>
        <c:overlap val="100"/>
        <c:axId val="1801081456"/>
        <c:axId val="1801085808"/>
      </c:barChart>
      <c:catAx>
        <c:axId val="180108145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85808"/>
        <c:crosses val="autoZero"/>
        <c:auto val="1"/>
        <c:lblAlgn val="ctr"/>
        <c:lblOffset val="100"/>
        <c:noMultiLvlLbl val="0"/>
      </c:catAx>
      <c:valAx>
        <c:axId val="1801085808"/>
        <c:scaling>
          <c:orientation val="minMax"/>
          <c:max val="3320000"/>
          <c:min val="0"/>
        </c:scaling>
        <c:delete val="1"/>
        <c:axPos val="l"/>
        <c:numFmt formatCode="#,##0" sourceLinked="1"/>
        <c:majorTickMark val="out"/>
        <c:minorTickMark val="none"/>
        <c:tickLblPos val="nextTo"/>
        <c:crossAx val="1801081456"/>
        <c:crosses val="autoZero"/>
        <c:crossBetween val="between"/>
      </c:valAx>
      <c:spPr>
        <a:noFill/>
        <a:ln>
          <a:noFill/>
        </a:ln>
        <a:effectLst/>
      </c:spPr>
    </c:plotArea>
    <c:legend>
      <c:legendPos val="r"/>
      <c:legendEntry>
        <c:idx val="0"/>
        <c:delete val="1"/>
      </c:legendEntry>
      <c:layout>
        <c:manualLayout>
          <c:xMode val="edge"/>
          <c:yMode val="edge"/>
          <c:x val="0.86403296939877605"/>
          <c:y val="0.35478462944940897"/>
          <c:w val="0.128361563887567"/>
          <c:h val="0.36860302574537701"/>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8b29a8a3-3897-4624-a815-1f7b8349640e}"/>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 3.17: IP5 PATENT FAMILIES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barChart>
        <c:barDir val="col"/>
        <c:grouping val="stacked"/>
        <c:varyColors val="0"/>
        <c:ser>
          <c:idx val="5"/>
          <c:order val="0"/>
          <c:tx>
            <c:strRef>
              <c:f>'Ch3. IP5 Patent Families'!$A$12</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Families'!$B$6:$V$6</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'Ch3. IP5 Patent Families'!$B$12:$V$12</c:f>
              <c:numCache>
                <c:formatCode>#,##0</c:formatCode>
                <c:ptCount val="21"/>
                <c:pt idx="0">
                  <c:v>282</c:v>
                </c:pt>
                <c:pt idx="1">
                  <c:v>410</c:v>
                </c:pt>
                <c:pt idx="2">
                  <c:v>397</c:v>
                </c:pt>
                <c:pt idx="3">
                  <c:v>409</c:v>
                </c:pt>
                <c:pt idx="4">
                  <c:v>426</c:v>
                </c:pt>
                <c:pt idx="5">
                  <c:v>460</c:v>
                </c:pt>
                <c:pt idx="6">
                  <c:v>395</c:v>
                </c:pt>
                <c:pt idx="7">
                  <c:v>363</c:v>
                </c:pt>
                <c:pt idx="8">
                  <c:v>419</c:v>
                </c:pt>
                <c:pt idx="9">
                  <c:v>505</c:v>
                </c:pt>
                <c:pt idx="10">
                  <c:v>491</c:v>
                </c:pt>
                <c:pt idx="11">
                  <c:v>643</c:v>
                </c:pt>
                <c:pt idx="12">
                  <c:v>581</c:v>
                </c:pt>
                <c:pt idx="13">
                  <c:v>471</c:v>
                </c:pt>
                <c:pt idx="14">
                  <c:v>875</c:v>
                </c:pt>
                <c:pt idx="15">
                  <c:v>878</c:v>
                </c:pt>
                <c:pt idx="16">
                  <c:v>905</c:v>
                </c:pt>
                <c:pt idx="17">
                  <c:v>1137</c:v>
                </c:pt>
                <c:pt idx="18" formatCode="#,##0_ ">
                  <c:v>990</c:v>
                </c:pt>
                <c:pt idx="19" formatCode="#,##0_ ">
                  <c:v>1101</c:v>
                </c:pt>
                <c:pt idx="20" formatCode="#,##0_ ">
                  <c:v>1379</c:v>
                </c:pt>
              </c:numCache>
            </c:numRef>
          </c:val>
          <c:extLst>
            <c:ext xmlns:c16="http://schemas.microsoft.com/office/drawing/2014/chart" uri="{C3380CC4-5D6E-409C-BE32-E72D297353CC}">
              <c16:uniqueId val="{00000000-2C20-4D0A-B01F-7205F2664345}"/>
            </c:ext>
          </c:extLst>
        </c:ser>
        <c:ser>
          <c:idx val="4"/>
          <c:order val="1"/>
          <c:tx>
            <c:strRef>
              <c:f>'Ch3. IP5 Patent Families'!$A$11</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Families'!$B$6:$V$6</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'Ch3. IP5 Patent Families'!$B$11:$V$11</c:f>
              <c:numCache>
                <c:formatCode>#,##0</c:formatCode>
                <c:ptCount val="21"/>
                <c:pt idx="0">
                  <c:v>4971</c:v>
                </c:pt>
                <c:pt idx="1">
                  <c:v>7417</c:v>
                </c:pt>
                <c:pt idx="2">
                  <c:v>8723</c:v>
                </c:pt>
                <c:pt idx="3">
                  <c:v>9839</c:v>
                </c:pt>
                <c:pt idx="4">
                  <c:v>10880</c:v>
                </c:pt>
                <c:pt idx="5">
                  <c:v>12307</c:v>
                </c:pt>
                <c:pt idx="6">
                  <c:v>11513</c:v>
                </c:pt>
                <c:pt idx="7">
                  <c:v>10916</c:v>
                </c:pt>
                <c:pt idx="8">
                  <c:v>12700</c:v>
                </c:pt>
                <c:pt idx="9">
                  <c:v>13560</c:v>
                </c:pt>
                <c:pt idx="10">
                  <c:v>13281</c:v>
                </c:pt>
                <c:pt idx="11">
                  <c:v>14048</c:v>
                </c:pt>
                <c:pt idx="12">
                  <c:v>13985</c:v>
                </c:pt>
                <c:pt idx="13">
                  <c:v>15104</c:v>
                </c:pt>
                <c:pt idx="14">
                  <c:v>13403</c:v>
                </c:pt>
                <c:pt idx="15">
                  <c:v>12940</c:v>
                </c:pt>
                <c:pt idx="16">
                  <c:v>12346</c:v>
                </c:pt>
                <c:pt idx="17">
                  <c:v>13073</c:v>
                </c:pt>
                <c:pt idx="18" formatCode="#,##0_ ">
                  <c:v>13208</c:v>
                </c:pt>
                <c:pt idx="19" formatCode="#,##0_ ">
                  <c:v>14714</c:v>
                </c:pt>
                <c:pt idx="20" formatCode="#,##0_ ">
                  <c:v>10025</c:v>
                </c:pt>
              </c:numCache>
            </c:numRef>
          </c:val>
          <c:extLst>
            <c:ext xmlns:c16="http://schemas.microsoft.com/office/drawing/2014/chart" uri="{C3380CC4-5D6E-409C-BE32-E72D297353CC}">
              <c16:uniqueId val="{00000001-2C20-4D0A-B01F-7205F2664345}"/>
            </c:ext>
          </c:extLst>
        </c:ser>
        <c:ser>
          <c:idx val="3"/>
          <c:order val="2"/>
          <c:tx>
            <c:strRef>
              <c:f>'Ch3. IP5 Patent Families'!$A$10</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Families'!$B$6:$V$6</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'Ch3. IP5 Patent Families'!$B$10:$V$10</c:f>
              <c:numCache>
                <c:formatCode>#,##0</c:formatCode>
                <c:ptCount val="21"/>
                <c:pt idx="0">
                  <c:v>36</c:v>
                </c:pt>
                <c:pt idx="1">
                  <c:v>78</c:v>
                </c:pt>
                <c:pt idx="2">
                  <c:v>125</c:v>
                </c:pt>
                <c:pt idx="3">
                  <c:v>148</c:v>
                </c:pt>
                <c:pt idx="4">
                  <c:v>153</c:v>
                </c:pt>
                <c:pt idx="5">
                  <c:v>233</c:v>
                </c:pt>
                <c:pt idx="6">
                  <c:v>270</c:v>
                </c:pt>
                <c:pt idx="7">
                  <c:v>367</c:v>
                </c:pt>
                <c:pt idx="8">
                  <c:v>393</c:v>
                </c:pt>
                <c:pt idx="9">
                  <c:v>706</c:v>
                </c:pt>
                <c:pt idx="10">
                  <c:v>806</c:v>
                </c:pt>
                <c:pt idx="11">
                  <c:v>971</c:v>
                </c:pt>
                <c:pt idx="12">
                  <c:v>1181</c:v>
                </c:pt>
                <c:pt idx="13">
                  <c:v>1548</c:v>
                </c:pt>
                <c:pt idx="14">
                  <c:v>1573</c:v>
                </c:pt>
                <c:pt idx="15">
                  <c:v>1952</c:v>
                </c:pt>
                <c:pt idx="16">
                  <c:v>1907</c:v>
                </c:pt>
                <c:pt idx="17">
                  <c:v>2210</c:v>
                </c:pt>
                <c:pt idx="18" formatCode="#,##0_ ">
                  <c:v>2468</c:v>
                </c:pt>
                <c:pt idx="19" formatCode="#,##0_ ">
                  <c:v>2884</c:v>
                </c:pt>
                <c:pt idx="20" formatCode="#,##0_ ">
                  <c:v>3960</c:v>
                </c:pt>
              </c:numCache>
            </c:numRef>
          </c:val>
          <c:extLst>
            <c:ext xmlns:c16="http://schemas.microsoft.com/office/drawing/2014/chart" uri="{C3380CC4-5D6E-409C-BE32-E72D297353CC}">
              <c16:uniqueId val="{00000002-2C20-4D0A-B01F-7205F2664345}"/>
            </c:ext>
          </c:extLst>
        </c:ser>
        <c:ser>
          <c:idx val="2"/>
          <c:order val="3"/>
          <c:tx>
            <c:strRef>
              <c:f>'Ch3. IP5 Patent Families'!$A$9</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Families'!$B$6:$V$6</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'Ch3. IP5 Patent Families'!$B$9:$V$9</c:f>
              <c:numCache>
                <c:formatCode>#,##0</c:formatCode>
                <c:ptCount val="21"/>
                <c:pt idx="0">
                  <c:v>1229</c:v>
                </c:pt>
                <c:pt idx="1">
                  <c:v>1491</c:v>
                </c:pt>
                <c:pt idx="2">
                  <c:v>2060</c:v>
                </c:pt>
                <c:pt idx="3">
                  <c:v>2863</c:v>
                </c:pt>
                <c:pt idx="4">
                  <c:v>3130</c:v>
                </c:pt>
                <c:pt idx="5">
                  <c:v>3136</c:v>
                </c:pt>
                <c:pt idx="6">
                  <c:v>2881</c:v>
                </c:pt>
                <c:pt idx="7">
                  <c:v>2366</c:v>
                </c:pt>
                <c:pt idx="8">
                  <c:v>2057</c:v>
                </c:pt>
                <c:pt idx="9">
                  <c:v>2343</c:v>
                </c:pt>
                <c:pt idx="10">
                  <c:v>2813</c:v>
                </c:pt>
                <c:pt idx="11">
                  <c:v>3187</c:v>
                </c:pt>
                <c:pt idx="12">
                  <c:v>3183</c:v>
                </c:pt>
                <c:pt idx="13">
                  <c:v>2891</c:v>
                </c:pt>
                <c:pt idx="14">
                  <c:v>2646</c:v>
                </c:pt>
                <c:pt idx="15">
                  <c:v>2649</c:v>
                </c:pt>
                <c:pt idx="16">
                  <c:v>2885</c:v>
                </c:pt>
                <c:pt idx="17">
                  <c:v>3095</c:v>
                </c:pt>
                <c:pt idx="18" formatCode="#,##0_ ">
                  <c:v>3496</c:v>
                </c:pt>
                <c:pt idx="19" formatCode="#,##0_ ">
                  <c:v>3513</c:v>
                </c:pt>
                <c:pt idx="20" formatCode="#,##0_ ">
                  <c:v>3722</c:v>
                </c:pt>
              </c:numCache>
            </c:numRef>
          </c:val>
          <c:extLst>
            <c:ext xmlns:c16="http://schemas.microsoft.com/office/drawing/2014/chart" uri="{C3380CC4-5D6E-409C-BE32-E72D297353CC}">
              <c16:uniqueId val="{00000003-2C20-4D0A-B01F-7205F2664345}"/>
            </c:ext>
          </c:extLst>
        </c:ser>
        <c:ser>
          <c:idx val="1"/>
          <c:order val="4"/>
          <c:tx>
            <c:strRef>
              <c:f>'Ch3. IP5 Patent Families'!$A$8</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Families'!$B$6:$V$6</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'Ch3. IP5 Patent Families'!$B$8:$V$8</c:f>
              <c:numCache>
                <c:formatCode>#,##0</c:formatCode>
                <c:ptCount val="21"/>
                <c:pt idx="0">
                  <c:v>6263</c:v>
                </c:pt>
                <c:pt idx="1">
                  <c:v>8711</c:v>
                </c:pt>
                <c:pt idx="2">
                  <c:v>9666</c:v>
                </c:pt>
                <c:pt idx="3">
                  <c:v>10013</c:v>
                </c:pt>
                <c:pt idx="4">
                  <c:v>9747</c:v>
                </c:pt>
                <c:pt idx="5">
                  <c:v>9724</c:v>
                </c:pt>
                <c:pt idx="6">
                  <c:v>9533</c:v>
                </c:pt>
                <c:pt idx="7">
                  <c:v>8278</c:v>
                </c:pt>
                <c:pt idx="8">
                  <c:v>7794</c:v>
                </c:pt>
                <c:pt idx="9">
                  <c:v>8477</c:v>
                </c:pt>
                <c:pt idx="10">
                  <c:v>9117</c:v>
                </c:pt>
                <c:pt idx="11">
                  <c:v>8755</c:v>
                </c:pt>
                <c:pt idx="12">
                  <c:v>8322</c:v>
                </c:pt>
                <c:pt idx="13">
                  <c:v>7498</c:v>
                </c:pt>
                <c:pt idx="14">
                  <c:v>6538</c:v>
                </c:pt>
                <c:pt idx="15">
                  <c:v>6465</c:v>
                </c:pt>
                <c:pt idx="16">
                  <c:v>6308</c:v>
                </c:pt>
                <c:pt idx="17">
                  <c:v>5931</c:v>
                </c:pt>
                <c:pt idx="18" formatCode="#,##0_ ">
                  <c:v>5696</c:v>
                </c:pt>
                <c:pt idx="19" formatCode="#,##0_ ">
                  <c:v>5321</c:v>
                </c:pt>
                <c:pt idx="20" formatCode="#,##0_ ">
                  <c:v>5738</c:v>
                </c:pt>
              </c:numCache>
            </c:numRef>
          </c:val>
          <c:extLst>
            <c:ext xmlns:c16="http://schemas.microsoft.com/office/drawing/2014/chart" uri="{C3380CC4-5D6E-409C-BE32-E72D297353CC}">
              <c16:uniqueId val="{00000004-2C20-4D0A-B01F-7205F2664345}"/>
            </c:ext>
          </c:extLst>
        </c:ser>
        <c:ser>
          <c:idx val="0"/>
          <c:order val="5"/>
          <c:tx>
            <c:strRef>
              <c:f>'Ch3. IP5 Patent Families'!$A$7</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Families'!$B$6:$V$6</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'Ch3. IP5 Patent Families'!$B$7:$V$7</c:f>
              <c:numCache>
                <c:formatCode>#,##0</c:formatCode>
                <c:ptCount val="21"/>
                <c:pt idx="0">
                  <c:v>3803</c:v>
                </c:pt>
                <c:pt idx="1">
                  <c:v>5470</c:v>
                </c:pt>
                <c:pt idx="2">
                  <c:v>6392</c:v>
                </c:pt>
                <c:pt idx="3">
                  <c:v>6928</c:v>
                </c:pt>
                <c:pt idx="4">
                  <c:v>6841</c:v>
                </c:pt>
                <c:pt idx="5">
                  <c:v>7021</c:v>
                </c:pt>
                <c:pt idx="6">
                  <c:v>6438</c:v>
                </c:pt>
                <c:pt idx="7">
                  <c:v>6085</c:v>
                </c:pt>
                <c:pt idx="8">
                  <c:v>6704</c:v>
                </c:pt>
                <c:pt idx="9">
                  <c:v>7113</c:v>
                </c:pt>
                <c:pt idx="10">
                  <c:v>6600</c:v>
                </c:pt>
                <c:pt idx="11">
                  <c:v>6642</c:v>
                </c:pt>
                <c:pt idx="12">
                  <c:v>6659</c:v>
                </c:pt>
                <c:pt idx="13">
                  <c:v>6791</c:v>
                </c:pt>
                <c:pt idx="14">
                  <c:v>6869</c:v>
                </c:pt>
                <c:pt idx="15">
                  <c:v>6955</c:v>
                </c:pt>
                <c:pt idx="16">
                  <c:v>7153</c:v>
                </c:pt>
                <c:pt idx="17">
                  <c:v>6758</c:v>
                </c:pt>
                <c:pt idx="18" formatCode="#,##0_ ">
                  <c:v>6926</c:v>
                </c:pt>
                <c:pt idx="19" formatCode="#,##0_ ">
                  <c:v>7426</c:v>
                </c:pt>
                <c:pt idx="20" formatCode="#,##0_ ">
                  <c:v>4766</c:v>
                </c:pt>
              </c:numCache>
            </c:numRef>
          </c:val>
          <c:extLst>
            <c:ext xmlns:c16="http://schemas.microsoft.com/office/drawing/2014/chart" uri="{C3380CC4-5D6E-409C-BE32-E72D297353CC}">
              <c16:uniqueId val="{00000005-2C20-4D0A-B01F-7205F2664345}"/>
            </c:ext>
          </c:extLst>
        </c:ser>
        <c:ser>
          <c:idx val="6"/>
          <c:order val="6"/>
          <c:spPr>
            <a:noFill/>
            <a:ln>
              <a:noFill/>
            </a:ln>
            <a:effectLst/>
          </c:spPr>
          <c:invertIfNegative val="0"/>
          <c:dLbls>
            <c:dLbl>
              <c:idx val="20"/>
              <c:layout>
                <c:manualLayout>
                  <c:x val="0"/>
                  <c:y val="-3.57852882703777E-3"/>
                </c:manualLayout>
              </c:layout>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20-4D0A-B01F-7205F2664345}"/>
                </c:ext>
              </c:extLst>
            </c:dLbl>
            <c:spPr>
              <a:noFill/>
              <a:ln>
                <a:noFill/>
              </a:ln>
              <a:effectLst/>
            </c:spPr>
            <c:txPr>
              <a:bodyPr rot="0" spcFirstLastPara="1" vertOverflow="ellipsis" vert="horz" wrap="square" lIns="38100" tIns="19050" rIns="38100" bIns="19050" anchor="ctr" anchorCtr="1"/>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Families'!$B$6:$V$6</c:f>
              <c:numCache>
                <c:formatCode>General</c:formatCode>
                <c:ptCount val="2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numCache>
            </c:numRef>
          </c:cat>
          <c:val>
            <c:numRef>
              <c:f>'Ch3. IP5 Patent Families'!$B$13:$V$13</c:f>
              <c:numCache>
                <c:formatCode>#,##0</c:formatCode>
                <c:ptCount val="21"/>
                <c:pt idx="0">
                  <c:v>16584</c:v>
                </c:pt>
                <c:pt idx="1">
                  <c:v>23577</c:v>
                </c:pt>
                <c:pt idx="2">
                  <c:v>27363</c:v>
                </c:pt>
                <c:pt idx="3">
                  <c:v>30200</c:v>
                </c:pt>
                <c:pt idx="4">
                  <c:v>31177</c:v>
                </c:pt>
                <c:pt idx="5">
                  <c:v>32881</c:v>
                </c:pt>
                <c:pt idx="6">
                  <c:v>31030</c:v>
                </c:pt>
                <c:pt idx="7">
                  <c:v>28375</c:v>
                </c:pt>
                <c:pt idx="8">
                  <c:v>30067</c:v>
                </c:pt>
                <c:pt idx="9">
                  <c:v>32704</c:v>
                </c:pt>
                <c:pt idx="10">
                  <c:v>33108</c:v>
                </c:pt>
                <c:pt idx="11">
                  <c:v>34246</c:v>
                </c:pt>
                <c:pt idx="12">
                  <c:v>33911</c:v>
                </c:pt>
                <c:pt idx="13">
                  <c:v>34303</c:v>
                </c:pt>
                <c:pt idx="14">
                  <c:v>31904</c:v>
                </c:pt>
                <c:pt idx="15">
                  <c:v>31839</c:v>
                </c:pt>
                <c:pt idx="16">
                  <c:v>31504</c:v>
                </c:pt>
                <c:pt idx="17">
                  <c:v>32204</c:v>
                </c:pt>
                <c:pt idx="18" formatCode="#,##0_ ">
                  <c:v>32784</c:v>
                </c:pt>
                <c:pt idx="19" formatCode="#,##0_ ">
                  <c:v>34959</c:v>
                </c:pt>
                <c:pt idx="20" formatCode="#,##0_ ">
                  <c:v>29590</c:v>
                </c:pt>
              </c:numCache>
            </c:numRef>
          </c:val>
          <c:extLst>
            <c:ext xmlns:c16="http://schemas.microsoft.com/office/drawing/2014/chart" uri="{C3380CC4-5D6E-409C-BE32-E72D297353CC}">
              <c16:uniqueId val="{00000007-2C20-4D0A-B01F-7205F2664345}"/>
            </c:ext>
          </c:extLst>
        </c:ser>
        <c:dLbls>
          <c:showLegendKey val="0"/>
          <c:showVal val="0"/>
          <c:showCatName val="0"/>
          <c:showSerName val="0"/>
          <c:showPercent val="0"/>
          <c:showBubbleSize val="0"/>
        </c:dLbls>
        <c:gapWidth val="20"/>
        <c:overlap val="100"/>
        <c:axId val="1801073840"/>
        <c:axId val="1801086896"/>
      </c:barChart>
      <c:catAx>
        <c:axId val="1801073840"/>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86896"/>
        <c:crosses val="autoZero"/>
        <c:auto val="1"/>
        <c:lblAlgn val="ctr"/>
        <c:lblOffset val="100"/>
        <c:noMultiLvlLbl val="0"/>
      </c:catAx>
      <c:valAx>
        <c:axId val="1801086896"/>
        <c:scaling>
          <c:orientation val="minMax"/>
          <c:max val="36000"/>
          <c:min val="0"/>
        </c:scaling>
        <c:delete val="1"/>
        <c:axPos val="l"/>
        <c:numFmt formatCode="#,##0" sourceLinked="1"/>
        <c:majorTickMark val="out"/>
        <c:minorTickMark val="none"/>
        <c:tickLblPos val="nextTo"/>
        <c:crossAx val="1801073840"/>
        <c:crosses val="autoZero"/>
        <c:crossBetween val="between"/>
      </c:valAx>
      <c:spPr>
        <a:noFill/>
        <a:ln>
          <a:noFill/>
        </a:ln>
        <a:effectLst/>
      </c:spPr>
    </c:plotArea>
    <c:legend>
      <c:legendPos val="b"/>
      <c:legendEntry>
        <c:idx val="6"/>
        <c:delete val="1"/>
      </c:legendEntry>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fc1f2505-c418-496d-9ce3-72d36e63a25a}"/>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Fig. 3.17: IP5 PATENT FAMILIES - ORIGIN</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2.30065340532935E-2"/>
          <c:y val="0.130140386832542"/>
          <c:w val="0.835795762581791"/>
          <c:h val="0.77542665435188696"/>
        </c:manualLayout>
      </c:layout>
      <c:barChart>
        <c:barDir val="col"/>
        <c:grouping val="stacked"/>
        <c:varyColors val="0"/>
        <c:ser>
          <c:idx val="5"/>
          <c:order val="0"/>
          <c:tx>
            <c:strRef>
              <c:f>'Ch3. IP5 Patent Families'!$A$12</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Families'!$K$6:$V$6</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'Ch3. IP5 Patent Families'!$K$12:$V$12</c:f>
              <c:numCache>
                <c:formatCode>#,##0</c:formatCode>
                <c:ptCount val="12"/>
                <c:pt idx="0">
                  <c:v>505</c:v>
                </c:pt>
                <c:pt idx="1">
                  <c:v>491</c:v>
                </c:pt>
                <c:pt idx="2">
                  <c:v>643</c:v>
                </c:pt>
                <c:pt idx="3">
                  <c:v>581</c:v>
                </c:pt>
                <c:pt idx="4">
                  <c:v>471</c:v>
                </c:pt>
                <c:pt idx="5">
                  <c:v>875</c:v>
                </c:pt>
                <c:pt idx="6">
                  <c:v>878</c:v>
                </c:pt>
                <c:pt idx="7">
                  <c:v>905</c:v>
                </c:pt>
                <c:pt idx="8">
                  <c:v>1137</c:v>
                </c:pt>
                <c:pt idx="9" formatCode="#,##0_ ">
                  <c:v>990</c:v>
                </c:pt>
                <c:pt idx="10" formatCode="#,##0_ ">
                  <c:v>1101</c:v>
                </c:pt>
                <c:pt idx="11" formatCode="#,##0_ ">
                  <c:v>1379</c:v>
                </c:pt>
              </c:numCache>
            </c:numRef>
          </c:val>
          <c:extLst>
            <c:ext xmlns:c16="http://schemas.microsoft.com/office/drawing/2014/chart" uri="{C3380CC4-5D6E-409C-BE32-E72D297353CC}">
              <c16:uniqueId val="{00000000-6769-41C4-8E3F-43F0CED96570}"/>
            </c:ext>
          </c:extLst>
        </c:ser>
        <c:ser>
          <c:idx val="4"/>
          <c:order val="1"/>
          <c:tx>
            <c:strRef>
              <c:f>'Ch3. IP5 Patent Families'!$A$11</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Families'!$K$6:$V$6</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'Ch3. IP5 Patent Families'!$K$11:$V$11</c:f>
              <c:numCache>
                <c:formatCode>#,##0</c:formatCode>
                <c:ptCount val="12"/>
                <c:pt idx="0">
                  <c:v>13560</c:v>
                </c:pt>
                <c:pt idx="1">
                  <c:v>13281</c:v>
                </c:pt>
                <c:pt idx="2">
                  <c:v>14048</c:v>
                </c:pt>
                <c:pt idx="3">
                  <c:v>13985</c:v>
                </c:pt>
                <c:pt idx="4">
                  <c:v>15104</c:v>
                </c:pt>
                <c:pt idx="5">
                  <c:v>13403</c:v>
                </c:pt>
                <c:pt idx="6">
                  <c:v>12940</c:v>
                </c:pt>
                <c:pt idx="7">
                  <c:v>12346</c:v>
                </c:pt>
                <c:pt idx="8">
                  <c:v>13073</c:v>
                </c:pt>
                <c:pt idx="9" formatCode="#,##0_ ">
                  <c:v>13208</c:v>
                </c:pt>
                <c:pt idx="10" formatCode="#,##0_ ">
                  <c:v>14714</c:v>
                </c:pt>
                <c:pt idx="11" formatCode="#,##0_ ">
                  <c:v>10025</c:v>
                </c:pt>
              </c:numCache>
            </c:numRef>
          </c:val>
          <c:extLst>
            <c:ext xmlns:c16="http://schemas.microsoft.com/office/drawing/2014/chart" uri="{C3380CC4-5D6E-409C-BE32-E72D297353CC}">
              <c16:uniqueId val="{00000001-6769-41C4-8E3F-43F0CED96570}"/>
            </c:ext>
          </c:extLst>
        </c:ser>
        <c:ser>
          <c:idx val="3"/>
          <c:order val="2"/>
          <c:tx>
            <c:strRef>
              <c:f>'Ch3. IP5 Patent Families'!$A$10</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Families'!$K$6:$V$6</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'Ch3. IP5 Patent Families'!$K$10:$V$10</c:f>
              <c:numCache>
                <c:formatCode>#,##0</c:formatCode>
                <c:ptCount val="12"/>
                <c:pt idx="0">
                  <c:v>706</c:v>
                </c:pt>
                <c:pt idx="1">
                  <c:v>806</c:v>
                </c:pt>
                <c:pt idx="2">
                  <c:v>971</c:v>
                </c:pt>
                <c:pt idx="3">
                  <c:v>1181</c:v>
                </c:pt>
                <c:pt idx="4">
                  <c:v>1548</c:v>
                </c:pt>
                <c:pt idx="5">
                  <c:v>1573</c:v>
                </c:pt>
                <c:pt idx="6">
                  <c:v>1952</c:v>
                </c:pt>
                <c:pt idx="7">
                  <c:v>1907</c:v>
                </c:pt>
                <c:pt idx="8">
                  <c:v>2210</c:v>
                </c:pt>
                <c:pt idx="9" formatCode="#,##0_ ">
                  <c:v>2468</c:v>
                </c:pt>
                <c:pt idx="10" formatCode="#,##0_ ">
                  <c:v>2884</c:v>
                </c:pt>
                <c:pt idx="11" formatCode="#,##0_ ">
                  <c:v>3960</c:v>
                </c:pt>
              </c:numCache>
            </c:numRef>
          </c:val>
          <c:extLst>
            <c:ext xmlns:c16="http://schemas.microsoft.com/office/drawing/2014/chart" uri="{C3380CC4-5D6E-409C-BE32-E72D297353CC}">
              <c16:uniqueId val="{00000002-6769-41C4-8E3F-43F0CED96570}"/>
            </c:ext>
          </c:extLst>
        </c:ser>
        <c:ser>
          <c:idx val="2"/>
          <c:order val="3"/>
          <c:tx>
            <c:strRef>
              <c:f>'Ch3. IP5 Patent Families'!$A$9</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Families'!$K$6:$V$6</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'Ch3. IP5 Patent Families'!$K$9:$V$9</c:f>
              <c:numCache>
                <c:formatCode>#,##0</c:formatCode>
                <c:ptCount val="12"/>
                <c:pt idx="0">
                  <c:v>2343</c:v>
                </c:pt>
                <c:pt idx="1">
                  <c:v>2813</c:v>
                </c:pt>
                <c:pt idx="2">
                  <c:v>3187</c:v>
                </c:pt>
                <c:pt idx="3">
                  <c:v>3183</c:v>
                </c:pt>
                <c:pt idx="4">
                  <c:v>2891</c:v>
                </c:pt>
                <c:pt idx="5">
                  <c:v>2646</c:v>
                </c:pt>
                <c:pt idx="6">
                  <c:v>2649</c:v>
                </c:pt>
                <c:pt idx="7">
                  <c:v>2885</c:v>
                </c:pt>
                <c:pt idx="8">
                  <c:v>3095</c:v>
                </c:pt>
                <c:pt idx="9" formatCode="#,##0_ ">
                  <c:v>3496</c:v>
                </c:pt>
                <c:pt idx="10" formatCode="#,##0_ ">
                  <c:v>3513</c:v>
                </c:pt>
                <c:pt idx="11" formatCode="#,##0_ ">
                  <c:v>3722</c:v>
                </c:pt>
              </c:numCache>
            </c:numRef>
          </c:val>
          <c:extLst>
            <c:ext xmlns:c16="http://schemas.microsoft.com/office/drawing/2014/chart" uri="{C3380CC4-5D6E-409C-BE32-E72D297353CC}">
              <c16:uniqueId val="{00000003-6769-41C4-8E3F-43F0CED96570}"/>
            </c:ext>
          </c:extLst>
        </c:ser>
        <c:ser>
          <c:idx val="1"/>
          <c:order val="4"/>
          <c:tx>
            <c:strRef>
              <c:f>'Ch3. IP5 Patent Families'!$A$8</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Families'!$K$6:$V$6</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'Ch3. IP5 Patent Families'!$K$8:$V$8</c:f>
              <c:numCache>
                <c:formatCode>#,##0</c:formatCode>
                <c:ptCount val="12"/>
                <c:pt idx="0">
                  <c:v>8477</c:v>
                </c:pt>
                <c:pt idx="1">
                  <c:v>9117</c:v>
                </c:pt>
                <c:pt idx="2">
                  <c:v>8755</c:v>
                </c:pt>
                <c:pt idx="3">
                  <c:v>8322</c:v>
                </c:pt>
                <c:pt idx="4">
                  <c:v>7498</c:v>
                </c:pt>
                <c:pt idx="5">
                  <c:v>6538</c:v>
                </c:pt>
                <c:pt idx="6">
                  <c:v>6465</c:v>
                </c:pt>
                <c:pt idx="7">
                  <c:v>6308</c:v>
                </c:pt>
                <c:pt idx="8">
                  <c:v>5931</c:v>
                </c:pt>
                <c:pt idx="9" formatCode="#,##0_ ">
                  <c:v>5696</c:v>
                </c:pt>
                <c:pt idx="10" formatCode="#,##0_ ">
                  <c:v>5321</c:v>
                </c:pt>
                <c:pt idx="11" formatCode="#,##0_ ">
                  <c:v>5738</c:v>
                </c:pt>
              </c:numCache>
            </c:numRef>
          </c:val>
          <c:extLst>
            <c:ext xmlns:c16="http://schemas.microsoft.com/office/drawing/2014/chart" uri="{C3380CC4-5D6E-409C-BE32-E72D297353CC}">
              <c16:uniqueId val="{00000004-6769-41C4-8E3F-43F0CED96570}"/>
            </c:ext>
          </c:extLst>
        </c:ser>
        <c:ser>
          <c:idx val="0"/>
          <c:order val="5"/>
          <c:tx>
            <c:strRef>
              <c:f>'Ch3. IP5 Patent Families'!$A$7</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Families'!$K$6:$V$6</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'Ch3. IP5 Patent Families'!$K$7:$V$7</c:f>
              <c:numCache>
                <c:formatCode>#,##0</c:formatCode>
                <c:ptCount val="12"/>
                <c:pt idx="0">
                  <c:v>7113</c:v>
                </c:pt>
                <c:pt idx="1">
                  <c:v>6600</c:v>
                </c:pt>
                <c:pt idx="2">
                  <c:v>6642</c:v>
                </c:pt>
                <c:pt idx="3">
                  <c:v>6659</c:v>
                </c:pt>
                <c:pt idx="4">
                  <c:v>6791</c:v>
                </c:pt>
                <c:pt idx="5">
                  <c:v>6869</c:v>
                </c:pt>
                <c:pt idx="6">
                  <c:v>6955</c:v>
                </c:pt>
                <c:pt idx="7">
                  <c:v>7153</c:v>
                </c:pt>
                <c:pt idx="8">
                  <c:v>6758</c:v>
                </c:pt>
                <c:pt idx="9" formatCode="#,##0_ ">
                  <c:v>6926</c:v>
                </c:pt>
                <c:pt idx="10" formatCode="#,##0_ ">
                  <c:v>7426</c:v>
                </c:pt>
                <c:pt idx="11" formatCode="#,##0_ ">
                  <c:v>4766</c:v>
                </c:pt>
              </c:numCache>
            </c:numRef>
          </c:val>
          <c:extLst>
            <c:ext xmlns:c16="http://schemas.microsoft.com/office/drawing/2014/chart" uri="{C3380CC4-5D6E-409C-BE32-E72D297353CC}">
              <c16:uniqueId val="{00000005-6769-41C4-8E3F-43F0CED96570}"/>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'Ch3. IP5 Patent Families'!$K$6:$V$6</c:f>
              <c:numCache>
                <c:formatCode>General</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'Ch3. IP5 Patent Families'!$K$13:$V$13</c:f>
              <c:numCache>
                <c:formatCode>#,##0</c:formatCode>
                <c:ptCount val="12"/>
                <c:pt idx="0">
                  <c:v>32704</c:v>
                </c:pt>
                <c:pt idx="1">
                  <c:v>33108</c:v>
                </c:pt>
                <c:pt idx="2">
                  <c:v>34246</c:v>
                </c:pt>
                <c:pt idx="3">
                  <c:v>33911</c:v>
                </c:pt>
                <c:pt idx="4">
                  <c:v>34303</c:v>
                </c:pt>
                <c:pt idx="5">
                  <c:v>31904</c:v>
                </c:pt>
                <c:pt idx="6">
                  <c:v>31839</c:v>
                </c:pt>
                <c:pt idx="7">
                  <c:v>31504</c:v>
                </c:pt>
                <c:pt idx="8">
                  <c:v>32204</c:v>
                </c:pt>
                <c:pt idx="9" formatCode="#,##0_ ">
                  <c:v>32784</c:v>
                </c:pt>
                <c:pt idx="10" formatCode="#,##0_ ">
                  <c:v>34959</c:v>
                </c:pt>
                <c:pt idx="11" formatCode="#,##0_ ">
                  <c:v>29590</c:v>
                </c:pt>
              </c:numCache>
            </c:numRef>
          </c:val>
          <c:extLst>
            <c:ext xmlns:c16="http://schemas.microsoft.com/office/drawing/2014/chart" uri="{C3380CC4-5D6E-409C-BE32-E72D297353CC}">
              <c16:uniqueId val="{00000006-6769-41C4-8E3F-43F0CED96570}"/>
            </c:ext>
          </c:extLst>
        </c:ser>
        <c:dLbls>
          <c:showLegendKey val="0"/>
          <c:showVal val="0"/>
          <c:showCatName val="0"/>
          <c:showSerName val="0"/>
          <c:showPercent val="0"/>
          <c:showBubbleSize val="0"/>
        </c:dLbls>
        <c:gapWidth val="20"/>
        <c:overlap val="100"/>
        <c:axId val="1801073296"/>
        <c:axId val="1801076560"/>
      </c:barChart>
      <c:catAx>
        <c:axId val="1801073296"/>
        <c:scaling>
          <c:orientation val="minMax"/>
        </c:scaling>
        <c:delete val="0"/>
        <c:axPos val="b"/>
        <c:numFmt formatCode="General" sourceLinked="1"/>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76560"/>
        <c:crosses val="autoZero"/>
        <c:auto val="1"/>
        <c:lblAlgn val="ctr"/>
        <c:lblOffset val="100"/>
        <c:noMultiLvlLbl val="0"/>
      </c:catAx>
      <c:valAx>
        <c:axId val="1801076560"/>
        <c:scaling>
          <c:orientation val="minMax"/>
          <c:max val="37900"/>
          <c:min val="0"/>
        </c:scaling>
        <c:delete val="1"/>
        <c:axPos val="l"/>
        <c:numFmt formatCode="#,##0" sourceLinked="1"/>
        <c:majorTickMark val="out"/>
        <c:minorTickMark val="none"/>
        <c:tickLblPos val="nextTo"/>
        <c:crossAx val="1801073296"/>
        <c:crosses val="autoZero"/>
        <c:crossBetween val="between"/>
      </c:valAx>
      <c:spPr>
        <a:noFill/>
        <a:ln>
          <a:noFill/>
        </a:ln>
        <a:effectLst/>
      </c:spPr>
    </c:plotArea>
    <c:legend>
      <c:legendPos val="r"/>
      <c:legendEntry>
        <c:idx val="0"/>
        <c:delete val="1"/>
      </c:legendEntry>
      <c:layout>
        <c:manualLayout>
          <c:xMode val="edge"/>
          <c:yMode val="edge"/>
          <c:x val="0.85043628425206896"/>
          <c:y val="0.25275210740491999"/>
          <c:w val="0.14538070955642299"/>
          <c:h val="0.58954844303037501"/>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b289b54a-fdb1-49a5-95c6-226c50db590d}"/>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2017</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3B47-441A-9A9A-E0F3E70B8826}"/>
              </c:ext>
            </c:extLst>
          </c:dPt>
          <c:dPt>
            <c:idx val="1"/>
            <c:bubble3D val="0"/>
            <c:spPr>
              <a:solidFill>
                <a:srgbClr val="FF0000"/>
              </a:solidFill>
              <a:ln>
                <a:solidFill>
                  <a:schemeClr val="bg1"/>
                </a:solidFill>
              </a:ln>
            </c:spPr>
            <c:extLst>
              <c:ext xmlns:c16="http://schemas.microsoft.com/office/drawing/2014/chart" uri="{C3380CC4-5D6E-409C-BE32-E72D297353CC}">
                <c16:uniqueId val="{00000003-3B47-441A-9A9A-E0F3E70B8826}"/>
              </c:ext>
            </c:extLst>
          </c:dPt>
          <c:dPt>
            <c:idx val="2"/>
            <c:bubble3D val="0"/>
            <c:spPr>
              <a:solidFill>
                <a:srgbClr val="7030A0"/>
              </a:solidFill>
              <a:ln>
                <a:solidFill>
                  <a:schemeClr val="bg1"/>
                </a:solidFill>
              </a:ln>
            </c:spPr>
            <c:extLst>
              <c:ext xmlns:c16="http://schemas.microsoft.com/office/drawing/2014/chart" uri="{C3380CC4-5D6E-409C-BE32-E72D297353CC}">
                <c16:uniqueId val="{00000005-3B47-441A-9A9A-E0F3E70B8826}"/>
              </c:ext>
            </c:extLst>
          </c:dPt>
          <c:dPt>
            <c:idx val="3"/>
            <c:bubble3D val="0"/>
            <c:spPr>
              <a:solidFill>
                <a:srgbClr val="FFC000"/>
              </a:solidFill>
              <a:ln>
                <a:solidFill>
                  <a:schemeClr val="bg1"/>
                </a:solidFill>
              </a:ln>
            </c:spPr>
            <c:extLst>
              <c:ext xmlns:c16="http://schemas.microsoft.com/office/drawing/2014/chart" uri="{C3380CC4-5D6E-409C-BE32-E72D297353CC}">
                <c16:uniqueId val="{00000007-3B47-441A-9A9A-E0F3E70B8826}"/>
              </c:ext>
            </c:extLst>
          </c:dPt>
          <c:dPt>
            <c:idx val="4"/>
            <c:bubble3D val="0"/>
            <c:spPr>
              <a:solidFill>
                <a:srgbClr val="008000"/>
              </a:solidFill>
              <a:ln>
                <a:solidFill>
                  <a:schemeClr val="bg1"/>
                </a:solidFill>
              </a:ln>
            </c:spPr>
            <c:extLst>
              <c:ext xmlns:c16="http://schemas.microsoft.com/office/drawing/2014/chart" uri="{C3380CC4-5D6E-409C-BE32-E72D297353CC}">
                <c16:uniqueId val="{00000009-3B47-441A-9A9A-E0F3E70B8826}"/>
              </c:ext>
            </c:extLst>
          </c:dPt>
          <c:dPt>
            <c:idx val="5"/>
            <c:bubble3D val="0"/>
            <c:spPr>
              <a:solidFill>
                <a:schemeClr val="accent2"/>
              </a:solidFill>
              <a:ln>
                <a:solidFill>
                  <a:schemeClr val="bg1"/>
                </a:solidFill>
              </a:ln>
            </c:spPr>
            <c:extLst>
              <c:ext xmlns:c16="http://schemas.microsoft.com/office/drawing/2014/chart" uri="{C3380CC4-5D6E-409C-BE32-E72D297353CC}">
                <c16:uniqueId val="{0000000B-3B47-441A-9A9A-E0F3E70B8826}"/>
              </c:ext>
            </c:extLst>
          </c:dPt>
          <c:dLbls>
            <c:dLbl>
              <c:idx val="0"/>
              <c:layout>
                <c:manualLayout>
                  <c:x val="-0.200207746758928"/>
                  <c:y val="0.17285780709123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127272727272698"/>
                      <c:h val="0.28706765691402503"/>
                    </c:manualLayout>
                  </c15:layout>
                </c:ext>
                <c:ext xmlns:c16="http://schemas.microsoft.com/office/drawing/2014/chart" uri="{C3380CC4-5D6E-409C-BE32-E72D297353CC}">
                  <c16:uniqueId val="{00000001-3B47-441A-9A9A-E0F3E70B8826}"/>
                </c:ext>
              </c:extLst>
            </c:dLbl>
            <c:dLbl>
              <c:idx val="1"/>
              <c:layout>
                <c:manualLayout>
                  <c:x val="-0.176039449614253"/>
                  <c:y val="-0.12903697703246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0327272727272699"/>
                      <c:h val="0.232109444050799"/>
                    </c:manualLayout>
                  </c15:layout>
                </c:ext>
                <c:ext xmlns:c16="http://schemas.microsoft.com/office/drawing/2014/chart" uri="{C3380CC4-5D6E-409C-BE32-E72D297353CC}">
                  <c16:uniqueId val="{00000003-3B47-441A-9A9A-E0F3E70B8826}"/>
                </c:ext>
              </c:extLst>
            </c:dLbl>
            <c:dLbl>
              <c:idx val="3"/>
              <c:layout>
                <c:manualLayout>
                  <c:x val="0.113617752326414"/>
                  <c:y val="-9.82902347600281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6165656565656598"/>
                      <c:h val="0.28706765691402503"/>
                    </c:manualLayout>
                  </c15:layout>
                </c:ext>
                <c:ext xmlns:c16="http://schemas.microsoft.com/office/drawing/2014/chart" uri="{C3380CC4-5D6E-409C-BE32-E72D297353CC}">
                  <c16:uniqueId val="{00000007-3B47-441A-9A9A-E0F3E70B8826}"/>
                </c:ext>
              </c:extLst>
            </c:dLbl>
            <c:dLbl>
              <c:idx val="5"/>
              <c:layout>
                <c:manualLayout>
                  <c:x val="0.12997375328083999"/>
                  <c:y val="0.110256045899634"/>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242424242424199"/>
                      <c:h val="0.232109444050799"/>
                    </c:manualLayout>
                  </c15:layout>
                </c:ext>
                <c:ext xmlns:c16="http://schemas.microsoft.com/office/drawing/2014/chart" uri="{C3380CC4-5D6E-409C-BE32-E72D297353CC}">
                  <c16:uniqueId val="{0000000B-3B47-441A-9A9A-E0F3E70B8826}"/>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Patents-in-Force'!$T$8:$T$13</c:f>
              <c:numCache>
                <c:formatCode>#,##0</c:formatCode>
                <c:ptCount val="6"/>
                <c:pt idx="0">
                  <c:v>4361241</c:v>
                </c:pt>
                <c:pt idx="1">
                  <c:v>2013666</c:v>
                </c:pt>
                <c:pt idx="2">
                  <c:v>970889</c:v>
                </c:pt>
                <c:pt idx="3">
                  <c:v>2085367</c:v>
                </c:pt>
                <c:pt idx="4">
                  <c:v>2984825</c:v>
                </c:pt>
                <c:pt idx="5">
                  <c:v>1219971</c:v>
                </c:pt>
              </c:numCache>
            </c:numRef>
          </c:val>
          <c:extLst>
            <c:ext xmlns:c16="http://schemas.microsoft.com/office/drawing/2014/chart" uri="{C3380CC4-5D6E-409C-BE32-E72D297353CC}">
              <c16:uniqueId val="{0000000C-3B47-441A-9A9A-E0F3E70B882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3B47-441A-9A9A-E0F3E70B882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3B47-441A-9A9A-E0F3E70B882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3B47-441A-9A9A-E0F3E70B882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3B47-441A-9A9A-E0F3E70B882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3B47-441A-9A9A-E0F3E70B882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3B47-441A-9A9A-E0F3E70B8826}"/>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3B47-441A-9A9A-E0F3E70B8826}"/>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91805544-6d30-43d2-86db-95cf231e9049}"/>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4.1: APPLICATIONS FILED - DOMESTIC AND FOREIGN</a:t>
            </a:r>
            <a:r>
              <a:rPr lang="en-GB" b="1" baseline="0"/>
              <a:t> ORIGIN (THOUSAND)</a:t>
            </a:r>
            <a:endParaRPr lang="en-GB" b="1"/>
          </a:p>
        </c:rich>
      </c:tx>
      <c:layout>
        <c:manualLayout>
          <c:xMode val="edge"/>
          <c:yMode val="edge"/>
          <c:x val="7.0866612525452297E-3"/>
          <c:y val="1.3333333333333299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6.57698056801196E-3"/>
          <c:y val="8.2422222222222202E-2"/>
          <c:w val="0.98684603886397604"/>
          <c:h val="0.82516280464941905"/>
        </c:manualLayout>
      </c:layout>
      <c:barChart>
        <c:barDir val="col"/>
        <c:grouping val="stacked"/>
        <c:varyColors val="0"/>
        <c:ser>
          <c:idx val="0"/>
          <c:order val="0"/>
          <c:tx>
            <c:strRef>
              <c:f>'Ch4. Patent applications filed'!$B$45</c:f>
              <c:strCache>
                <c:ptCount val="1"/>
                <c:pt idx="0">
                  <c:v>Domestic</c:v>
                </c:pt>
              </c:strCache>
            </c:strRef>
          </c:tx>
          <c:spPr>
            <a:solidFill>
              <a:schemeClr val="tx1">
                <a:lumMod val="75000"/>
                <a:lumOff val="25000"/>
              </a:schemeClr>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7F89-4361-ADEE-CC850D737F3A}"/>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7F89-4361-ADEE-CC850D737F3A}"/>
              </c:ext>
            </c:extLst>
          </c:dPt>
          <c:dPt>
            <c:idx val="2"/>
            <c:invertIfNegative val="0"/>
            <c:bubble3D val="0"/>
            <c:spPr>
              <a:solidFill>
                <a:schemeClr val="accent1"/>
              </a:solidFill>
              <a:ln>
                <a:noFill/>
              </a:ln>
              <a:effectLst/>
            </c:spPr>
            <c:extLst>
              <c:ext xmlns:c16="http://schemas.microsoft.com/office/drawing/2014/chart" uri="{C3380CC4-5D6E-409C-BE32-E72D297353CC}">
                <c16:uniqueId val="{00000005-7F89-4361-ADEE-CC850D737F3A}"/>
              </c:ext>
            </c:extLst>
          </c:dPt>
          <c:dPt>
            <c:idx val="3"/>
            <c:invertIfNegative val="0"/>
            <c:bubble3D val="0"/>
            <c:spPr>
              <a:solidFill>
                <a:schemeClr val="accent1"/>
              </a:solidFill>
              <a:ln>
                <a:noFill/>
              </a:ln>
              <a:effectLst/>
            </c:spPr>
            <c:extLst>
              <c:ext xmlns:c16="http://schemas.microsoft.com/office/drawing/2014/chart" uri="{C3380CC4-5D6E-409C-BE32-E72D297353CC}">
                <c16:uniqueId val="{00000007-7F89-4361-ADEE-CC850D737F3A}"/>
              </c:ext>
            </c:extLst>
          </c:dPt>
          <c:dPt>
            <c:idx val="4"/>
            <c:invertIfNegative val="0"/>
            <c:bubble3D val="0"/>
            <c:spPr>
              <a:solidFill>
                <a:schemeClr val="accent1"/>
              </a:solidFill>
              <a:ln>
                <a:noFill/>
              </a:ln>
              <a:effectLst/>
            </c:spPr>
            <c:extLst>
              <c:ext xmlns:c16="http://schemas.microsoft.com/office/drawing/2014/chart" uri="{C3380CC4-5D6E-409C-BE32-E72D297353CC}">
                <c16:uniqueId val="{00000009-7F89-4361-ADEE-CC850D737F3A}"/>
              </c:ext>
            </c:extLst>
          </c:dPt>
          <c:dPt>
            <c:idx val="5"/>
            <c:invertIfNegative val="0"/>
            <c:bubble3D val="0"/>
            <c:spPr>
              <a:solidFill>
                <a:schemeClr val="accent1"/>
              </a:solidFill>
              <a:ln>
                <a:noFill/>
              </a:ln>
              <a:effectLst/>
            </c:spPr>
            <c:extLst>
              <c:ext xmlns:c16="http://schemas.microsoft.com/office/drawing/2014/chart" uri="{C3380CC4-5D6E-409C-BE32-E72D297353CC}">
                <c16:uniqueId val="{0000000B-7F89-4361-ADEE-CC850D737F3A}"/>
              </c:ext>
            </c:extLst>
          </c:dPt>
          <c:dPt>
            <c:idx val="6"/>
            <c:invertIfNegative val="0"/>
            <c:bubble3D val="0"/>
            <c:spPr>
              <a:solidFill>
                <a:schemeClr val="accent1"/>
              </a:solidFill>
              <a:ln>
                <a:noFill/>
              </a:ln>
              <a:effectLst/>
            </c:spPr>
            <c:extLst>
              <c:ext xmlns:c16="http://schemas.microsoft.com/office/drawing/2014/chart" uri="{C3380CC4-5D6E-409C-BE32-E72D297353CC}">
                <c16:uniqueId val="{0000000D-7F89-4361-ADEE-CC850D737F3A}"/>
              </c:ext>
            </c:extLst>
          </c:dPt>
          <c:dPt>
            <c:idx val="7"/>
            <c:invertIfNegative val="0"/>
            <c:bubble3D val="0"/>
            <c:spPr>
              <a:solidFill>
                <a:schemeClr val="accent1"/>
              </a:solidFill>
              <a:ln>
                <a:noFill/>
              </a:ln>
              <a:effectLst/>
            </c:spPr>
            <c:extLst>
              <c:ext xmlns:c16="http://schemas.microsoft.com/office/drawing/2014/chart" uri="{C3380CC4-5D6E-409C-BE32-E72D297353CC}">
                <c16:uniqueId val="{0000000F-7F89-4361-ADEE-CC850D737F3A}"/>
              </c:ext>
            </c:extLst>
          </c:dPt>
          <c:dPt>
            <c:idx val="8"/>
            <c:invertIfNegative val="0"/>
            <c:bubble3D val="0"/>
            <c:spPr>
              <a:solidFill>
                <a:schemeClr val="accent1"/>
              </a:solidFill>
              <a:ln>
                <a:noFill/>
              </a:ln>
              <a:effectLst/>
            </c:spPr>
            <c:extLst>
              <c:ext xmlns:c16="http://schemas.microsoft.com/office/drawing/2014/chart" uri="{C3380CC4-5D6E-409C-BE32-E72D297353CC}">
                <c16:uniqueId val="{00000011-7F89-4361-ADEE-CC850D737F3A}"/>
              </c:ext>
            </c:extLst>
          </c:dPt>
          <c:dPt>
            <c:idx val="9"/>
            <c:invertIfNegative val="0"/>
            <c:bubble3D val="0"/>
            <c:spPr>
              <a:solidFill>
                <a:schemeClr val="accent1"/>
              </a:solidFill>
              <a:ln>
                <a:noFill/>
              </a:ln>
              <a:effectLst/>
            </c:spPr>
            <c:extLst>
              <c:ext xmlns:c16="http://schemas.microsoft.com/office/drawing/2014/chart" uri="{C3380CC4-5D6E-409C-BE32-E72D297353CC}">
                <c16:uniqueId val="{00000013-7F89-4361-ADEE-CC850D737F3A}"/>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15-7F89-4361-ADEE-CC850D737F3A}"/>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17-7F89-4361-ADEE-CC850D737F3A}"/>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19-7F89-4361-ADEE-CC850D737F3A}"/>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1B-7F89-4361-ADEE-CC850D737F3A}"/>
              </c:ext>
            </c:extLst>
          </c:dPt>
          <c:dPt>
            <c:idx val="14"/>
            <c:invertIfNegative val="0"/>
            <c:bubble3D val="0"/>
            <c:spPr>
              <a:solidFill>
                <a:srgbClr val="4472C4"/>
              </a:solidFill>
              <a:ln>
                <a:noFill/>
              </a:ln>
              <a:effectLst/>
            </c:spPr>
            <c:extLst>
              <c:ext xmlns:c16="http://schemas.microsoft.com/office/drawing/2014/chart" uri="{C3380CC4-5D6E-409C-BE32-E72D297353CC}">
                <c16:uniqueId val="{0000001D-7F89-4361-ADEE-CC850D737F3A}"/>
              </c:ext>
            </c:extLst>
          </c:dPt>
          <c:dPt>
            <c:idx val="15"/>
            <c:invertIfNegative val="0"/>
            <c:bubble3D val="0"/>
            <c:spPr>
              <a:solidFill>
                <a:srgbClr val="FF0000"/>
              </a:solidFill>
              <a:ln>
                <a:noFill/>
              </a:ln>
              <a:effectLst/>
            </c:spPr>
            <c:extLst>
              <c:ext xmlns:c16="http://schemas.microsoft.com/office/drawing/2014/chart" uri="{C3380CC4-5D6E-409C-BE32-E72D297353CC}">
                <c16:uniqueId val="{0000001F-7F89-4361-ADEE-CC850D737F3A}"/>
              </c:ext>
            </c:extLst>
          </c:dPt>
          <c:dPt>
            <c:idx val="16"/>
            <c:invertIfNegative val="0"/>
            <c:bubble3D val="0"/>
            <c:spPr>
              <a:solidFill>
                <a:srgbClr val="FF0000"/>
              </a:solidFill>
              <a:ln>
                <a:noFill/>
              </a:ln>
              <a:effectLst/>
            </c:spPr>
            <c:extLst>
              <c:ext xmlns:c16="http://schemas.microsoft.com/office/drawing/2014/chart" uri="{C3380CC4-5D6E-409C-BE32-E72D297353CC}">
                <c16:uniqueId val="{00000021-7F89-4361-ADEE-CC850D737F3A}"/>
              </c:ext>
            </c:extLst>
          </c:dPt>
          <c:dPt>
            <c:idx val="17"/>
            <c:invertIfNegative val="0"/>
            <c:bubble3D val="0"/>
            <c:spPr>
              <a:solidFill>
                <a:srgbClr val="FF0000"/>
              </a:solidFill>
              <a:ln>
                <a:noFill/>
              </a:ln>
              <a:effectLst/>
            </c:spPr>
            <c:extLst>
              <c:ext xmlns:c16="http://schemas.microsoft.com/office/drawing/2014/chart" uri="{C3380CC4-5D6E-409C-BE32-E72D297353CC}">
                <c16:uniqueId val="{00000023-7F89-4361-ADEE-CC850D737F3A}"/>
              </c:ext>
            </c:extLst>
          </c:dPt>
          <c:dPt>
            <c:idx val="18"/>
            <c:invertIfNegative val="0"/>
            <c:bubble3D val="0"/>
            <c:spPr>
              <a:solidFill>
                <a:srgbClr val="FF0000"/>
              </a:solidFill>
              <a:ln>
                <a:noFill/>
              </a:ln>
              <a:effectLst/>
            </c:spPr>
            <c:extLst>
              <c:ext xmlns:c16="http://schemas.microsoft.com/office/drawing/2014/chart" uri="{C3380CC4-5D6E-409C-BE32-E72D297353CC}">
                <c16:uniqueId val="{00000025-7F89-4361-ADEE-CC850D737F3A}"/>
              </c:ext>
            </c:extLst>
          </c:dPt>
          <c:dPt>
            <c:idx val="19"/>
            <c:invertIfNegative val="0"/>
            <c:bubble3D val="0"/>
            <c:spPr>
              <a:solidFill>
                <a:srgbClr val="FF0000"/>
              </a:solidFill>
              <a:ln>
                <a:noFill/>
              </a:ln>
              <a:effectLst/>
            </c:spPr>
            <c:extLst>
              <c:ext xmlns:c16="http://schemas.microsoft.com/office/drawing/2014/chart" uri="{C3380CC4-5D6E-409C-BE32-E72D297353CC}">
                <c16:uniqueId val="{00000027-7F89-4361-ADEE-CC850D737F3A}"/>
              </c:ext>
            </c:extLst>
          </c:dPt>
          <c:dPt>
            <c:idx val="20"/>
            <c:invertIfNegative val="0"/>
            <c:bubble3D val="0"/>
            <c:spPr>
              <a:solidFill>
                <a:srgbClr val="FF0000"/>
              </a:solidFill>
              <a:ln>
                <a:noFill/>
              </a:ln>
              <a:effectLst/>
            </c:spPr>
            <c:extLst>
              <c:ext xmlns:c16="http://schemas.microsoft.com/office/drawing/2014/chart" uri="{C3380CC4-5D6E-409C-BE32-E72D297353CC}">
                <c16:uniqueId val="{00000029-7F89-4361-ADEE-CC850D737F3A}"/>
              </c:ext>
            </c:extLst>
          </c:dPt>
          <c:dPt>
            <c:idx val="21"/>
            <c:invertIfNegative val="0"/>
            <c:bubble3D val="0"/>
            <c:spPr>
              <a:solidFill>
                <a:srgbClr val="FF0000"/>
              </a:solidFill>
              <a:ln>
                <a:noFill/>
              </a:ln>
              <a:effectLst/>
            </c:spPr>
            <c:extLst>
              <c:ext xmlns:c16="http://schemas.microsoft.com/office/drawing/2014/chart" uri="{C3380CC4-5D6E-409C-BE32-E72D297353CC}">
                <c16:uniqueId val="{0000002B-7F89-4361-ADEE-CC850D737F3A}"/>
              </c:ext>
            </c:extLst>
          </c:dPt>
          <c:dPt>
            <c:idx val="22"/>
            <c:invertIfNegative val="0"/>
            <c:bubble3D val="0"/>
            <c:spPr>
              <a:solidFill>
                <a:srgbClr val="FF0000"/>
              </a:solidFill>
              <a:ln>
                <a:noFill/>
              </a:ln>
              <a:effectLst/>
            </c:spPr>
            <c:extLst>
              <c:ext xmlns:c16="http://schemas.microsoft.com/office/drawing/2014/chart" uri="{C3380CC4-5D6E-409C-BE32-E72D297353CC}">
                <c16:uniqueId val="{0000002D-7F89-4361-ADEE-CC850D737F3A}"/>
              </c:ext>
            </c:extLst>
          </c:dPt>
          <c:dPt>
            <c:idx val="23"/>
            <c:invertIfNegative val="0"/>
            <c:bubble3D val="0"/>
            <c:spPr>
              <a:solidFill>
                <a:srgbClr val="FF0000"/>
              </a:solidFill>
              <a:ln>
                <a:noFill/>
              </a:ln>
              <a:effectLst/>
            </c:spPr>
            <c:extLst>
              <c:ext xmlns:c16="http://schemas.microsoft.com/office/drawing/2014/chart" uri="{C3380CC4-5D6E-409C-BE32-E72D297353CC}">
                <c16:uniqueId val="{0000002F-7F89-4361-ADEE-CC850D737F3A}"/>
              </c:ext>
            </c:extLst>
          </c:dPt>
          <c:dPt>
            <c:idx val="24"/>
            <c:invertIfNegative val="0"/>
            <c:bubble3D val="0"/>
            <c:spPr>
              <a:solidFill>
                <a:srgbClr val="FF0000"/>
              </a:solidFill>
              <a:ln>
                <a:noFill/>
              </a:ln>
              <a:effectLst/>
            </c:spPr>
            <c:extLst>
              <c:ext xmlns:c16="http://schemas.microsoft.com/office/drawing/2014/chart" uri="{C3380CC4-5D6E-409C-BE32-E72D297353CC}">
                <c16:uniqueId val="{00000031-7F89-4361-ADEE-CC850D737F3A}"/>
              </c:ext>
            </c:extLst>
          </c:dPt>
          <c:dPt>
            <c:idx val="25"/>
            <c:invertIfNegative val="0"/>
            <c:bubble3D val="0"/>
            <c:spPr>
              <a:solidFill>
                <a:srgbClr val="FF0000"/>
              </a:solidFill>
              <a:ln>
                <a:noFill/>
              </a:ln>
              <a:effectLst/>
            </c:spPr>
            <c:extLst>
              <c:ext xmlns:c16="http://schemas.microsoft.com/office/drawing/2014/chart" uri="{C3380CC4-5D6E-409C-BE32-E72D297353CC}">
                <c16:uniqueId val="{00000033-7F89-4361-ADEE-CC850D737F3A}"/>
              </c:ext>
            </c:extLst>
          </c:dPt>
          <c:dPt>
            <c:idx val="26"/>
            <c:invertIfNegative val="0"/>
            <c:bubble3D val="0"/>
            <c:spPr>
              <a:solidFill>
                <a:srgbClr val="FF0000"/>
              </a:solidFill>
              <a:ln>
                <a:noFill/>
              </a:ln>
              <a:effectLst/>
            </c:spPr>
            <c:extLst>
              <c:ext xmlns:c16="http://schemas.microsoft.com/office/drawing/2014/chart" uri="{C3380CC4-5D6E-409C-BE32-E72D297353CC}">
                <c16:uniqueId val="{00000035-7F89-4361-ADEE-CC850D737F3A}"/>
              </c:ext>
            </c:extLst>
          </c:dPt>
          <c:dPt>
            <c:idx val="27"/>
            <c:invertIfNegative val="0"/>
            <c:bubble3D val="0"/>
            <c:spPr>
              <a:solidFill>
                <a:srgbClr val="FF0000"/>
              </a:solidFill>
              <a:ln>
                <a:noFill/>
              </a:ln>
              <a:effectLst/>
            </c:spPr>
            <c:extLst>
              <c:ext xmlns:c16="http://schemas.microsoft.com/office/drawing/2014/chart" uri="{C3380CC4-5D6E-409C-BE32-E72D297353CC}">
                <c16:uniqueId val="{00000037-7F89-4361-ADEE-CC850D737F3A}"/>
              </c:ext>
            </c:extLst>
          </c:dPt>
          <c:dPt>
            <c:idx val="28"/>
            <c:invertIfNegative val="0"/>
            <c:bubble3D val="0"/>
            <c:spPr>
              <a:solidFill>
                <a:srgbClr val="FF0000"/>
              </a:solidFill>
              <a:ln>
                <a:noFill/>
              </a:ln>
              <a:effectLst/>
            </c:spPr>
            <c:extLst>
              <c:ext xmlns:c16="http://schemas.microsoft.com/office/drawing/2014/chart" uri="{C3380CC4-5D6E-409C-BE32-E72D297353CC}">
                <c16:uniqueId val="{00000039-7F89-4361-ADEE-CC850D737F3A}"/>
              </c:ext>
            </c:extLst>
          </c:dPt>
          <c:dPt>
            <c:idx val="29"/>
            <c:invertIfNegative val="0"/>
            <c:bubble3D val="0"/>
            <c:spPr>
              <a:solidFill>
                <a:srgbClr val="FF0000"/>
              </a:solidFill>
              <a:ln>
                <a:noFill/>
              </a:ln>
              <a:effectLst/>
            </c:spPr>
            <c:extLst>
              <c:ext xmlns:c16="http://schemas.microsoft.com/office/drawing/2014/chart" uri="{C3380CC4-5D6E-409C-BE32-E72D297353CC}">
                <c16:uniqueId val="{0000003B-7F89-4361-ADEE-CC850D737F3A}"/>
              </c:ext>
            </c:extLst>
          </c:dPt>
          <c:dPt>
            <c:idx val="30"/>
            <c:invertIfNegative val="0"/>
            <c:bubble3D val="0"/>
            <c:spPr>
              <a:solidFill>
                <a:srgbClr val="FF0000"/>
              </a:solidFill>
              <a:ln>
                <a:noFill/>
              </a:ln>
              <a:effectLst/>
            </c:spPr>
            <c:extLst>
              <c:ext xmlns:c16="http://schemas.microsoft.com/office/drawing/2014/chart" uri="{C3380CC4-5D6E-409C-BE32-E72D297353CC}">
                <c16:uniqueId val="{0000003D-7F89-4361-ADEE-CC850D737F3A}"/>
              </c:ext>
            </c:extLst>
          </c:dPt>
          <c:dPt>
            <c:idx val="31"/>
            <c:invertIfNegative val="0"/>
            <c:bubble3D val="0"/>
            <c:spPr>
              <a:solidFill>
                <a:srgbClr val="7030A0"/>
              </a:solidFill>
              <a:ln>
                <a:noFill/>
              </a:ln>
              <a:effectLst/>
            </c:spPr>
            <c:extLst>
              <c:ext xmlns:c16="http://schemas.microsoft.com/office/drawing/2014/chart" uri="{C3380CC4-5D6E-409C-BE32-E72D297353CC}">
                <c16:uniqueId val="{0000003F-7F89-4361-ADEE-CC850D737F3A}"/>
              </c:ext>
            </c:extLst>
          </c:dPt>
          <c:dPt>
            <c:idx val="32"/>
            <c:invertIfNegative val="0"/>
            <c:bubble3D val="0"/>
            <c:spPr>
              <a:solidFill>
                <a:srgbClr val="7030A0"/>
              </a:solidFill>
              <a:ln>
                <a:noFill/>
              </a:ln>
              <a:effectLst/>
            </c:spPr>
            <c:extLst>
              <c:ext xmlns:c16="http://schemas.microsoft.com/office/drawing/2014/chart" uri="{C3380CC4-5D6E-409C-BE32-E72D297353CC}">
                <c16:uniqueId val="{00000041-7F89-4361-ADEE-CC850D737F3A}"/>
              </c:ext>
            </c:extLst>
          </c:dPt>
          <c:dPt>
            <c:idx val="33"/>
            <c:invertIfNegative val="0"/>
            <c:bubble3D val="0"/>
            <c:spPr>
              <a:solidFill>
                <a:srgbClr val="7030A0"/>
              </a:solidFill>
              <a:ln>
                <a:noFill/>
              </a:ln>
              <a:effectLst/>
            </c:spPr>
            <c:extLst>
              <c:ext xmlns:c16="http://schemas.microsoft.com/office/drawing/2014/chart" uri="{C3380CC4-5D6E-409C-BE32-E72D297353CC}">
                <c16:uniqueId val="{00000043-7F89-4361-ADEE-CC850D737F3A}"/>
              </c:ext>
            </c:extLst>
          </c:dPt>
          <c:dPt>
            <c:idx val="34"/>
            <c:invertIfNegative val="0"/>
            <c:bubble3D val="0"/>
            <c:spPr>
              <a:solidFill>
                <a:srgbClr val="7030A0"/>
              </a:solidFill>
              <a:ln>
                <a:noFill/>
              </a:ln>
              <a:effectLst/>
            </c:spPr>
            <c:extLst>
              <c:ext xmlns:c16="http://schemas.microsoft.com/office/drawing/2014/chart" uri="{C3380CC4-5D6E-409C-BE32-E72D297353CC}">
                <c16:uniqueId val="{00000045-7F89-4361-ADEE-CC850D737F3A}"/>
              </c:ext>
            </c:extLst>
          </c:dPt>
          <c:dPt>
            <c:idx val="35"/>
            <c:invertIfNegative val="0"/>
            <c:bubble3D val="0"/>
            <c:spPr>
              <a:solidFill>
                <a:srgbClr val="7030A0"/>
              </a:solidFill>
              <a:ln>
                <a:noFill/>
              </a:ln>
              <a:effectLst/>
            </c:spPr>
            <c:extLst>
              <c:ext xmlns:c16="http://schemas.microsoft.com/office/drawing/2014/chart" uri="{C3380CC4-5D6E-409C-BE32-E72D297353CC}">
                <c16:uniqueId val="{00000047-7F89-4361-ADEE-CC850D737F3A}"/>
              </c:ext>
            </c:extLst>
          </c:dPt>
          <c:dPt>
            <c:idx val="36"/>
            <c:invertIfNegative val="0"/>
            <c:bubble3D val="0"/>
            <c:spPr>
              <a:solidFill>
                <a:srgbClr val="7030A0"/>
              </a:solidFill>
              <a:ln>
                <a:noFill/>
              </a:ln>
              <a:effectLst/>
            </c:spPr>
            <c:extLst>
              <c:ext xmlns:c16="http://schemas.microsoft.com/office/drawing/2014/chart" uri="{C3380CC4-5D6E-409C-BE32-E72D297353CC}">
                <c16:uniqueId val="{00000049-7F89-4361-ADEE-CC850D737F3A}"/>
              </c:ext>
            </c:extLst>
          </c:dPt>
          <c:dPt>
            <c:idx val="37"/>
            <c:invertIfNegative val="0"/>
            <c:bubble3D val="0"/>
            <c:spPr>
              <a:solidFill>
                <a:srgbClr val="7030A0"/>
              </a:solidFill>
              <a:ln>
                <a:noFill/>
              </a:ln>
              <a:effectLst/>
            </c:spPr>
            <c:extLst>
              <c:ext xmlns:c16="http://schemas.microsoft.com/office/drawing/2014/chart" uri="{C3380CC4-5D6E-409C-BE32-E72D297353CC}">
                <c16:uniqueId val="{0000004B-7F89-4361-ADEE-CC850D737F3A}"/>
              </c:ext>
            </c:extLst>
          </c:dPt>
          <c:dPt>
            <c:idx val="38"/>
            <c:invertIfNegative val="0"/>
            <c:bubble3D val="0"/>
            <c:spPr>
              <a:solidFill>
                <a:srgbClr val="7030A0"/>
              </a:solidFill>
              <a:ln>
                <a:noFill/>
              </a:ln>
              <a:effectLst/>
            </c:spPr>
            <c:extLst>
              <c:ext xmlns:c16="http://schemas.microsoft.com/office/drawing/2014/chart" uri="{C3380CC4-5D6E-409C-BE32-E72D297353CC}">
                <c16:uniqueId val="{0000004D-7F89-4361-ADEE-CC850D737F3A}"/>
              </c:ext>
            </c:extLst>
          </c:dPt>
          <c:dPt>
            <c:idx val="39"/>
            <c:invertIfNegative val="0"/>
            <c:bubble3D val="0"/>
            <c:spPr>
              <a:solidFill>
                <a:srgbClr val="7030A0"/>
              </a:solidFill>
              <a:ln>
                <a:noFill/>
              </a:ln>
              <a:effectLst/>
            </c:spPr>
            <c:extLst>
              <c:ext xmlns:c16="http://schemas.microsoft.com/office/drawing/2014/chart" uri="{C3380CC4-5D6E-409C-BE32-E72D297353CC}">
                <c16:uniqueId val="{0000004F-7F89-4361-ADEE-CC850D737F3A}"/>
              </c:ext>
            </c:extLst>
          </c:dPt>
          <c:dPt>
            <c:idx val="40"/>
            <c:invertIfNegative val="0"/>
            <c:bubble3D val="0"/>
            <c:spPr>
              <a:solidFill>
                <a:srgbClr val="7030A0"/>
              </a:solidFill>
              <a:ln>
                <a:noFill/>
              </a:ln>
              <a:effectLst/>
            </c:spPr>
            <c:extLst>
              <c:ext xmlns:c16="http://schemas.microsoft.com/office/drawing/2014/chart" uri="{C3380CC4-5D6E-409C-BE32-E72D297353CC}">
                <c16:uniqueId val="{00000051-7F89-4361-ADEE-CC850D737F3A}"/>
              </c:ext>
            </c:extLst>
          </c:dPt>
          <c:dPt>
            <c:idx val="41"/>
            <c:invertIfNegative val="0"/>
            <c:bubble3D val="0"/>
            <c:spPr>
              <a:solidFill>
                <a:srgbClr val="7030A0"/>
              </a:solidFill>
              <a:ln>
                <a:noFill/>
              </a:ln>
              <a:effectLst/>
            </c:spPr>
            <c:extLst>
              <c:ext xmlns:c16="http://schemas.microsoft.com/office/drawing/2014/chart" uri="{C3380CC4-5D6E-409C-BE32-E72D297353CC}">
                <c16:uniqueId val="{00000053-7F89-4361-ADEE-CC850D737F3A}"/>
              </c:ext>
            </c:extLst>
          </c:dPt>
          <c:dPt>
            <c:idx val="42"/>
            <c:invertIfNegative val="0"/>
            <c:bubble3D val="0"/>
            <c:spPr>
              <a:solidFill>
                <a:srgbClr val="7030A0"/>
              </a:solidFill>
              <a:ln>
                <a:noFill/>
              </a:ln>
              <a:effectLst/>
            </c:spPr>
            <c:extLst>
              <c:ext xmlns:c16="http://schemas.microsoft.com/office/drawing/2014/chart" uri="{C3380CC4-5D6E-409C-BE32-E72D297353CC}">
                <c16:uniqueId val="{00000055-7F89-4361-ADEE-CC850D737F3A}"/>
              </c:ext>
            </c:extLst>
          </c:dPt>
          <c:dPt>
            <c:idx val="43"/>
            <c:invertIfNegative val="0"/>
            <c:bubble3D val="0"/>
            <c:spPr>
              <a:solidFill>
                <a:srgbClr val="7030A0"/>
              </a:solidFill>
              <a:ln>
                <a:noFill/>
              </a:ln>
              <a:effectLst/>
            </c:spPr>
            <c:extLst>
              <c:ext xmlns:c16="http://schemas.microsoft.com/office/drawing/2014/chart" uri="{C3380CC4-5D6E-409C-BE32-E72D297353CC}">
                <c16:uniqueId val="{00000057-7F89-4361-ADEE-CC850D737F3A}"/>
              </c:ext>
            </c:extLst>
          </c:dPt>
          <c:dPt>
            <c:idx val="44"/>
            <c:invertIfNegative val="0"/>
            <c:bubble3D val="0"/>
            <c:spPr>
              <a:solidFill>
                <a:srgbClr val="7030A0"/>
              </a:solidFill>
              <a:ln>
                <a:noFill/>
              </a:ln>
              <a:effectLst/>
            </c:spPr>
            <c:extLst>
              <c:ext xmlns:c16="http://schemas.microsoft.com/office/drawing/2014/chart" uri="{C3380CC4-5D6E-409C-BE32-E72D297353CC}">
                <c16:uniqueId val="{00000059-7F89-4361-ADEE-CC850D737F3A}"/>
              </c:ext>
            </c:extLst>
          </c:dPt>
          <c:dPt>
            <c:idx val="45"/>
            <c:invertIfNegative val="0"/>
            <c:bubble3D val="0"/>
            <c:spPr>
              <a:solidFill>
                <a:srgbClr val="7030A0"/>
              </a:solidFill>
              <a:ln>
                <a:noFill/>
              </a:ln>
              <a:effectLst/>
            </c:spPr>
            <c:extLst>
              <c:ext xmlns:c16="http://schemas.microsoft.com/office/drawing/2014/chart" uri="{C3380CC4-5D6E-409C-BE32-E72D297353CC}">
                <c16:uniqueId val="{0000005B-7F89-4361-ADEE-CC850D737F3A}"/>
              </c:ext>
            </c:extLst>
          </c:dPt>
          <c:dPt>
            <c:idx val="46"/>
            <c:invertIfNegative val="0"/>
            <c:bubble3D val="0"/>
            <c:spPr>
              <a:solidFill>
                <a:srgbClr val="7030A0"/>
              </a:solidFill>
              <a:ln>
                <a:noFill/>
              </a:ln>
              <a:effectLst/>
            </c:spPr>
            <c:extLst>
              <c:ext xmlns:c16="http://schemas.microsoft.com/office/drawing/2014/chart" uri="{C3380CC4-5D6E-409C-BE32-E72D297353CC}">
                <c16:uniqueId val="{0000005D-7F89-4361-ADEE-CC850D737F3A}"/>
              </c:ext>
            </c:extLst>
          </c:dPt>
          <c:dPt>
            <c:idx val="47"/>
            <c:invertIfNegative val="0"/>
            <c:bubble3D val="0"/>
            <c:spPr>
              <a:solidFill>
                <a:srgbClr val="FFC000"/>
              </a:solidFill>
              <a:ln>
                <a:noFill/>
              </a:ln>
              <a:effectLst/>
            </c:spPr>
            <c:extLst>
              <c:ext xmlns:c16="http://schemas.microsoft.com/office/drawing/2014/chart" uri="{C3380CC4-5D6E-409C-BE32-E72D297353CC}">
                <c16:uniqueId val="{0000005F-7F89-4361-ADEE-CC850D737F3A}"/>
              </c:ext>
            </c:extLst>
          </c:dPt>
          <c:dPt>
            <c:idx val="48"/>
            <c:invertIfNegative val="0"/>
            <c:bubble3D val="0"/>
            <c:spPr>
              <a:solidFill>
                <a:srgbClr val="FFC000"/>
              </a:solidFill>
              <a:ln>
                <a:noFill/>
              </a:ln>
              <a:effectLst/>
            </c:spPr>
            <c:extLst>
              <c:ext xmlns:c16="http://schemas.microsoft.com/office/drawing/2014/chart" uri="{C3380CC4-5D6E-409C-BE32-E72D297353CC}">
                <c16:uniqueId val="{00000061-7F89-4361-ADEE-CC850D737F3A}"/>
              </c:ext>
            </c:extLst>
          </c:dPt>
          <c:dPt>
            <c:idx val="49"/>
            <c:invertIfNegative val="0"/>
            <c:bubble3D val="0"/>
            <c:spPr>
              <a:solidFill>
                <a:srgbClr val="FFC000"/>
              </a:solidFill>
              <a:ln>
                <a:noFill/>
              </a:ln>
              <a:effectLst/>
            </c:spPr>
            <c:extLst>
              <c:ext xmlns:c16="http://schemas.microsoft.com/office/drawing/2014/chart" uri="{C3380CC4-5D6E-409C-BE32-E72D297353CC}">
                <c16:uniqueId val="{00000063-7F89-4361-ADEE-CC850D737F3A}"/>
              </c:ext>
            </c:extLst>
          </c:dPt>
          <c:dPt>
            <c:idx val="50"/>
            <c:invertIfNegative val="0"/>
            <c:bubble3D val="0"/>
            <c:spPr>
              <a:solidFill>
                <a:srgbClr val="FFC000"/>
              </a:solidFill>
              <a:ln>
                <a:noFill/>
              </a:ln>
              <a:effectLst/>
            </c:spPr>
            <c:extLst>
              <c:ext xmlns:c16="http://schemas.microsoft.com/office/drawing/2014/chart" uri="{C3380CC4-5D6E-409C-BE32-E72D297353CC}">
                <c16:uniqueId val="{00000065-7F89-4361-ADEE-CC850D737F3A}"/>
              </c:ext>
            </c:extLst>
          </c:dPt>
          <c:dPt>
            <c:idx val="51"/>
            <c:invertIfNegative val="0"/>
            <c:bubble3D val="0"/>
            <c:spPr>
              <a:solidFill>
                <a:srgbClr val="FFC000"/>
              </a:solidFill>
              <a:ln>
                <a:noFill/>
              </a:ln>
              <a:effectLst/>
            </c:spPr>
            <c:extLst>
              <c:ext xmlns:c16="http://schemas.microsoft.com/office/drawing/2014/chart" uri="{C3380CC4-5D6E-409C-BE32-E72D297353CC}">
                <c16:uniqueId val="{00000067-7F89-4361-ADEE-CC850D737F3A}"/>
              </c:ext>
            </c:extLst>
          </c:dPt>
          <c:dPt>
            <c:idx val="52"/>
            <c:invertIfNegative val="0"/>
            <c:bubble3D val="0"/>
            <c:spPr>
              <a:solidFill>
                <a:srgbClr val="FFC000"/>
              </a:solidFill>
              <a:ln>
                <a:noFill/>
              </a:ln>
              <a:effectLst/>
            </c:spPr>
            <c:extLst>
              <c:ext xmlns:c16="http://schemas.microsoft.com/office/drawing/2014/chart" uri="{C3380CC4-5D6E-409C-BE32-E72D297353CC}">
                <c16:uniqueId val="{00000069-7F89-4361-ADEE-CC850D737F3A}"/>
              </c:ext>
            </c:extLst>
          </c:dPt>
          <c:dPt>
            <c:idx val="53"/>
            <c:invertIfNegative val="0"/>
            <c:bubble3D val="0"/>
            <c:spPr>
              <a:solidFill>
                <a:srgbClr val="FFC000"/>
              </a:solidFill>
              <a:ln>
                <a:noFill/>
              </a:ln>
              <a:effectLst/>
            </c:spPr>
            <c:extLst>
              <c:ext xmlns:c16="http://schemas.microsoft.com/office/drawing/2014/chart" uri="{C3380CC4-5D6E-409C-BE32-E72D297353CC}">
                <c16:uniqueId val="{0000006B-7F89-4361-ADEE-CC850D737F3A}"/>
              </c:ext>
            </c:extLst>
          </c:dPt>
          <c:dPt>
            <c:idx val="54"/>
            <c:invertIfNegative val="0"/>
            <c:bubble3D val="0"/>
            <c:spPr>
              <a:solidFill>
                <a:srgbClr val="FFC000"/>
              </a:solidFill>
              <a:ln>
                <a:noFill/>
              </a:ln>
              <a:effectLst/>
            </c:spPr>
            <c:extLst>
              <c:ext xmlns:c16="http://schemas.microsoft.com/office/drawing/2014/chart" uri="{C3380CC4-5D6E-409C-BE32-E72D297353CC}">
                <c16:uniqueId val="{0000006D-7F89-4361-ADEE-CC850D737F3A}"/>
              </c:ext>
            </c:extLst>
          </c:dPt>
          <c:dPt>
            <c:idx val="55"/>
            <c:invertIfNegative val="0"/>
            <c:bubble3D val="0"/>
            <c:spPr>
              <a:solidFill>
                <a:srgbClr val="FFC000"/>
              </a:solidFill>
              <a:ln>
                <a:noFill/>
              </a:ln>
              <a:effectLst/>
            </c:spPr>
            <c:extLst>
              <c:ext xmlns:c16="http://schemas.microsoft.com/office/drawing/2014/chart" uri="{C3380CC4-5D6E-409C-BE32-E72D297353CC}">
                <c16:uniqueId val="{0000006F-7F89-4361-ADEE-CC850D737F3A}"/>
              </c:ext>
            </c:extLst>
          </c:dPt>
          <c:dPt>
            <c:idx val="56"/>
            <c:invertIfNegative val="0"/>
            <c:bubble3D val="0"/>
            <c:spPr>
              <a:solidFill>
                <a:srgbClr val="FFC000"/>
              </a:solidFill>
              <a:ln>
                <a:noFill/>
              </a:ln>
              <a:effectLst/>
            </c:spPr>
            <c:extLst>
              <c:ext xmlns:c16="http://schemas.microsoft.com/office/drawing/2014/chart" uri="{C3380CC4-5D6E-409C-BE32-E72D297353CC}">
                <c16:uniqueId val="{00000071-7F89-4361-ADEE-CC850D737F3A}"/>
              </c:ext>
            </c:extLst>
          </c:dPt>
          <c:dPt>
            <c:idx val="57"/>
            <c:invertIfNegative val="0"/>
            <c:bubble3D val="0"/>
            <c:spPr>
              <a:solidFill>
                <a:schemeClr val="accent4"/>
              </a:solidFill>
              <a:ln>
                <a:noFill/>
              </a:ln>
              <a:effectLst/>
            </c:spPr>
            <c:extLst>
              <c:ext xmlns:c16="http://schemas.microsoft.com/office/drawing/2014/chart" uri="{C3380CC4-5D6E-409C-BE32-E72D297353CC}">
                <c16:uniqueId val="{00000073-7F89-4361-ADEE-CC850D737F3A}"/>
              </c:ext>
            </c:extLst>
          </c:dPt>
          <c:dPt>
            <c:idx val="58"/>
            <c:invertIfNegative val="0"/>
            <c:bubble3D val="0"/>
            <c:spPr>
              <a:solidFill>
                <a:schemeClr val="accent4"/>
              </a:solidFill>
              <a:ln>
                <a:noFill/>
              </a:ln>
              <a:effectLst/>
            </c:spPr>
            <c:extLst>
              <c:ext xmlns:c16="http://schemas.microsoft.com/office/drawing/2014/chart" uri="{C3380CC4-5D6E-409C-BE32-E72D297353CC}">
                <c16:uniqueId val="{00000075-7F89-4361-ADEE-CC850D737F3A}"/>
              </c:ext>
            </c:extLst>
          </c:dPt>
          <c:dPt>
            <c:idx val="59"/>
            <c:invertIfNegative val="0"/>
            <c:bubble3D val="0"/>
            <c:spPr>
              <a:solidFill>
                <a:srgbClr val="FFC000"/>
              </a:solidFill>
              <a:ln>
                <a:noFill/>
              </a:ln>
              <a:effectLst/>
            </c:spPr>
            <c:extLst>
              <c:ext xmlns:c16="http://schemas.microsoft.com/office/drawing/2014/chart" uri="{C3380CC4-5D6E-409C-BE32-E72D297353CC}">
                <c16:uniqueId val="{00000077-7F89-4361-ADEE-CC850D737F3A}"/>
              </c:ext>
            </c:extLst>
          </c:dPt>
          <c:dPt>
            <c:idx val="60"/>
            <c:invertIfNegative val="0"/>
            <c:bubble3D val="0"/>
            <c:spPr>
              <a:solidFill>
                <a:srgbClr val="FFC000"/>
              </a:solidFill>
              <a:ln>
                <a:noFill/>
              </a:ln>
              <a:effectLst/>
            </c:spPr>
            <c:extLst>
              <c:ext xmlns:c16="http://schemas.microsoft.com/office/drawing/2014/chart" uri="{C3380CC4-5D6E-409C-BE32-E72D297353CC}">
                <c16:uniqueId val="{00000079-7F89-4361-ADEE-CC850D737F3A}"/>
              </c:ext>
            </c:extLst>
          </c:dPt>
          <c:dPt>
            <c:idx val="61"/>
            <c:invertIfNegative val="0"/>
            <c:bubble3D val="0"/>
            <c:spPr>
              <a:solidFill>
                <a:srgbClr val="FFC000"/>
              </a:solidFill>
              <a:ln>
                <a:noFill/>
              </a:ln>
              <a:effectLst/>
            </c:spPr>
            <c:extLst>
              <c:ext xmlns:c16="http://schemas.microsoft.com/office/drawing/2014/chart" uri="{C3380CC4-5D6E-409C-BE32-E72D297353CC}">
                <c16:uniqueId val="{0000007B-7F89-4361-ADEE-CC850D737F3A}"/>
              </c:ext>
            </c:extLst>
          </c:dPt>
          <c:dPt>
            <c:idx val="62"/>
            <c:invertIfNegative val="0"/>
            <c:bubble3D val="0"/>
            <c:spPr>
              <a:solidFill>
                <a:srgbClr val="FFC000"/>
              </a:solidFill>
              <a:ln>
                <a:noFill/>
              </a:ln>
              <a:effectLst/>
            </c:spPr>
            <c:extLst>
              <c:ext xmlns:c16="http://schemas.microsoft.com/office/drawing/2014/chart" uri="{C3380CC4-5D6E-409C-BE32-E72D297353CC}">
                <c16:uniqueId val="{0000007D-7F89-4361-ADEE-CC850D737F3A}"/>
              </c:ext>
            </c:extLst>
          </c:dPt>
          <c:dPt>
            <c:idx val="63"/>
            <c:invertIfNegative val="0"/>
            <c:bubble3D val="0"/>
            <c:spPr>
              <a:solidFill>
                <a:srgbClr val="008000"/>
              </a:solidFill>
              <a:ln>
                <a:noFill/>
              </a:ln>
              <a:effectLst/>
            </c:spPr>
            <c:extLst>
              <c:ext xmlns:c16="http://schemas.microsoft.com/office/drawing/2014/chart" uri="{C3380CC4-5D6E-409C-BE32-E72D297353CC}">
                <c16:uniqueId val="{0000007F-7F89-4361-ADEE-CC850D737F3A}"/>
              </c:ext>
            </c:extLst>
          </c:dPt>
          <c:dPt>
            <c:idx val="64"/>
            <c:invertIfNegative val="0"/>
            <c:bubble3D val="0"/>
            <c:spPr>
              <a:solidFill>
                <a:srgbClr val="008000"/>
              </a:solidFill>
              <a:ln>
                <a:noFill/>
              </a:ln>
              <a:effectLst/>
            </c:spPr>
            <c:extLst>
              <c:ext xmlns:c16="http://schemas.microsoft.com/office/drawing/2014/chart" uri="{C3380CC4-5D6E-409C-BE32-E72D297353CC}">
                <c16:uniqueId val="{00000081-7F89-4361-ADEE-CC850D737F3A}"/>
              </c:ext>
            </c:extLst>
          </c:dPt>
          <c:dPt>
            <c:idx val="65"/>
            <c:invertIfNegative val="0"/>
            <c:bubble3D val="0"/>
            <c:spPr>
              <a:solidFill>
                <a:srgbClr val="008000"/>
              </a:solidFill>
              <a:ln>
                <a:noFill/>
              </a:ln>
              <a:effectLst/>
            </c:spPr>
            <c:extLst>
              <c:ext xmlns:c16="http://schemas.microsoft.com/office/drawing/2014/chart" uri="{C3380CC4-5D6E-409C-BE32-E72D297353CC}">
                <c16:uniqueId val="{00000083-7F89-4361-ADEE-CC850D737F3A}"/>
              </c:ext>
            </c:extLst>
          </c:dPt>
          <c:dPt>
            <c:idx val="66"/>
            <c:invertIfNegative val="0"/>
            <c:bubble3D val="0"/>
            <c:spPr>
              <a:solidFill>
                <a:srgbClr val="008000"/>
              </a:solidFill>
              <a:ln>
                <a:noFill/>
              </a:ln>
              <a:effectLst/>
            </c:spPr>
            <c:extLst>
              <c:ext xmlns:c16="http://schemas.microsoft.com/office/drawing/2014/chart" uri="{C3380CC4-5D6E-409C-BE32-E72D297353CC}">
                <c16:uniqueId val="{00000085-7F89-4361-ADEE-CC850D737F3A}"/>
              </c:ext>
            </c:extLst>
          </c:dPt>
          <c:dPt>
            <c:idx val="67"/>
            <c:invertIfNegative val="0"/>
            <c:bubble3D val="0"/>
            <c:spPr>
              <a:solidFill>
                <a:srgbClr val="008000"/>
              </a:solidFill>
              <a:ln>
                <a:noFill/>
              </a:ln>
              <a:effectLst/>
            </c:spPr>
            <c:extLst>
              <c:ext xmlns:c16="http://schemas.microsoft.com/office/drawing/2014/chart" uri="{C3380CC4-5D6E-409C-BE32-E72D297353CC}">
                <c16:uniqueId val="{00000087-7F89-4361-ADEE-CC850D737F3A}"/>
              </c:ext>
            </c:extLst>
          </c:dPt>
          <c:dPt>
            <c:idx val="68"/>
            <c:invertIfNegative val="0"/>
            <c:bubble3D val="0"/>
            <c:spPr>
              <a:solidFill>
                <a:srgbClr val="008000"/>
              </a:solidFill>
              <a:ln>
                <a:noFill/>
              </a:ln>
              <a:effectLst/>
            </c:spPr>
            <c:extLst>
              <c:ext xmlns:c16="http://schemas.microsoft.com/office/drawing/2014/chart" uri="{C3380CC4-5D6E-409C-BE32-E72D297353CC}">
                <c16:uniqueId val="{00000089-7F89-4361-ADEE-CC850D737F3A}"/>
              </c:ext>
            </c:extLst>
          </c:dPt>
          <c:dPt>
            <c:idx val="69"/>
            <c:invertIfNegative val="0"/>
            <c:bubble3D val="0"/>
            <c:spPr>
              <a:solidFill>
                <a:srgbClr val="008000"/>
              </a:solidFill>
              <a:ln>
                <a:noFill/>
              </a:ln>
              <a:effectLst/>
            </c:spPr>
            <c:extLst>
              <c:ext xmlns:c16="http://schemas.microsoft.com/office/drawing/2014/chart" uri="{C3380CC4-5D6E-409C-BE32-E72D297353CC}">
                <c16:uniqueId val="{0000008B-7F89-4361-ADEE-CC850D737F3A}"/>
              </c:ext>
            </c:extLst>
          </c:dPt>
          <c:dPt>
            <c:idx val="70"/>
            <c:invertIfNegative val="0"/>
            <c:bubble3D val="0"/>
            <c:spPr>
              <a:solidFill>
                <a:srgbClr val="008000"/>
              </a:solidFill>
              <a:ln>
                <a:noFill/>
              </a:ln>
              <a:effectLst/>
            </c:spPr>
            <c:extLst>
              <c:ext xmlns:c16="http://schemas.microsoft.com/office/drawing/2014/chart" uri="{C3380CC4-5D6E-409C-BE32-E72D297353CC}">
                <c16:uniqueId val="{0000008D-7F89-4361-ADEE-CC850D737F3A}"/>
              </c:ext>
            </c:extLst>
          </c:dPt>
          <c:dPt>
            <c:idx val="71"/>
            <c:invertIfNegative val="0"/>
            <c:bubble3D val="0"/>
            <c:spPr>
              <a:solidFill>
                <a:srgbClr val="008000"/>
              </a:solidFill>
              <a:ln>
                <a:noFill/>
              </a:ln>
              <a:effectLst/>
            </c:spPr>
            <c:extLst>
              <c:ext xmlns:c16="http://schemas.microsoft.com/office/drawing/2014/chart" uri="{C3380CC4-5D6E-409C-BE32-E72D297353CC}">
                <c16:uniqueId val="{0000008F-7F89-4361-ADEE-CC850D737F3A}"/>
              </c:ext>
            </c:extLst>
          </c:dPt>
          <c:dPt>
            <c:idx val="72"/>
            <c:invertIfNegative val="0"/>
            <c:bubble3D val="0"/>
            <c:spPr>
              <a:solidFill>
                <a:srgbClr val="008000"/>
              </a:solidFill>
              <a:ln>
                <a:noFill/>
              </a:ln>
              <a:effectLst/>
            </c:spPr>
            <c:extLst>
              <c:ext xmlns:c16="http://schemas.microsoft.com/office/drawing/2014/chart" uri="{C3380CC4-5D6E-409C-BE32-E72D297353CC}">
                <c16:uniqueId val="{00000091-7F89-4361-ADEE-CC850D737F3A}"/>
              </c:ext>
            </c:extLst>
          </c:dPt>
          <c:dPt>
            <c:idx val="73"/>
            <c:invertIfNegative val="0"/>
            <c:bubble3D val="0"/>
            <c:spPr>
              <a:solidFill>
                <a:srgbClr val="008000"/>
              </a:solidFill>
              <a:ln>
                <a:noFill/>
              </a:ln>
              <a:effectLst/>
            </c:spPr>
            <c:extLst>
              <c:ext xmlns:c16="http://schemas.microsoft.com/office/drawing/2014/chart" uri="{C3380CC4-5D6E-409C-BE32-E72D297353CC}">
                <c16:uniqueId val="{00000093-7F89-4361-ADEE-CC850D737F3A}"/>
              </c:ext>
            </c:extLst>
          </c:dPt>
          <c:dPt>
            <c:idx val="74"/>
            <c:invertIfNegative val="0"/>
            <c:bubble3D val="0"/>
            <c:spPr>
              <a:solidFill>
                <a:srgbClr val="008000"/>
              </a:solidFill>
              <a:ln>
                <a:noFill/>
              </a:ln>
              <a:effectLst/>
            </c:spPr>
            <c:extLst>
              <c:ext xmlns:c16="http://schemas.microsoft.com/office/drawing/2014/chart" uri="{C3380CC4-5D6E-409C-BE32-E72D297353CC}">
                <c16:uniqueId val="{00000095-7F89-4361-ADEE-CC850D737F3A}"/>
              </c:ext>
            </c:extLst>
          </c:dPt>
          <c:dPt>
            <c:idx val="75"/>
            <c:invertIfNegative val="0"/>
            <c:bubble3D val="0"/>
            <c:spPr>
              <a:solidFill>
                <a:srgbClr val="008000"/>
              </a:solidFill>
              <a:ln>
                <a:noFill/>
              </a:ln>
              <a:effectLst/>
            </c:spPr>
            <c:extLst>
              <c:ext xmlns:c16="http://schemas.microsoft.com/office/drawing/2014/chart" uri="{C3380CC4-5D6E-409C-BE32-E72D297353CC}">
                <c16:uniqueId val="{00000097-7F89-4361-ADEE-CC850D737F3A}"/>
              </c:ext>
            </c:extLst>
          </c:dPt>
          <c:dPt>
            <c:idx val="76"/>
            <c:invertIfNegative val="0"/>
            <c:bubble3D val="0"/>
            <c:spPr>
              <a:solidFill>
                <a:srgbClr val="008000"/>
              </a:solidFill>
              <a:ln>
                <a:noFill/>
              </a:ln>
              <a:effectLst/>
            </c:spPr>
            <c:extLst>
              <c:ext xmlns:c16="http://schemas.microsoft.com/office/drawing/2014/chart" uri="{C3380CC4-5D6E-409C-BE32-E72D297353CC}">
                <c16:uniqueId val="{00000099-7F89-4361-ADEE-CC850D737F3A}"/>
              </c:ext>
            </c:extLst>
          </c:dPt>
          <c:dPt>
            <c:idx val="77"/>
            <c:invertIfNegative val="0"/>
            <c:bubble3D val="0"/>
            <c:spPr>
              <a:solidFill>
                <a:srgbClr val="008000"/>
              </a:solidFill>
              <a:ln>
                <a:noFill/>
              </a:ln>
              <a:effectLst/>
            </c:spPr>
            <c:extLst>
              <c:ext xmlns:c16="http://schemas.microsoft.com/office/drawing/2014/chart" uri="{C3380CC4-5D6E-409C-BE32-E72D297353CC}">
                <c16:uniqueId val="{0000009B-7F89-4361-ADEE-CC850D737F3A}"/>
              </c:ext>
            </c:extLst>
          </c:dPt>
          <c:dPt>
            <c:idx val="78"/>
            <c:invertIfNegative val="0"/>
            <c:bubble3D val="0"/>
            <c:spPr>
              <a:solidFill>
                <a:srgbClr val="008000"/>
              </a:solidFill>
              <a:ln>
                <a:noFill/>
              </a:ln>
              <a:effectLst/>
            </c:spPr>
            <c:extLst>
              <c:ext xmlns:c16="http://schemas.microsoft.com/office/drawing/2014/chart" uri="{C3380CC4-5D6E-409C-BE32-E72D297353CC}">
                <c16:uniqueId val="{0000009D-7F89-4361-ADEE-CC850D737F3A}"/>
              </c:ext>
            </c:extLst>
          </c:dPt>
          <c:dLbls>
            <c:dLbl>
              <c:idx val="47"/>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F-7F89-4361-ADEE-CC850D737F3A}"/>
                </c:ext>
              </c:extLst>
            </c:dLbl>
            <c:dLbl>
              <c:idx val="48"/>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1-7F89-4361-ADEE-CC850D737F3A}"/>
                </c:ext>
              </c:extLst>
            </c:dLbl>
            <c:dLbl>
              <c:idx val="49"/>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3-7F89-4361-ADEE-CC850D737F3A}"/>
                </c:ext>
              </c:extLst>
            </c:dLbl>
            <c:dLbl>
              <c:idx val="50"/>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5-7F89-4361-ADEE-CC850D737F3A}"/>
                </c:ext>
              </c:extLst>
            </c:dLbl>
            <c:dLbl>
              <c:idx val="51"/>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7-7F89-4361-ADEE-CC850D737F3A}"/>
                </c:ext>
              </c:extLst>
            </c:dLbl>
            <c:dLbl>
              <c:idx val="52"/>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9-7F89-4361-ADEE-CC850D737F3A}"/>
                </c:ext>
              </c:extLst>
            </c:dLbl>
            <c:dLbl>
              <c:idx val="53"/>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B-7F89-4361-ADEE-CC850D737F3A}"/>
                </c:ext>
              </c:extLst>
            </c:dLbl>
            <c:dLbl>
              <c:idx val="54"/>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D-7F89-4361-ADEE-CC850D737F3A}"/>
                </c:ext>
              </c:extLst>
            </c:dLbl>
            <c:dLbl>
              <c:idx val="55"/>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6F-7F89-4361-ADEE-CC850D737F3A}"/>
                </c:ext>
              </c:extLst>
            </c:dLbl>
            <c:dLbl>
              <c:idx val="56"/>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71-7F89-4361-ADEE-CC850D737F3A}"/>
                </c:ext>
              </c:extLst>
            </c:dLbl>
            <c:dLbl>
              <c:idx val="57"/>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73-7F89-4361-ADEE-CC850D737F3A}"/>
                </c:ext>
              </c:extLst>
            </c:dLbl>
            <c:dLbl>
              <c:idx val="58"/>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75-7F89-4361-ADEE-CC850D737F3A}"/>
                </c:ext>
              </c:extLst>
            </c:dLbl>
            <c:dLbl>
              <c:idx val="59"/>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rgbClr val="C55A11"/>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77-7F89-4361-ADEE-CC850D737F3A}"/>
                </c:ext>
              </c:extLst>
            </c:dLbl>
            <c:dLbl>
              <c:idx val="60"/>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rgbClr val="C55A11"/>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79-7F89-4361-ADEE-CC850D737F3A}"/>
                </c:ext>
              </c:extLst>
            </c:dLbl>
            <c:dLbl>
              <c:idx val="61"/>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rgbClr val="C55A11"/>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7B-7F89-4361-ADEE-CC850D737F3A}"/>
                </c:ext>
              </c:extLst>
            </c:dLbl>
            <c:dLbl>
              <c:idx val="62"/>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rgbClr val="C55A11"/>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7D-7F89-4361-ADEE-CC850D737F3A}"/>
                </c:ext>
              </c:extLst>
            </c:dLbl>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Patent applications filed'!$AF$103:$DF$103</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Patent applications filed'!$AF$104:$DF$104</c:f>
              <c:numCache>
                <c:formatCode>#,##0.0</c:formatCode>
                <c:ptCount val="79"/>
                <c:pt idx="0">
                  <c:v>74.408000000000001</c:v>
                </c:pt>
                <c:pt idx="1">
                  <c:v>71.903999999999996</c:v>
                </c:pt>
                <c:pt idx="2">
                  <c:v>72.965000000000003</c:v>
                </c:pt>
                <c:pt idx="3">
                  <c:v>73.42</c:v>
                </c:pt>
                <c:pt idx="4">
                  <c:v>75.180000000000007</c:v>
                </c:pt>
                <c:pt idx="5">
                  <c:v>76.096999999999994</c:v>
                </c:pt>
                <c:pt idx="6">
                  <c:v>76.052000000000007</c:v>
                </c:pt>
                <c:pt idx="7">
                  <c:v>78.492999999999995</c:v>
                </c:pt>
                <c:pt idx="8">
                  <c:v>81.593999999999994</c:v>
                </c:pt>
                <c:pt idx="9">
                  <c:v>82.554000000000002</c:v>
                </c:pt>
                <c:pt idx="10">
                  <c:v>81.531000000000006</c:v>
                </c:pt>
                <c:pt idx="11">
                  <c:v>83.894000000000005</c:v>
                </c:pt>
                <c:pt idx="12">
                  <c:v>84.224999999999994</c:v>
                </c:pt>
                <c:pt idx="13">
                  <c:v>85.748000000000005</c:v>
                </c:pt>
                <c:pt idx="14">
                  <c:v>86.296000000000006</c:v>
                </c:pt>
                <c:pt idx="16">
                  <c:v>290.08100000000002</c:v>
                </c:pt>
                <c:pt idx="17">
                  <c:v>287.58</c:v>
                </c:pt>
                <c:pt idx="18">
                  <c:v>287.01299999999998</c:v>
                </c:pt>
                <c:pt idx="19">
                  <c:v>271.73099999999999</c:v>
                </c:pt>
                <c:pt idx="20">
                  <c:v>265.959</c:v>
                </c:pt>
                <c:pt idx="21">
                  <c:v>258.839</c:v>
                </c:pt>
                <c:pt idx="22">
                  <c:v>260.24400000000003</c:v>
                </c:pt>
                <c:pt idx="23">
                  <c:v>260.29000000000002</c:v>
                </c:pt>
                <c:pt idx="24">
                  <c:v>253.63</c:v>
                </c:pt>
                <c:pt idx="25">
                  <c:v>245.37200000000001</c:v>
                </c:pt>
                <c:pt idx="26">
                  <c:v>227.34800000000001</c:v>
                </c:pt>
                <c:pt idx="27">
                  <c:v>222.452</c:v>
                </c:pt>
                <c:pt idx="28">
                  <c:v>218.81299999999999</c:v>
                </c:pt>
                <c:pt idx="29">
                  <c:v>228.93600000000001</c:v>
                </c:pt>
                <c:pt idx="30">
                  <c:v>237.16900000000001</c:v>
                </c:pt>
                <c:pt idx="32">
                  <c:v>131.80500000000001</c:v>
                </c:pt>
                <c:pt idx="33">
                  <c:v>138.03399999999999</c:v>
                </c:pt>
                <c:pt idx="34">
                  <c:v>148.136</c:v>
                </c:pt>
                <c:pt idx="35">
                  <c:v>159.97800000000001</c:v>
                </c:pt>
                <c:pt idx="36">
                  <c:v>164.07300000000001</c:v>
                </c:pt>
                <c:pt idx="37">
                  <c:v>167.273</c:v>
                </c:pt>
                <c:pt idx="38">
                  <c:v>163.423</c:v>
                </c:pt>
                <c:pt idx="39">
                  <c:v>159.03100000000001</c:v>
                </c:pt>
                <c:pt idx="40">
                  <c:v>162.57599999999999</c:v>
                </c:pt>
                <c:pt idx="41">
                  <c:v>171.60300000000001</c:v>
                </c:pt>
                <c:pt idx="42">
                  <c:v>180.477</c:v>
                </c:pt>
                <c:pt idx="43">
                  <c:v>186.245</c:v>
                </c:pt>
                <c:pt idx="44">
                  <c:v>183.74799999999999</c:v>
                </c:pt>
                <c:pt idx="45">
                  <c:v>191.142</c:v>
                </c:pt>
                <c:pt idx="46">
                  <c:v>195.786</c:v>
                </c:pt>
                <c:pt idx="48">
                  <c:v>293.06599999999997</c:v>
                </c:pt>
                <c:pt idx="49">
                  <c:v>415.82900000000001</c:v>
                </c:pt>
                <c:pt idx="50">
                  <c:v>535.31500000000005</c:v>
                </c:pt>
                <c:pt idx="51">
                  <c:v>704.93600000000004</c:v>
                </c:pt>
                <c:pt idx="52">
                  <c:v>801.13499999999999</c:v>
                </c:pt>
                <c:pt idx="53">
                  <c:v>968.25099999999998</c:v>
                </c:pt>
                <c:pt idx="54">
                  <c:v>1204.981</c:v>
                </c:pt>
                <c:pt idx="55">
                  <c:v>1245.7090000000001</c:v>
                </c:pt>
                <c:pt idx="56">
                  <c:v>1393.8150000000001</c:v>
                </c:pt>
                <c:pt idx="57">
                  <c:v>1243.568</c:v>
                </c:pt>
                <c:pt idx="58">
                  <c:v>1344.817</c:v>
                </c:pt>
                <c:pt idx="59">
                  <c:v>1427.845</c:v>
                </c:pt>
                <c:pt idx="60">
                  <c:v>1464.605</c:v>
                </c:pt>
                <c:pt idx="61">
                  <c:v>1522.2919999999999</c:v>
                </c:pt>
                <c:pt idx="62">
                  <c:v>1672.001</c:v>
                </c:pt>
                <c:pt idx="64">
                  <c:v>241.977</c:v>
                </c:pt>
                <c:pt idx="65">
                  <c:v>247.75</c:v>
                </c:pt>
                <c:pt idx="66">
                  <c:v>268.78199999999998</c:v>
                </c:pt>
                <c:pt idx="67">
                  <c:v>293.58800000000002</c:v>
                </c:pt>
                <c:pt idx="68">
                  <c:v>285.096</c:v>
                </c:pt>
                <c:pt idx="69">
                  <c:v>288.33499999999998</c:v>
                </c:pt>
                <c:pt idx="70">
                  <c:v>295.327</c:v>
                </c:pt>
                <c:pt idx="71">
                  <c:v>293.904</c:v>
                </c:pt>
                <c:pt idx="72">
                  <c:v>285.09500000000003</c:v>
                </c:pt>
                <c:pt idx="73">
                  <c:v>292.99799999999999</c:v>
                </c:pt>
                <c:pt idx="74">
                  <c:v>277.29700000000003</c:v>
                </c:pt>
                <c:pt idx="75">
                  <c:v>281.99599999999998</c:v>
                </c:pt>
                <c:pt idx="76">
                  <c:v>273.58499999999998</c:v>
                </c:pt>
                <c:pt idx="77">
                  <c:v>275.88900000000001</c:v>
                </c:pt>
                <c:pt idx="78">
                  <c:v>270.06599999999997</c:v>
                </c:pt>
              </c:numCache>
            </c:numRef>
          </c:val>
          <c:extLst>
            <c:ext xmlns:c16="http://schemas.microsoft.com/office/drawing/2014/chart" uri="{C3380CC4-5D6E-409C-BE32-E72D297353CC}">
              <c16:uniqueId val="{0000009E-7F89-4361-ADEE-CC850D737F3A}"/>
            </c:ext>
          </c:extLst>
        </c:ser>
        <c:ser>
          <c:idx val="1"/>
          <c:order val="1"/>
          <c:tx>
            <c:strRef>
              <c:f>'Ch4. Patent applications filed'!$B$46</c:f>
              <c:strCache>
                <c:ptCount val="1"/>
                <c:pt idx="0">
                  <c:v>Foreign</c:v>
                </c:pt>
              </c:strCache>
            </c:strRef>
          </c:tx>
          <c:spPr>
            <a:solidFill>
              <a:schemeClr val="accent1">
                <a:lumMod val="40000"/>
                <a:lumOff val="60000"/>
              </a:schemeClr>
            </a:solidFill>
            <a:ln>
              <a:noFill/>
            </a:ln>
            <a:effectLst/>
          </c:spPr>
          <c:invertIfNegative val="0"/>
          <c:dPt>
            <c:idx val="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0-7F89-4361-ADEE-CC850D737F3A}"/>
              </c:ext>
            </c:extLst>
          </c:dPt>
          <c:dPt>
            <c:idx val="1"/>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2-7F89-4361-ADEE-CC850D737F3A}"/>
              </c:ext>
            </c:extLst>
          </c:dPt>
          <c:dPt>
            <c:idx val="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4-7F89-4361-ADEE-CC850D737F3A}"/>
              </c:ext>
            </c:extLst>
          </c:dPt>
          <c:dPt>
            <c:idx val="3"/>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6-7F89-4361-ADEE-CC850D737F3A}"/>
              </c:ext>
            </c:extLst>
          </c:dPt>
          <c:dPt>
            <c:idx val="4"/>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8-7F89-4361-ADEE-CC850D737F3A}"/>
              </c:ext>
            </c:extLst>
          </c:dPt>
          <c:dPt>
            <c:idx val="5"/>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A-7F89-4361-ADEE-CC850D737F3A}"/>
              </c:ext>
            </c:extLst>
          </c:dPt>
          <c:dPt>
            <c:idx val="6"/>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C-7F89-4361-ADEE-CC850D737F3A}"/>
              </c:ext>
            </c:extLst>
          </c:dPt>
          <c:dPt>
            <c:idx val="7"/>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AE-7F89-4361-ADEE-CC850D737F3A}"/>
              </c:ext>
            </c:extLst>
          </c:dPt>
          <c:dPt>
            <c:idx val="8"/>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B0-7F89-4361-ADEE-CC850D737F3A}"/>
              </c:ext>
            </c:extLst>
          </c:dPt>
          <c:dPt>
            <c:idx val="9"/>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B2-7F89-4361-ADEE-CC850D737F3A}"/>
              </c:ext>
            </c:extLst>
          </c:dPt>
          <c:dPt>
            <c:idx val="10"/>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B4-7F89-4361-ADEE-CC850D737F3A}"/>
              </c:ext>
            </c:extLst>
          </c:dPt>
          <c:dPt>
            <c:idx val="11"/>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B6-7F89-4361-ADEE-CC850D737F3A}"/>
              </c:ext>
            </c:extLst>
          </c:dPt>
          <c:dPt>
            <c:idx val="12"/>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B8-7F89-4361-ADEE-CC850D737F3A}"/>
              </c:ext>
            </c:extLst>
          </c:dPt>
          <c:dPt>
            <c:idx val="15"/>
            <c:invertIfNegative val="0"/>
            <c:bubble3D val="0"/>
            <c:spPr>
              <a:solidFill>
                <a:srgbClr val="FCB7A2"/>
              </a:solidFill>
              <a:ln>
                <a:noFill/>
              </a:ln>
              <a:effectLst/>
            </c:spPr>
            <c:extLst>
              <c:ext xmlns:c16="http://schemas.microsoft.com/office/drawing/2014/chart" uri="{C3380CC4-5D6E-409C-BE32-E72D297353CC}">
                <c16:uniqueId val="{000000BA-7F89-4361-ADEE-CC850D737F3A}"/>
              </c:ext>
            </c:extLst>
          </c:dPt>
          <c:dPt>
            <c:idx val="16"/>
            <c:invertIfNegative val="0"/>
            <c:bubble3D val="0"/>
            <c:spPr>
              <a:solidFill>
                <a:srgbClr val="FCB7A2"/>
              </a:solidFill>
              <a:ln>
                <a:noFill/>
              </a:ln>
              <a:effectLst/>
            </c:spPr>
            <c:extLst>
              <c:ext xmlns:c16="http://schemas.microsoft.com/office/drawing/2014/chart" uri="{C3380CC4-5D6E-409C-BE32-E72D297353CC}">
                <c16:uniqueId val="{000000BC-7F89-4361-ADEE-CC850D737F3A}"/>
              </c:ext>
            </c:extLst>
          </c:dPt>
          <c:dPt>
            <c:idx val="17"/>
            <c:invertIfNegative val="0"/>
            <c:bubble3D val="0"/>
            <c:spPr>
              <a:solidFill>
                <a:srgbClr val="FCB7A2"/>
              </a:solidFill>
              <a:ln>
                <a:noFill/>
              </a:ln>
              <a:effectLst/>
            </c:spPr>
            <c:extLst>
              <c:ext xmlns:c16="http://schemas.microsoft.com/office/drawing/2014/chart" uri="{C3380CC4-5D6E-409C-BE32-E72D297353CC}">
                <c16:uniqueId val="{000000BE-7F89-4361-ADEE-CC850D737F3A}"/>
              </c:ext>
            </c:extLst>
          </c:dPt>
          <c:dPt>
            <c:idx val="18"/>
            <c:invertIfNegative val="0"/>
            <c:bubble3D val="0"/>
            <c:spPr>
              <a:solidFill>
                <a:srgbClr val="FCB7A2"/>
              </a:solidFill>
              <a:ln>
                <a:noFill/>
              </a:ln>
              <a:effectLst/>
            </c:spPr>
            <c:extLst>
              <c:ext xmlns:c16="http://schemas.microsoft.com/office/drawing/2014/chart" uri="{C3380CC4-5D6E-409C-BE32-E72D297353CC}">
                <c16:uniqueId val="{000000C0-7F89-4361-ADEE-CC850D737F3A}"/>
              </c:ext>
            </c:extLst>
          </c:dPt>
          <c:dPt>
            <c:idx val="19"/>
            <c:invertIfNegative val="0"/>
            <c:bubble3D val="0"/>
            <c:spPr>
              <a:solidFill>
                <a:srgbClr val="FCB7A2"/>
              </a:solidFill>
              <a:ln>
                <a:noFill/>
              </a:ln>
              <a:effectLst/>
            </c:spPr>
            <c:extLst>
              <c:ext xmlns:c16="http://schemas.microsoft.com/office/drawing/2014/chart" uri="{C3380CC4-5D6E-409C-BE32-E72D297353CC}">
                <c16:uniqueId val="{000000C2-7F89-4361-ADEE-CC850D737F3A}"/>
              </c:ext>
            </c:extLst>
          </c:dPt>
          <c:dPt>
            <c:idx val="20"/>
            <c:invertIfNegative val="0"/>
            <c:bubble3D val="0"/>
            <c:spPr>
              <a:solidFill>
                <a:srgbClr val="FCB7A2"/>
              </a:solidFill>
              <a:ln>
                <a:noFill/>
              </a:ln>
              <a:effectLst/>
            </c:spPr>
            <c:extLst>
              <c:ext xmlns:c16="http://schemas.microsoft.com/office/drawing/2014/chart" uri="{C3380CC4-5D6E-409C-BE32-E72D297353CC}">
                <c16:uniqueId val="{000000C4-7F89-4361-ADEE-CC850D737F3A}"/>
              </c:ext>
            </c:extLst>
          </c:dPt>
          <c:dPt>
            <c:idx val="21"/>
            <c:invertIfNegative val="0"/>
            <c:bubble3D val="0"/>
            <c:spPr>
              <a:solidFill>
                <a:srgbClr val="FCB7A2"/>
              </a:solidFill>
              <a:ln>
                <a:noFill/>
              </a:ln>
              <a:effectLst/>
            </c:spPr>
            <c:extLst>
              <c:ext xmlns:c16="http://schemas.microsoft.com/office/drawing/2014/chart" uri="{C3380CC4-5D6E-409C-BE32-E72D297353CC}">
                <c16:uniqueId val="{000000C6-7F89-4361-ADEE-CC850D737F3A}"/>
              </c:ext>
            </c:extLst>
          </c:dPt>
          <c:dPt>
            <c:idx val="22"/>
            <c:invertIfNegative val="0"/>
            <c:bubble3D val="0"/>
            <c:spPr>
              <a:solidFill>
                <a:srgbClr val="FCB7A2"/>
              </a:solidFill>
              <a:ln>
                <a:noFill/>
              </a:ln>
              <a:effectLst/>
            </c:spPr>
            <c:extLst>
              <c:ext xmlns:c16="http://schemas.microsoft.com/office/drawing/2014/chart" uri="{C3380CC4-5D6E-409C-BE32-E72D297353CC}">
                <c16:uniqueId val="{000000C8-7F89-4361-ADEE-CC850D737F3A}"/>
              </c:ext>
            </c:extLst>
          </c:dPt>
          <c:dPt>
            <c:idx val="23"/>
            <c:invertIfNegative val="0"/>
            <c:bubble3D val="0"/>
            <c:spPr>
              <a:solidFill>
                <a:srgbClr val="FCB7A2"/>
              </a:solidFill>
              <a:ln>
                <a:noFill/>
              </a:ln>
              <a:effectLst/>
            </c:spPr>
            <c:extLst>
              <c:ext xmlns:c16="http://schemas.microsoft.com/office/drawing/2014/chart" uri="{C3380CC4-5D6E-409C-BE32-E72D297353CC}">
                <c16:uniqueId val="{000000CA-7F89-4361-ADEE-CC850D737F3A}"/>
              </c:ext>
            </c:extLst>
          </c:dPt>
          <c:dPt>
            <c:idx val="24"/>
            <c:invertIfNegative val="0"/>
            <c:bubble3D val="0"/>
            <c:spPr>
              <a:solidFill>
                <a:srgbClr val="FCB7A2"/>
              </a:solidFill>
              <a:ln>
                <a:noFill/>
              </a:ln>
              <a:effectLst/>
            </c:spPr>
            <c:extLst>
              <c:ext xmlns:c16="http://schemas.microsoft.com/office/drawing/2014/chart" uri="{C3380CC4-5D6E-409C-BE32-E72D297353CC}">
                <c16:uniqueId val="{000000CC-7F89-4361-ADEE-CC850D737F3A}"/>
              </c:ext>
            </c:extLst>
          </c:dPt>
          <c:dPt>
            <c:idx val="25"/>
            <c:invertIfNegative val="0"/>
            <c:bubble3D val="0"/>
            <c:spPr>
              <a:solidFill>
                <a:srgbClr val="FCB7A2"/>
              </a:solidFill>
              <a:ln>
                <a:noFill/>
              </a:ln>
              <a:effectLst/>
            </c:spPr>
            <c:extLst>
              <c:ext xmlns:c16="http://schemas.microsoft.com/office/drawing/2014/chart" uri="{C3380CC4-5D6E-409C-BE32-E72D297353CC}">
                <c16:uniqueId val="{000000CE-7F89-4361-ADEE-CC850D737F3A}"/>
              </c:ext>
            </c:extLst>
          </c:dPt>
          <c:dPt>
            <c:idx val="26"/>
            <c:invertIfNegative val="0"/>
            <c:bubble3D val="0"/>
            <c:spPr>
              <a:solidFill>
                <a:srgbClr val="FCB7A2"/>
              </a:solidFill>
              <a:ln>
                <a:noFill/>
              </a:ln>
              <a:effectLst/>
            </c:spPr>
            <c:extLst>
              <c:ext xmlns:c16="http://schemas.microsoft.com/office/drawing/2014/chart" uri="{C3380CC4-5D6E-409C-BE32-E72D297353CC}">
                <c16:uniqueId val="{000000D0-7F89-4361-ADEE-CC850D737F3A}"/>
              </c:ext>
            </c:extLst>
          </c:dPt>
          <c:dPt>
            <c:idx val="27"/>
            <c:invertIfNegative val="0"/>
            <c:bubble3D val="0"/>
            <c:spPr>
              <a:solidFill>
                <a:srgbClr val="FCB7A2"/>
              </a:solidFill>
              <a:ln>
                <a:noFill/>
              </a:ln>
              <a:effectLst/>
            </c:spPr>
            <c:extLst>
              <c:ext xmlns:c16="http://schemas.microsoft.com/office/drawing/2014/chart" uri="{C3380CC4-5D6E-409C-BE32-E72D297353CC}">
                <c16:uniqueId val="{000000D2-7F89-4361-ADEE-CC850D737F3A}"/>
              </c:ext>
            </c:extLst>
          </c:dPt>
          <c:dPt>
            <c:idx val="28"/>
            <c:invertIfNegative val="0"/>
            <c:bubble3D val="0"/>
            <c:spPr>
              <a:solidFill>
                <a:srgbClr val="FCB7A2"/>
              </a:solidFill>
              <a:ln>
                <a:noFill/>
              </a:ln>
              <a:effectLst/>
            </c:spPr>
            <c:extLst>
              <c:ext xmlns:c16="http://schemas.microsoft.com/office/drawing/2014/chart" uri="{C3380CC4-5D6E-409C-BE32-E72D297353CC}">
                <c16:uniqueId val="{000000D4-7F89-4361-ADEE-CC850D737F3A}"/>
              </c:ext>
            </c:extLst>
          </c:dPt>
          <c:dPt>
            <c:idx val="29"/>
            <c:invertIfNegative val="0"/>
            <c:bubble3D val="0"/>
            <c:spPr>
              <a:solidFill>
                <a:srgbClr val="FCB7A2"/>
              </a:solidFill>
              <a:ln>
                <a:noFill/>
              </a:ln>
              <a:effectLst/>
            </c:spPr>
            <c:extLst>
              <c:ext xmlns:c16="http://schemas.microsoft.com/office/drawing/2014/chart" uri="{C3380CC4-5D6E-409C-BE32-E72D297353CC}">
                <c16:uniqueId val="{000000D6-7F89-4361-ADEE-CC850D737F3A}"/>
              </c:ext>
            </c:extLst>
          </c:dPt>
          <c:dPt>
            <c:idx val="30"/>
            <c:invertIfNegative val="0"/>
            <c:bubble3D val="0"/>
            <c:spPr>
              <a:solidFill>
                <a:srgbClr val="FCB7A2"/>
              </a:solidFill>
              <a:ln>
                <a:noFill/>
              </a:ln>
              <a:effectLst/>
            </c:spPr>
            <c:extLst>
              <c:ext xmlns:c16="http://schemas.microsoft.com/office/drawing/2014/chart" uri="{C3380CC4-5D6E-409C-BE32-E72D297353CC}">
                <c16:uniqueId val="{000000D8-7F89-4361-ADEE-CC850D737F3A}"/>
              </c:ext>
            </c:extLst>
          </c:dPt>
          <c:dPt>
            <c:idx val="31"/>
            <c:invertIfNegative val="0"/>
            <c:bubble3D val="0"/>
            <c:spPr>
              <a:solidFill>
                <a:srgbClr val="CC99FF"/>
              </a:solidFill>
              <a:ln>
                <a:noFill/>
              </a:ln>
              <a:effectLst/>
            </c:spPr>
            <c:extLst>
              <c:ext xmlns:c16="http://schemas.microsoft.com/office/drawing/2014/chart" uri="{C3380CC4-5D6E-409C-BE32-E72D297353CC}">
                <c16:uniqueId val="{000000DA-7F89-4361-ADEE-CC850D737F3A}"/>
              </c:ext>
            </c:extLst>
          </c:dPt>
          <c:dPt>
            <c:idx val="32"/>
            <c:invertIfNegative val="0"/>
            <c:bubble3D val="0"/>
            <c:spPr>
              <a:solidFill>
                <a:srgbClr val="CC99FF"/>
              </a:solidFill>
              <a:ln>
                <a:noFill/>
              </a:ln>
              <a:effectLst/>
            </c:spPr>
            <c:extLst>
              <c:ext xmlns:c16="http://schemas.microsoft.com/office/drawing/2014/chart" uri="{C3380CC4-5D6E-409C-BE32-E72D297353CC}">
                <c16:uniqueId val="{000000DC-7F89-4361-ADEE-CC850D737F3A}"/>
              </c:ext>
            </c:extLst>
          </c:dPt>
          <c:dPt>
            <c:idx val="33"/>
            <c:invertIfNegative val="0"/>
            <c:bubble3D val="0"/>
            <c:spPr>
              <a:solidFill>
                <a:srgbClr val="CC99FF"/>
              </a:solidFill>
              <a:ln>
                <a:noFill/>
              </a:ln>
              <a:effectLst/>
            </c:spPr>
            <c:extLst>
              <c:ext xmlns:c16="http://schemas.microsoft.com/office/drawing/2014/chart" uri="{C3380CC4-5D6E-409C-BE32-E72D297353CC}">
                <c16:uniqueId val="{000000DE-7F89-4361-ADEE-CC850D737F3A}"/>
              </c:ext>
            </c:extLst>
          </c:dPt>
          <c:dPt>
            <c:idx val="34"/>
            <c:invertIfNegative val="0"/>
            <c:bubble3D val="0"/>
            <c:spPr>
              <a:solidFill>
                <a:srgbClr val="CC99FF"/>
              </a:solidFill>
              <a:ln>
                <a:noFill/>
              </a:ln>
              <a:effectLst/>
            </c:spPr>
            <c:extLst>
              <c:ext xmlns:c16="http://schemas.microsoft.com/office/drawing/2014/chart" uri="{C3380CC4-5D6E-409C-BE32-E72D297353CC}">
                <c16:uniqueId val="{000000E0-7F89-4361-ADEE-CC850D737F3A}"/>
              </c:ext>
            </c:extLst>
          </c:dPt>
          <c:dPt>
            <c:idx val="35"/>
            <c:invertIfNegative val="0"/>
            <c:bubble3D val="0"/>
            <c:spPr>
              <a:solidFill>
                <a:srgbClr val="CC99FF"/>
              </a:solidFill>
              <a:ln>
                <a:noFill/>
              </a:ln>
              <a:effectLst/>
            </c:spPr>
            <c:extLst>
              <c:ext xmlns:c16="http://schemas.microsoft.com/office/drawing/2014/chart" uri="{C3380CC4-5D6E-409C-BE32-E72D297353CC}">
                <c16:uniqueId val="{000000E2-7F89-4361-ADEE-CC850D737F3A}"/>
              </c:ext>
            </c:extLst>
          </c:dPt>
          <c:dPt>
            <c:idx val="36"/>
            <c:invertIfNegative val="0"/>
            <c:bubble3D val="0"/>
            <c:spPr>
              <a:solidFill>
                <a:srgbClr val="CC99FF"/>
              </a:solidFill>
              <a:ln>
                <a:noFill/>
              </a:ln>
              <a:effectLst/>
            </c:spPr>
            <c:extLst>
              <c:ext xmlns:c16="http://schemas.microsoft.com/office/drawing/2014/chart" uri="{C3380CC4-5D6E-409C-BE32-E72D297353CC}">
                <c16:uniqueId val="{000000E4-7F89-4361-ADEE-CC850D737F3A}"/>
              </c:ext>
            </c:extLst>
          </c:dPt>
          <c:dPt>
            <c:idx val="37"/>
            <c:invertIfNegative val="0"/>
            <c:bubble3D val="0"/>
            <c:spPr>
              <a:solidFill>
                <a:srgbClr val="CC99FF"/>
              </a:solidFill>
              <a:ln>
                <a:noFill/>
              </a:ln>
              <a:effectLst/>
            </c:spPr>
            <c:extLst>
              <c:ext xmlns:c16="http://schemas.microsoft.com/office/drawing/2014/chart" uri="{C3380CC4-5D6E-409C-BE32-E72D297353CC}">
                <c16:uniqueId val="{000000E6-7F89-4361-ADEE-CC850D737F3A}"/>
              </c:ext>
            </c:extLst>
          </c:dPt>
          <c:dPt>
            <c:idx val="38"/>
            <c:invertIfNegative val="0"/>
            <c:bubble3D val="0"/>
            <c:spPr>
              <a:solidFill>
                <a:srgbClr val="CC99FF"/>
              </a:solidFill>
              <a:ln>
                <a:noFill/>
              </a:ln>
              <a:effectLst/>
            </c:spPr>
            <c:extLst>
              <c:ext xmlns:c16="http://schemas.microsoft.com/office/drawing/2014/chart" uri="{C3380CC4-5D6E-409C-BE32-E72D297353CC}">
                <c16:uniqueId val="{000000E8-7F89-4361-ADEE-CC850D737F3A}"/>
              </c:ext>
            </c:extLst>
          </c:dPt>
          <c:dPt>
            <c:idx val="39"/>
            <c:invertIfNegative val="0"/>
            <c:bubble3D val="0"/>
            <c:spPr>
              <a:solidFill>
                <a:srgbClr val="CC99FF"/>
              </a:solidFill>
              <a:ln>
                <a:noFill/>
              </a:ln>
              <a:effectLst/>
            </c:spPr>
            <c:extLst>
              <c:ext xmlns:c16="http://schemas.microsoft.com/office/drawing/2014/chart" uri="{C3380CC4-5D6E-409C-BE32-E72D297353CC}">
                <c16:uniqueId val="{000000EA-7F89-4361-ADEE-CC850D737F3A}"/>
              </c:ext>
            </c:extLst>
          </c:dPt>
          <c:dPt>
            <c:idx val="40"/>
            <c:invertIfNegative val="0"/>
            <c:bubble3D val="0"/>
            <c:spPr>
              <a:solidFill>
                <a:srgbClr val="CC99FF"/>
              </a:solidFill>
              <a:ln>
                <a:noFill/>
              </a:ln>
              <a:effectLst/>
            </c:spPr>
            <c:extLst>
              <c:ext xmlns:c16="http://schemas.microsoft.com/office/drawing/2014/chart" uri="{C3380CC4-5D6E-409C-BE32-E72D297353CC}">
                <c16:uniqueId val="{000000EC-7F89-4361-ADEE-CC850D737F3A}"/>
              </c:ext>
            </c:extLst>
          </c:dPt>
          <c:dPt>
            <c:idx val="41"/>
            <c:invertIfNegative val="0"/>
            <c:bubble3D val="0"/>
            <c:spPr>
              <a:solidFill>
                <a:srgbClr val="CC99FF"/>
              </a:solidFill>
              <a:ln>
                <a:noFill/>
              </a:ln>
              <a:effectLst/>
            </c:spPr>
            <c:extLst>
              <c:ext xmlns:c16="http://schemas.microsoft.com/office/drawing/2014/chart" uri="{C3380CC4-5D6E-409C-BE32-E72D297353CC}">
                <c16:uniqueId val="{000000EE-7F89-4361-ADEE-CC850D737F3A}"/>
              </c:ext>
            </c:extLst>
          </c:dPt>
          <c:dPt>
            <c:idx val="42"/>
            <c:invertIfNegative val="0"/>
            <c:bubble3D val="0"/>
            <c:spPr>
              <a:solidFill>
                <a:srgbClr val="CC99FF"/>
              </a:solidFill>
              <a:ln>
                <a:noFill/>
              </a:ln>
              <a:effectLst/>
            </c:spPr>
            <c:extLst>
              <c:ext xmlns:c16="http://schemas.microsoft.com/office/drawing/2014/chart" uri="{C3380CC4-5D6E-409C-BE32-E72D297353CC}">
                <c16:uniqueId val="{000000F0-7F89-4361-ADEE-CC850D737F3A}"/>
              </c:ext>
            </c:extLst>
          </c:dPt>
          <c:dPt>
            <c:idx val="43"/>
            <c:invertIfNegative val="0"/>
            <c:bubble3D val="0"/>
            <c:spPr>
              <a:solidFill>
                <a:srgbClr val="CC99FF"/>
              </a:solidFill>
              <a:ln>
                <a:noFill/>
              </a:ln>
              <a:effectLst/>
            </c:spPr>
            <c:extLst>
              <c:ext xmlns:c16="http://schemas.microsoft.com/office/drawing/2014/chart" uri="{C3380CC4-5D6E-409C-BE32-E72D297353CC}">
                <c16:uniqueId val="{000000F2-7F89-4361-ADEE-CC850D737F3A}"/>
              </c:ext>
            </c:extLst>
          </c:dPt>
          <c:dPt>
            <c:idx val="44"/>
            <c:invertIfNegative val="0"/>
            <c:bubble3D val="0"/>
            <c:spPr>
              <a:solidFill>
                <a:srgbClr val="CC99FF"/>
              </a:solidFill>
              <a:ln>
                <a:noFill/>
              </a:ln>
              <a:effectLst/>
            </c:spPr>
            <c:extLst>
              <c:ext xmlns:c16="http://schemas.microsoft.com/office/drawing/2014/chart" uri="{C3380CC4-5D6E-409C-BE32-E72D297353CC}">
                <c16:uniqueId val="{000000F4-7F89-4361-ADEE-CC850D737F3A}"/>
              </c:ext>
            </c:extLst>
          </c:dPt>
          <c:dPt>
            <c:idx val="45"/>
            <c:invertIfNegative val="0"/>
            <c:bubble3D val="0"/>
            <c:spPr>
              <a:solidFill>
                <a:srgbClr val="CC99FF"/>
              </a:solidFill>
              <a:ln>
                <a:noFill/>
              </a:ln>
              <a:effectLst/>
            </c:spPr>
            <c:extLst>
              <c:ext xmlns:c16="http://schemas.microsoft.com/office/drawing/2014/chart" uri="{C3380CC4-5D6E-409C-BE32-E72D297353CC}">
                <c16:uniqueId val="{000000F6-7F89-4361-ADEE-CC850D737F3A}"/>
              </c:ext>
            </c:extLst>
          </c:dPt>
          <c:dPt>
            <c:idx val="46"/>
            <c:invertIfNegative val="0"/>
            <c:bubble3D val="0"/>
            <c:spPr>
              <a:solidFill>
                <a:srgbClr val="CC99FF"/>
              </a:solidFill>
              <a:ln>
                <a:noFill/>
              </a:ln>
              <a:effectLst/>
            </c:spPr>
            <c:extLst>
              <c:ext xmlns:c16="http://schemas.microsoft.com/office/drawing/2014/chart" uri="{C3380CC4-5D6E-409C-BE32-E72D297353CC}">
                <c16:uniqueId val="{000000F8-7F89-4361-ADEE-CC850D737F3A}"/>
              </c:ext>
            </c:extLst>
          </c:dPt>
          <c:dPt>
            <c:idx val="47"/>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FA-7F89-4361-ADEE-CC850D737F3A}"/>
              </c:ext>
            </c:extLst>
          </c:dPt>
          <c:dPt>
            <c:idx val="48"/>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FC-7F89-4361-ADEE-CC850D737F3A}"/>
              </c:ext>
            </c:extLst>
          </c:dPt>
          <c:dPt>
            <c:idx val="49"/>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FE-7F89-4361-ADEE-CC850D737F3A}"/>
              </c:ext>
            </c:extLst>
          </c:dPt>
          <c:dPt>
            <c:idx val="50"/>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0-7F89-4361-ADEE-CC850D737F3A}"/>
              </c:ext>
            </c:extLst>
          </c:dPt>
          <c:dPt>
            <c:idx val="51"/>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2-7F89-4361-ADEE-CC850D737F3A}"/>
              </c:ext>
            </c:extLst>
          </c:dPt>
          <c:dPt>
            <c:idx val="5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4-7F89-4361-ADEE-CC850D737F3A}"/>
              </c:ext>
            </c:extLst>
          </c:dPt>
          <c:dPt>
            <c:idx val="5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6-7F89-4361-ADEE-CC850D737F3A}"/>
              </c:ext>
            </c:extLst>
          </c:dPt>
          <c:dPt>
            <c:idx val="54"/>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8-7F89-4361-ADEE-CC850D737F3A}"/>
              </c:ext>
            </c:extLst>
          </c:dPt>
          <c:dPt>
            <c:idx val="55"/>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A-7F89-4361-ADEE-CC850D737F3A}"/>
              </c:ext>
            </c:extLst>
          </c:dPt>
          <c:dPt>
            <c:idx val="56"/>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C-7F89-4361-ADEE-CC850D737F3A}"/>
              </c:ext>
            </c:extLst>
          </c:dPt>
          <c:dPt>
            <c:idx val="57"/>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10E-7F89-4361-ADEE-CC850D737F3A}"/>
              </c:ext>
            </c:extLst>
          </c:dPt>
          <c:dPt>
            <c:idx val="58"/>
            <c:invertIfNegative val="0"/>
            <c:bubble3D val="0"/>
            <c:spPr>
              <a:solidFill>
                <a:srgbClr val="FFE699"/>
              </a:solidFill>
              <a:ln>
                <a:noFill/>
              </a:ln>
              <a:effectLst/>
            </c:spPr>
            <c:extLst>
              <c:ext xmlns:c16="http://schemas.microsoft.com/office/drawing/2014/chart" uri="{C3380CC4-5D6E-409C-BE32-E72D297353CC}">
                <c16:uniqueId val="{00000110-7F89-4361-ADEE-CC850D737F3A}"/>
              </c:ext>
            </c:extLst>
          </c:dPt>
          <c:dPt>
            <c:idx val="59"/>
            <c:invertIfNegative val="0"/>
            <c:bubble3D val="0"/>
            <c:spPr>
              <a:solidFill>
                <a:srgbClr val="FFE699"/>
              </a:solidFill>
              <a:ln>
                <a:noFill/>
              </a:ln>
              <a:effectLst/>
            </c:spPr>
            <c:extLst>
              <c:ext xmlns:c16="http://schemas.microsoft.com/office/drawing/2014/chart" uri="{C3380CC4-5D6E-409C-BE32-E72D297353CC}">
                <c16:uniqueId val="{00000112-7F89-4361-ADEE-CC850D737F3A}"/>
              </c:ext>
            </c:extLst>
          </c:dPt>
          <c:dPt>
            <c:idx val="60"/>
            <c:invertIfNegative val="0"/>
            <c:bubble3D val="0"/>
            <c:spPr>
              <a:solidFill>
                <a:srgbClr val="FFE699"/>
              </a:solidFill>
              <a:ln>
                <a:noFill/>
              </a:ln>
              <a:effectLst/>
            </c:spPr>
            <c:extLst>
              <c:ext xmlns:c16="http://schemas.microsoft.com/office/drawing/2014/chart" uri="{C3380CC4-5D6E-409C-BE32-E72D297353CC}">
                <c16:uniqueId val="{00000114-7F89-4361-ADEE-CC850D737F3A}"/>
              </c:ext>
            </c:extLst>
          </c:dPt>
          <c:dPt>
            <c:idx val="61"/>
            <c:invertIfNegative val="0"/>
            <c:bubble3D val="0"/>
            <c:spPr>
              <a:solidFill>
                <a:srgbClr val="FFE699"/>
              </a:solidFill>
              <a:ln>
                <a:noFill/>
              </a:ln>
              <a:effectLst/>
            </c:spPr>
            <c:extLst>
              <c:ext xmlns:c16="http://schemas.microsoft.com/office/drawing/2014/chart" uri="{C3380CC4-5D6E-409C-BE32-E72D297353CC}">
                <c16:uniqueId val="{00000116-7F89-4361-ADEE-CC850D737F3A}"/>
              </c:ext>
            </c:extLst>
          </c:dPt>
          <c:dPt>
            <c:idx val="62"/>
            <c:invertIfNegative val="0"/>
            <c:bubble3D val="0"/>
            <c:spPr>
              <a:solidFill>
                <a:srgbClr val="FFE699"/>
              </a:solidFill>
              <a:ln>
                <a:noFill/>
              </a:ln>
              <a:effectLst/>
            </c:spPr>
            <c:extLst>
              <c:ext xmlns:c16="http://schemas.microsoft.com/office/drawing/2014/chart" uri="{C3380CC4-5D6E-409C-BE32-E72D297353CC}">
                <c16:uniqueId val="{00000118-7F89-4361-ADEE-CC850D737F3A}"/>
              </c:ext>
            </c:extLst>
          </c:dPt>
          <c:dPt>
            <c:idx val="6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1A-7F89-4361-ADEE-CC850D737F3A}"/>
              </c:ext>
            </c:extLst>
          </c:dPt>
          <c:dPt>
            <c:idx val="64"/>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1C-7F89-4361-ADEE-CC850D737F3A}"/>
              </c:ext>
            </c:extLst>
          </c:dPt>
          <c:dPt>
            <c:idx val="65"/>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1E-7F89-4361-ADEE-CC850D737F3A}"/>
              </c:ext>
            </c:extLst>
          </c:dPt>
          <c:dPt>
            <c:idx val="66"/>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0-7F89-4361-ADEE-CC850D737F3A}"/>
              </c:ext>
            </c:extLst>
          </c:dPt>
          <c:dPt>
            <c:idx val="67"/>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2-7F89-4361-ADEE-CC850D737F3A}"/>
              </c:ext>
            </c:extLst>
          </c:dPt>
          <c:dPt>
            <c:idx val="68"/>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4-7F89-4361-ADEE-CC850D737F3A}"/>
              </c:ext>
            </c:extLst>
          </c:dPt>
          <c:dPt>
            <c:idx val="69"/>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6-7F89-4361-ADEE-CC850D737F3A}"/>
              </c:ext>
            </c:extLst>
          </c:dPt>
          <c:dPt>
            <c:idx val="70"/>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8-7F89-4361-ADEE-CC850D737F3A}"/>
              </c:ext>
            </c:extLst>
          </c:dPt>
          <c:dPt>
            <c:idx val="7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A-7F89-4361-ADEE-CC850D737F3A}"/>
              </c:ext>
            </c:extLst>
          </c:dPt>
          <c:dPt>
            <c:idx val="72"/>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C-7F89-4361-ADEE-CC850D737F3A}"/>
              </c:ext>
            </c:extLst>
          </c:dPt>
          <c:dPt>
            <c:idx val="73"/>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12E-7F89-4361-ADEE-CC850D737F3A}"/>
              </c:ext>
            </c:extLst>
          </c:dPt>
          <c:dPt>
            <c:idx val="74"/>
            <c:invertIfNegative val="0"/>
            <c:bubble3D val="0"/>
            <c:spPr>
              <a:solidFill>
                <a:srgbClr val="C5E0B4"/>
              </a:solidFill>
              <a:ln>
                <a:noFill/>
              </a:ln>
              <a:effectLst/>
            </c:spPr>
            <c:extLst>
              <c:ext xmlns:c16="http://schemas.microsoft.com/office/drawing/2014/chart" uri="{C3380CC4-5D6E-409C-BE32-E72D297353CC}">
                <c16:uniqueId val="{00000130-7F89-4361-ADEE-CC850D737F3A}"/>
              </c:ext>
            </c:extLst>
          </c:dPt>
          <c:dPt>
            <c:idx val="75"/>
            <c:invertIfNegative val="0"/>
            <c:bubble3D val="0"/>
            <c:spPr>
              <a:solidFill>
                <a:srgbClr val="C5E0B4"/>
              </a:solidFill>
              <a:ln>
                <a:noFill/>
              </a:ln>
              <a:effectLst/>
            </c:spPr>
            <c:extLst>
              <c:ext xmlns:c16="http://schemas.microsoft.com/office/drawing/2014/chart" uri="{C3380CC4-5D6E-409C-BE32-E72D297353CC}">
                <c16:uniqueId val="{00000132-7F89-4361-ADEE-CC850D737F3A}"/>
              </c:ext>
            </c:extLst>
          </c:dPt>
          <c:dPt>
            <c:idx val="76"/>
            <c:invertIfNegative val="0"/>
            <c:bubble3D val="0"/>
            <c:spPr>
              <a:solidFill>
                <a:srgbClr val="C5E0B4"/>
              </a:solidFill>
              <a:ln>
                <a:noFill/>
              </a:ln>
              <a:effectLst/>
            </c:spPr>
            <c:extLst>
              <c:ext xmlns:c16="http://schemas.microsoft.com/office/drawing/2014/chart" uri="{C3380CC4-5D6E-409C-BE32-E72D297353CC}">
                <c16:uniqueId val="{00000134-7F89-4361-ADEE-CC850D737F3A}"/>
              </c:ext>
            </c:extLst>
          </c:dPt>
          <c:dPt>
            <c:idx val="77"/>
            <c:invertIfNegative val="0"/>
            <c:bubble3D val="0"/>
            <c:spPr>
              <a:solidFill>
                <a:srgbClr val="C5E0B4"/>
              </a:solidFill>
              <a:ln>
                <a:noFill/>
              </a:ln>
              <a:effectLst/>
            </c:spPr>
            <c:extLst>
              <c:ext xmlns:c16="http://schemas.microsoft.com/office/drawing/2014/chart" uri="{C3380CC4-5D6E-409C-BE32-E72D297353CC}">
                <c16:uniqueId val="{00000136-7F89-4361-ADEE-CC850D737F3A}"/>
              </c:ext>
            </c:extLst>
          </c:dPt>
          <c:dPt>
            <c:idx val="78"/>
            <c:invertIfNegative val="0"/>
            <c:bubble3D val="0"/>
            <c:spPr>
              <a:solidFill>
                <a:srgbClr val="C5E0B4"/>
              </a:solidFill>
              <a:ln>
                <a:noFill/>
              </a:ln>
              <a:effectLst/>
            </c:spPr>
            <c:extLst>
              <c:ext xmlns:c16="http://schemas.microsoft.com/office/drawing/2014/chart" uri="{C3380CC4-5D6E-409C-BE32-E72D297353CC}">
                <c16:uniqueId val="{00000138-7F89-4361-ADEE-CC850D737F3A}"/>
              </c:ext>
            </c:extLst>
          </c:dPt>
          <c:dLbls>
            <c:dLbl>
              <c:idx val="30"/>
              <c:spPr>
                <a:noFill/>
                <a:ln>
                  <a:noFill/>
                </a:ln>
                <a:effectLst/>
              </c:spPr>
              <c:txPr>
                <a:bodyPr rot="0" spcFirstLastPara="1" vertOverflow="ellipsis" vert="horz" wrap="square" lIns="38100" tIns="19050" rIns="38100" bIns="19050" anchor="ctr" anchorCtr="1">
                  <a:no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layout>
                    <c:manualLayout>
                      <c:w val="1.04181775325619E-2"/>
                      <c:h val="2.6665705099389599E-2"/>
                    </c:manualLayout>
                  </c15:layout>
                </c:ext>
                <c:ext xmlns:c16="http://schemas.microsoft.com/office/drawing/2014/chart" uri="{C3380CC4-5D6E-409C-BE32-E72D297353CC}">
                  <c16:uniqueId val="{000000D8-7F89-4361-ADEE-CC850D737F3A}"/>
                </c:ext>
              </c:extLst>
            </c:dLbl>
            <c:dLbl>
              <c:idx val="44"/>
              <c:spPr>
                <a:noFill/>
                <a:ln>
                  <a:noFill/>
                </a:ln>
                <a:effectLst/>
              </c:spPr>
              <c:txPr>
                <a:bodyPr rot="0" spcFirstLastPara="1" vertOverflow="ellipsis" vert="horz" wrap="square" lIns="38100" tIns="19050" rIns="38100" bIns="19050" anchor="ctr" anchorCtr="1">
                  <a:no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layout>
                    <c:manualLayout>
                      <c:w val="1.0431092840187501E-2"/>
                      <c:h val="2.4731035166293901E-2"/>
                    </c:manualLayout>
                  </c15:layout>
                </c:ext>
                <c:ext xmlns:c16="http://schemas.microsoft.com/office/drawing/2014/chart" uri="{C3380CC4-5D6E-409C-BE32-E72D297353CC}">
                  <c16:uniqueId val="{000000F4-7F89-4361-ADEE-CC850D737F3A}"/>
                </c:ext>
              </c:extLst>
            </c:dLbl>
            <c:dLbl>
              <c:idx val="45"/>
              <c:spPr>
                <a:noFill/>
                <a:ln>
                  <a:noFill/>
                </a:ln>
                <a:effectLst/>
              </c:spPr>
              <c:txPr>
                <a:bodyPr rot="0" spcFirstLastPara="1" vertOverflow="ellipsis" vert="horz" wrap="square" lIns="38100" tIns="19050" rIns="38100" bIns="19050" anchor="ctr" anchorCtr="1">
                  <a:no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layout>
                    <c:manualLayout>
                      <c:w val="1.0431092840187501E-2"/>
                      <c:h val="2.2667542973849701E-2"/>
                    </c:manualLayout>
                  </c15:layout>
                </c:ext>
                <c:ext xmlns:c16="http://schemas.microsoft.com/office/drawing/2014/chart" uri="{C3380CC4-5D6E-409C-BE32-E72D297353CC}">
                  <c16:uniqueId val="{000000F6-7F89-4361-ADEE-CC850D737F3A}"/>
                </c:ext>
              </c:extLst>
            </c:dLbl>
            <c:dLbl>
              <c:idx val="46"/>
              <c:spPr>
                <a:noFill/>
                <a:ln>
                  <a:noFill/>
                </a:ln>
                <a:effectLst/>
              </c:spPr>
              <c:txPr>
                <a:bodyPr rot="0" spcFirstLastPara="1" vertOverflow="ellipsis" vert="horz" wrap="square" lIns="38100" tIns="19050" rIns="38100" bIns="19050" anchor="ctr" anchorCtr="1">
                  <a:no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layout>
                    <c:manualLayout>
                      <c:w val="1.03749882857333E-2"/>
                      <c:h val="2.0178823104076201E-2"/>
                    </c:manualLayout>
                  </c15:layout>
                </c:ext>
                <c:ext xmlns:c16="http://schemas.microsoft.com/office/drawing/2014/chart" uri="{C3380CC4-5D6E-409C-BE32-E72D297353CC}">
                  <c16:uniqueId val="{000000F8-7F89-4361-ADEE-CC850D737F3A}"/>
                </c:ext>
              </c:extLst>
            </c:dLbl>
            <c:dLbl>
              <c:idx val="47"/>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FA-7F89-4361-ADEE-CC850D737F3A}"/>
                </c:ext>
              </c:extLst>
            </c:dLbl>
            <c:dLbl>
              <c:idx val="48"/>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FC-7F89-4361-ADEE-CC850D737F3A}"/>
                </c:ext>
              </c:extLst>
            </c:dLbl>
            <c:dLbl>
              <c:idx val="49"/>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FE-7F89-4361-ADEE-CC850D737F3A}"/>
                </c:ext>
              </c:extLst>
            </c:dLbl>
            <c:dLbl>
              <c:idx val="50"/>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0-7F89-4361-ADEE-CC850D737F3A}"/>
                </c:ext>
              </c:extLst>
            </c:dLbl>
            <c:dLbl>
              <c:idx val="51"/>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2-7F89-4361-ADEE-CC850D737F3A}"/>
                </c:ext>
              </c:extLst>
            </c:dLbl>
            <c:dLbl>
              <c:idx val="52"/>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4-7F89-4361-ADEE-CC850D737F3A}"/>
                </c:ext>
              </c:extLst>
            </c:dLbl>
            <c:dLbl>
              <c:idx val="53"/>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6-7F89-4361-ADEE-CC850D737F3A}"/>
                </c:ext>
              </c:extLst>
            </c:dLbl>
            <c:dLbl>
              <c:idx val="54"/>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8-7F89-4361-ADEE-CC850D737F3A}"/>
                </c:ext>
              </c:extLst>
            </c:dLbl>
            <c:dLbl>
              <c:idx val="55"/>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A-7F89-4361-ADEE-CC850D737F3A}"/>
                </c:ext>
              </c:extLst>
            </c:dLbl>
            <c:dLbl>
              <c:idx val="56"/>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C-7F89-4361-ADEE-CC850D737F3A}"/>
                </c:ext>
              </c:extLst>
            </c:dLbl>
            <c:dLbl>
              <c:idx val="57"/>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0E-7F89-4361-ADEE-CC850D737F3A}"/>
                </c:ext>
              </c:extLst>
            </c:dLbl>
            <c:dLbl>
              <c:idx val="58"/>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accent2">
                          <a:lumMod val="75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10-7F89-4361-ADEE-CC850D737F3A}"/>
                </c:ext>
              </c:extLst>
            </c:dLbl>
            <c:dLbl>
              <c:idx val="59"/>
              <c:spPr>
                <a:noFill/>
                <a:ln>
                  <a:noFill/>
                </a:ln>
                <a:effectLst/>
              </c:spPr>
              <c:txPr>
                <a:bodyPr rot="0" spcFirstLastPara="1" vertOverflow="ellipsis" vert="horz" wrap="square" lIns="38100" tIns="19050" rIns="38100" bIns="19050" anchor="ctr" anchorCtr="0">
                  <a:spAutoFit/>
                </a:bodyPr>
                <a:lstStyle/>
                <a:p>
                  <a:pPr algn="ctr">
                    <a:defRPr lang="en-US" altLang="zh-CN" sz="900" b="0" i="0" u="none" strike="noStrike" kern="1200" baseline="0">
                      <a:solidFill>
                        <a:srgbClr val="C55A11"/>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12-7F89-4361-ADEE-CC850D737F3A}"/>
                </c:ext>
              </c:extLst>
            </c:dLbl>
            <c:dLbl>
              <c:idx val="60"/>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rgbClr val="C55A11"/>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14-7F89-4361-ADEE-CC850D737F3A}"/>
                </c:ext>
              </c:extLst>
            </c:dLbl>
            <c:dLbl>
              <c:idx val="61"/>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rgbClr val="C55A11"/>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116-7F89-4361-ADEE-CC850D737F3A}"/>
                </c:ext>
              </c:extLst>
            </c:dLbl>
            <c:dLbl>
              <c:idx val="62"/>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rgbClr val="C55A11"/>
                      </a:solidFill>
                      <a:latin typeface="+mn-lt"/>
                      <a:ea typeface="+mn-ea"/>
                      <a:cs typeface="+mn-cs"/>
                    </a:defRPr>
                  </a:pPr>
                  <a:endParaRPr lang="zh-CN"/>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118-7F89-4361-ADEE-CC850D737F3A}"/>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Patent applications filed'!$AF$103:$DF$103</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Patent applications filed'!$AF$105:$DF$105</c:f>
              <c:numCache>
                <c:formatCode>#,##0.0</c:formatCode>
                <c:ptCount val="79"/>
                <c:pt idx="0">
                  <c:v>76.552999999999997</c:v>
                </c:pt>
                <c:pt idx="1">
                  <c:v>70.906000000000006</c:v>
                </c:pt>
                <c:pt idx="2">
                  <c:v>75.528999999999996</c:v>
                </c:pt>
                <c:pt idx="3">
                  <c:v>74.448999999999998</c:v>
                </c:pt>
                <c:pt idx="4">
                  <c:v>76.801000000000002</c:v>
                </c:pt>
                <c:pt idx="5">
                  <c:v>83.924999999999997</c:v>
                </c:pt>
                <c:pt idx="6">
                  <c:v>83.301000000000002</c:v>
                </c:pt>
                <c:pt idx="7">
                  <c:v>88.100999999999999</c:v>
                </c:pt>
                <c:pt idx="8">
                  <c:v>92.887</c:v>
                </c:pt>
                <c:pt idx="9">
                  <c:v>98.977999999999994</c:v>
                </c:pt>
                <c:pt idx="10">
                  <c:v>98.885999999999996</c:v>
                </c:pt>
                <c:pt idx="11">
                  <c:v>104.91500000000001</c:v>
                </c:pt>
                <c:pt idx="12">
                  <c:v>109.402</c:v>
                </c:pt>
                <c:pt idx="13">
                  <c:v>113.527</c:v>
                </c:pt>
                <c:pt idx="14">
                  <c:v>112.968</c:v>
                </c:pt>
                <c:pt idx="16">
                  <c:v>54.517000000000003</c:v>
                </c:pt>
                <c:pt idx="17">
                  <c:v>55.03</c:v>
                </c:pt>
                <c:pt idx="18">
                  <c:v>55.783000000000001</c:v>
                </c:pt>
                <c:pt idx="19">
                  <c:v>56.704999999999998</c:v>
                </c:pt>
                <c:pt idx="20">
                  <c:v>60.03</c:v>
                </c:pt>
                <c:pt idx="21">
                  <c:v>59.881999999999998</c:v>
                </c:pt>
                <c:pt idx="22">
                  <c:v>58.137</c:v>
                </c:pt>
                <c:pt idx="23">
                  <c:v>58.189</c:v>
                </c:pt>
                <c:pt idx="24">
                  <c:v>59.936999999999998</c:v>
                </c:pt>
                <c:pt idx="25">
                  <c:v>62.597000000000001</c:v>
                </c:pt>
                <c:pt idx="26">
                  <c:v>61.124000000000002</c:v>
                </c:pt>
                <c:pt idx="27">
                  <c:v>66.748000000000005</c:v>
                </c:pt>
                <c:pt idx="28">
                  <c:v>70.716999999999999</c:v>
                </c:pt>
                <c:pt idx="29">
                  <c:v>71.197000000000003</c:v>
                </c:pt>
                <c:pt idx="30">
                  <c:v>69.686000000000007</c:v>
                </c:pt>
                <c:pt idx="32">
                  <c:v>38.295999999999999</c:v>
                </c:pt>
                <c:pt idx="33">
                  <c:v>40.89</c:v>
                </c:pt>
                <c:pt idx="34">
                  <c:v>40.779000000000003</c:v>
                </c:pt>
                <c:pt idx="35">
                  <c:v>44.610999999999997</c:v>
                </c:pt>
                <c:pt idx="36">
                  <c:v>46.219000000000001</c:v>
                </c:pt>
                <c:pt idx="37">
                  <c:v>46.420999999999999</c:v>
                </c:pt>
                <c:pt idx="38">
                  <c:v>45.406999999999996</c:v>
                </c:pt>
                <c:pt idx="39">
                  <c:v>45.744</c:v>
                </c:pt>
                <c:pt idx="40">
                  <c:v>47.415999999999997</c:v>
                </c:pt>
                <c:pt idx="41">
                  <c:v>47.372</c:v>
                </c:pt>
                <c:pt idx="42">
                  <c:v>46.281999999999996</c:v>
                </c:pt>
                <c:pt idx="43">
                  <c:v>51.753</c:v>
                </c:pt>
                <c:pt idx="44">
                  <c:v>53.884999999999998</c:v>
                </c:pt>
                <c:pt idx="45">
                  <c:v>52.167999999999999</c:v>
                </c:pt>
                <c:pt idx="46">
                  <c:v>50.459000000000003</c:v>
                </c:pt>
                <c:pt idx="48">
                  <c:v>98.111000000000004</c:v>
                </c:pt>
                <c:pt idx="49">
                  <c:v>110.583</c:v>
                </c:pt>
                <c:pt idx="50">
                  <c:v>117.462</c:v>
                </c:pt>
                <c:pt idx="51">
                  <c:v>120.2</c:v>
                </c:pt>
                <c:pt idx="52">
                  <c:v>127.042</c:v>
                </c:pt>
                <c:pt idx="53">
                  <c:v>133.613</c:v>
                </c:pt>
                <c:pt idx="54">
                  <c:v>133.52199999999999</c:v>
                </c:pt>
                <c:pt idx="55">
                  <c:v>135.88499999999999</c:v>
                </c:pt>
                <c:pt idx="56">
                  <c:v>148.18700000000001</c:v>
                </c:pt>
                <c:pt idx="57">
                  <c:v>157.09299999999999</c:v>
                </c:pt>
                <c:pt idx="58">
                  <c:v>152.34200000000001</c:v>
                </c:pt>
                <c:pt idx="59">
                  <c:v>157.81800000000001</c:v>
                </c:pt>
                <c:pt idx="60">
                  <c:v>154.66300000000001</c:v>
                </c:pt>
                <c:pt idx="61">
                  <c:v>155.40899999999999</c:v>
                </c:pt>
                <c:pt idx="62">
                  <c:v>156.053</c:v>
                </c:pt>
                <c:pt idx="64">
                  <c:v>248.249</c:v>
                </c:pt>
                <c:pt idx="65">
                  <c:v>255.83199999999999</c:v>
                </c:pt>
                <c:pt idx="66">
                  <c:v>274.03300000000002</c:v>
                </c:pt>
                <c:pt idx="67">
                  <c:v>278.024</c:v>
                </c:pt>
                <c:pt idx="68">
                  <c:v>293.70600000000002</c:v>
                </c:pt>
                <c:pt idx="69">
                  <c:v>301.07499999999999</c:v>
                </c:pt>
                <c:pt idx="70">
                  <c:v>310.24400000000003</c:v>
                </c:pt>
                <c:pt idx="71">
                  <c:v>313.05200000000002</c:v>
                </c:pt>
                <c:pt idx="72">
                  <c:v>312.04599999999999</c:v>
                </c:pt>
                <c:pt idx="73">
                  <c:v>328.45499999999998</c:v>
                </c:pt>
                <c:pt idx="74">
                  <c:v>319.87799999999999</c:v>
                </c:pt>
                <c:pt idx="75">
                  <c:v>309.47699999999998</c:v>
                </c:pt>
                <c:pt idx="76">
                  <c:v>320.755</c:v>
                </c:pt>
                <c:pt idx="77">
                  <c:v>322.20100000000002</c:v>
                </c:pt>
                <c:pt idx="78">
                  <c:v>333.12099999999998</c:v>
                </c:pt>
              </c:numCache>
            </c:numRef>
          </c:val>
          <c:extLst>
            <c:ext xmlns:c16="http://schemas.microsoft.com/office/drawing/2014/chart" uri="{C3380CC4-5D6E-409C-BE32-E72D297353CC}">
              <c16:uniqueId val="{00000139-7F89-4361-ADEE-CC850D737F3A}"/>
            </c:ext>
          </c:extLst>
        </c:ser>
        <c:ser>
          <c:idx val="2"/>
          <c:order val="2"/>
          <c:spPr>
            <a:noFill/>
            <a:ln>
              <a:noFill/>
            </a:ln>
            <a:effectLst/>
          </c:spPr>
          <c:invertIfNegative val="0"/>
          <c:dLbls>
            <c:spPr>
              <a:noFill/>
              <a:ln>
                <a:noFill/>
              </a:ln>
              <a:effectLst/>
            </c:spPr>
            <c:txPr>
              <a:bodyPr rot="0" spcFirstLastPara="1" vertOverflow="ellipsis" vert="horz" wrap="square" lIns="38100" tIns="19050" rIns="38100" bIns="19050" anchor="ctr" anchorCtr="1"/>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Patent applications filed'!$AF$103:$DF$103</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Patent applications filed'!$AF$106:$DF$106</c:f>
              <c:numCache>
                <c:formatCode>#,##0.0</c:formatCode>
                <c:ptCount val="79"/>
                <c:pt idx="0">
                  <c:v>150.96100000000001</c:v>
                </c:pt>
                <c:pt idx="1">
                  <c:v>142.81</c:v>
                </c:pt>
                <c:pt idx="2">
                  <c:v>148.494</c:v>
                </c:pt>
                <c:pt idx="3">
                  <c:v>147.869</c:v>
                </c:pt>
                <c:pt idx="4">
                  <c:v>151.98099999999999</c:v>
                </c:pt>
                <c:pt idx="5">
                  <c:v>160.02199999999999</c:v>
                </c:pt>
                <c:pt idx="6">
                  <c:v>159.35300000000001</c:v>
                </c:pt>
                <c:pt idx="7">
                  <c:v>166.59399999999999</c:v>
                </c:pt>
                <c:pt idx="8">
                  <c:v>174.48099999999999</c:v>
                </c:pt>
                <c:pt idx="9">
                  <c:v>181.53200000000001</c:v>
                </c:pt>
                <c:pt idx="10">
                  <c:v>180.417</c:v>
                </c:pt>
                <c:pt idx="11">
                  <c:v>188.809</c:v>
                </c:pt>
                <c:pt idx="12">
                  <c:v>193.62700000000001</c:v>
                </c:pt>
                <c:pt idx="13">
                  <c:v>199.27500000000001</c:v>
                </c:pt>
                <c:pt idx="14">
                  <c:v>199.26400000000001</c:v>
                </c:pt>
                <c:pt idx="16">
                  <c:v>344.59800000000001</c:v>
                </c:pt>
                <c:pt idx="17">
                  <c:v>342.61</c:v>
                </c:pt>
                <c:pt idx="18">
                  <c:v>342.79599999999999</c:v>
                </c:pt>
                <c:pt idx="19">
                  <c:v>328.43599999999998</c:v>
                </c:pt>
                <c:pt idx="20">
                  <c:v>325.98899999999998</c:v>
                </c:pt>
                <c:pt idx="21">
                  <c:v>318.721</c:v>
                </c:pt>
                <c:pt idx="22">
                  <c:v>318.38099999999997</c:v>
                </c:pt>
                <c:pt idx="23">
                  <c:v>318.47899999999998</c:v>
                </c:pt>
                <c:pt idx="24">
                  <c:v>313.56700000000001</c:v>
                </c:pt>
                <c:pt idx="25">
                  <c:v>307.96899999999999</c:v>
                </c:pt>
                <c:pt idx="26">
                  <c:v>288.47199999999998</c:v>
                </c:pt>
                <c:pt idx="27">
                  <c:v>289.2</c:v>
                </c:pt>
                <c:pt idx="28">
                  <c:v>289.52999999999997</c:v>
                </c:pt>
                <c:pt idx="29">
                  <c:v>300.13299999999998</c:v>
                </c:pt>
                <c:pt idx="30">
                  <c:v>306.85500000000002</c:v>
                </c:pt>
                <c:pt idx="32">
                  <c:v>170.101</c:v>
                </c:pt>
                <c:pt idx="33">
                  <c:v>178.92400000000001</c:v>
                </c:pt>
                <c:pt idx="34">
                  <c:v>188.91499999999999</c:v>
                </c:pt>
                <c:pt idx="35">
                  <c:v>204.589</c:v>
                </c:pt>
                <c:pt idx="36">
                  <c:v>210.292</c:v>
                </c:pt>
                <c:pt idx="37">
                  <c:v>213.69399999999999</c:v>
                </c:pt>
                <c:pt idx="38">
                  <c:v>208.83</c:v>
                </c:pt>
                <c:pt idx="39">
                  <c:v>204.77500000000001</c:v>
                </c:pt>
                <c:pt idx="40">
                  <c:v>209.99199999999999</c:v>
                </c:pt>
                <c:pt idx="41">
                  <c:v>218.97499999999999</c:v>
                </c:pt>
                <c:pt idx="42">
                  <c:v>226.75899999999999</c:v>
                </c:pt>
                <c:pt idx="43">
                  <c:v>237.99799999999999</c:v>
                </c:pt>
                <c:pt idx="44">
                  <c:v>237.63300000000001</c:v>
                </c:pt>
                <c:pt idx="45">
                  <c:v>243.31</c:v>
                </c:pt>
                <c:pt idx="46">
                  <c:v>246.245</c:v>
                </c:pt>
                <c:pt idx="48">
                  <c:v>391.17700000000002</c:v>
                </c:pt>
                <c:pt idx="49">
                  <c:v>526.41200000000003</c:v>
                </c:pt>
                <c:pt idx="50">
                  <c:v>652.77700000000004</c:v>
                </c:pt>
                <c:pt idx="51">
                  <c:v>825.13599999999997</c:v>
                </c:pt>
                <c:pt idx="52">
                  <c:v>928.17700000000002</c:v>
                </c:pt>
                <c:pt idx="53">
                  <c:v>1101.864</c:v>
                </c:pt>
                <c:pt idx="54">
                  <c:v>1338.5029999999999</c:v>
                </c:pt>
                <c:pt idx="55">
                  <c:v>1381.5940000000001</c:v>
                </c:pt>
                <c:pt idx="56">
                  <c:v>1542.002</c:v>
                </c:pt>
                <c:pt idx="57">
                  <c:v>1400.6610000000001</c:v>
                </c:pt>
                <c:pt idx="58">
                  <c:v>1497.1590000000001</c:v>
                </c:pt>
                <c:pt idx="59">
                  <c:v>1585.663</c:v>
                </c:pt>
                <c:pt idx="60">
                  <c:v>1619.268</c:v>
                </c:pt>
                <c:pt idx="61">
                  <c:v>1677.701</c:v>
                </c:pt>
                <c:pt idx="62">
                  <c:v>1828.0540000000001</c:v>
                </c:pt>
                <c:pt idx="64">
                  <c:v>490.226</c:v>
                </c:pt>
                <c:pt idx="65">
                  <c:v>503.58199999999999</c:v>
                </c:pt>
                <c:pt idx="66">
                  <c:v>542.81500000000005</c:v>
                </c:pt>
                <c:pt idx="67">
                  <c:v>571.61199999999997</c:v>
                </c:pt>
                <c:pt idx="68">
                  <c:v>578.80200000000002</c:v>
                </c:pt>
                <c:pt idx="69">
                  <c:v>589.41</c:v>
                </c:pt>
                <c:pt idx="70">
                  <c:v>605.57100000000003</c:v>
                </c:pt>
                <c:pt idx="71">
                  <c:v>606.95600000000002</c:v>
                </c:pt>
                <c:pt idx="72">
                  <c:v>597.14099999999996</c:v>
                </c:pt>
                <c:pt idx="73">
                  <c:v>621.45299999999997</c:v>
                </c:pt>
                <c:pt idx="74">
                  <c:v>597.17499999999995</c:v>
                </c:pt>
                <c:pt idx="75">
                  <c:v>591.47299999999996</c:v>
                </c:pt>
                <c:pt idx="76">
                  <c:v>594.34</c:v>
                </c:pt>
                <c:pt idx="77">
                  <c:v>598.09</c:v>
                </c:pt>
                <c:pt idx="78">
                  <c:v>603.18700000000001</c:v>
                </c:pt>
              </c:numCache>
            </c:numRef>
          </c:val>
          <c:extLst>
            <c:ext xmlns:c16="http://schemas.microsoft.com/office/drawing/2014/chart" uri="{C3380CC4-5D6E-409C-BE32-E72D297353CC}">
              <c16:uniqueId val="{0000013A-7F89-4361-ADEE-CC850D737F3A}"/>
            </c:ext>
          </c:extLst>
        </c:ser>
        <c:dLbls>
          <c:showLegendKey val="0"/>
          <c:showVal val="0"/>
          <c:showCatName val="0"/>
          <c:showSerName val="0"/>
          <c:showPercent val="0"/>
          <c:showBubbleSize val="0"/>
        </c:dLbls>
        <c:gapWidth val="4"/>
        <c:overlap val="100"/>
        <c:axId val="1801087984"/>
        <c:axId val="1801085264"/>
      </c:barChart>
      <c:catAx>
        <c:axId val="1801087984"/>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85264"/>
        <c:crosses val="autoZero"/>
        <c:auto val="1"/>
        <c:lblAlgn val="ctr"/>
        <c:lblOffset val="100"/>
        <c:noMultiLvlLbl val="0"/>
      </c:catAx>
      <c:valAx>
        <c:axId val="1801085264"/>
        <c:scaling>
          <c:orientation val="minMax"/>
          <c:max val="2000"/>
          <c:min val="0"/>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1087984"/>
        <c:crosses val="autoZero"/>
        <c:crossBetween val="between"/>
      </c:valAx>
      <c:spPr>
        <a:noFill/>
        <a:ln>
          <a:noFill/>
        </a:ln>
        <a:effectLst/>
      </c:spPr>
    </c:plotArea>
    <c:legend>
      <c:legendPos val="b"/>
      <c:legendEntry>
        <c:idx val="2"/>
        <c:delete val="1"/>
      </c:legendEntry>
      <c:layout>
        <c:manualLayout>
          <c:xMode val="edge"/>
          <c:yMode val="edge"/>
          <c:x val="4.61209190837528E-2"/>
          <c:y val="0.18938353758411799"/>
          <c:w val="6.2774337064369204E-2"/>
          <c:h val="9.52780402449694E-2"/>
        </c:manualLayout>
      </c:layout>
      <c:overlay val="0"/>
      <c:spPr>
        <a:noFill/>
        <a:ln>
          <a:noFill/>
        </a:ln>
        <a:effectLst/>
      </c:spPr>
      <c:txPr>
        <a:bodyPr rot="0" spcFirstLastPara="1" vertOverflow="ellipsis" vert="horz" wrap="square" anchor="ctr" anchorCtr="1"/>
        <a:lstStyle/>
        <a:p>
          <a:pPr>
            <a:defRPr lang="zh-CN" sz="14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d31bff6d-202b-4213-89c3-c35ce18096fb}"/>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4.2: APPLICATIONS FILED - </a:t>
            </a:r>
            <a:r>
              <a:rPr lang="en-GB" b="1" baseline="0"/>
              <a:t>ORIGIN DISTRIBUTION</a:t>
            </a:r>
            <a:endParaRPr lang="en-GB" b="1"/>
          </a:p>
        </c:rich>
      </c:tx>
      <c:layout>
        <c:manualLayout>
          <c:xMode val="edge"/>
          <c:yMode val="edge"/>
          <c:x val="7.0866612525452297E-3"/>
          <c:y val="1.3333333333333299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6.57698056801196E-3"/>
          <c:y val="8.2422222222222202E-2"/>
          <c:w val="0.98684603886397604"/>
          <c:h val="0.81373423322084704"/>
        </c:manualLayout>
      </c:layout>
      <c:barChart>
        <c:barDir val="col"/>
        <c:grouping val="stacked"/>
        <c:varyColors val="0"/>
        <c:ser>
          <c:idx val="0"/>
          <c:order val="0"/>
          <c:tx>
            <c:strRef>
              <c:f>'Ch4. Patent applications filed'!$B$63</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filed'!$AF$108:$DF$109</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4">
                    <c:v>USPTO</c:v>
                  </c:pt>
                </c:lvl>
              </c:multiLvlStrCache>
            </c:multiLvlStrRef>
          </c:cat>
          <c:val>
            <c:numRef>
              <c:f>'Ch4. Patent applications filed'!$AF$110:$DF$110</c:f>
              <c:numCache>
                <c:formatCode>0%</c:formatCode>
                <c:ptCount val="79"/>
                <c:pt idx="0">
                  <c:v>0.49289551606043902</c:v>
                </c:pt>
                <c:pt idx="1">
                  <c:v>0.50349415307051304</c:v>
                </c:pt>
                <c:pt idx="2">
                  <c:v>0.49136665454496498</c:v>
                </c:pt>
                <c:pt idx="3">
                  <c:v>0.49652056888191598</c:v>
                </c:pt>
                <c:pt idx="4">
                  <c:v>0.49466709654496299</c:v>
                </c:pt>
                <c:pt idx="5">
                  <c:v>0.47554086313131899</c:v>
                </c:pt>
                <c:pt idx="6">
                  <c:v>0.477254899499853</c:v>
                </c:pt>
                <c:pt idx="7">
                  <c:v>0.47116342725428301</c:v>
                </c:pt>
                <c:pt idx="8">
                  <c:v>0.46763831018850199</c:v>
                </c:pt>
                <c:pt idx="9">
                  <c:v>0.45476279664191399</c:v>
                </c:pt>
                <c:pt idx="10">
                  <c:v>0.45190309117211802</c:v>
                </c:pt>
                <c:pt idx="11">
                  <c:v>0.44419406150583202</c:v>
                </c:pt>
                <c:pt idx="12">
                  <c:v>0.43498582325812002</c:v>
                </c:pt>
                <c:pt idx="13">
                  <c:v>0.43029983690879398</c:v>
                </c:pt>
                <c:pt idx="14">
                  <c:v>0.433073711257427</c:v>
                </c:pt>
                <c:pt idx="16">
                  <c:v>6.1297511883412002E-2</c:v>
                </c:pt>
                <c:pt idx="17">
                  <c:v>6.1361314614284498E-2</c:v>
                </c:pt>
                <c:pt idx="18">
                  <c:v>6.0966288988202902E-2</c:v>
                </c:pt>
                <c:pt idx="19">
                  <c:v>6.2733683274671506E-2</c:v>
                </c:pt>
                <c:pt idx="20">
                  <c:v>6.4879489798735507E-2</c:v>
                </c:pt>
                <c:pt idx="21">
                  <c:v>6.5210638771841203E-2</c:v>
                </c:pt>
                <c:pt idx="22">
                  <c:v>6.4601844959341195E-2</c:v>
                </c:pt>
                <c:pt idx="23">
                  <c:v>6.4553706837813501E-2</c:v>
                </c:pt>
                <c:pt idx="24">
                  <c:v>6.6601396192839196E-2</c:v>
                </c:pt>
                <c:pt idx="25">
                  <c:v>6.6220950809984094E-2</c:v>
                </c:pt>
                <c:pt idx="26">
                  <c:v>6.6807177126376197E-2</c:v>
                </c:pt>
                <c:pt idx="27">
                  <c:v>7.2251037344398306E-2</c:v>
                </c:pt>
                <c:pt idx="28">
                  <c:v>7.4572583152005004E-2</c:v>
                </c:pt>
                <c:pt idx="29">
                  <c:v>7.2541173413120205E-2</c:v>
                </c:pt>
                <c:pt idx="30">
                  <c:v>6.9123853285753906E-2</c:v>
                </c:pt>
                <c:pt idx="32">
                  <c:v>5.7906773034843997E-2</c:v>
                </c:pt>
                <c:pt idx="33">
                  <c:v>5.9064183675750601E-2</c:v>
                </c:pt>
                <c:pt idx="34">
                  <c:v>5.3960776010375001E-2</c:v>
                </c:pt>
                <c:pt idx="35">
                  <c:v>5.7363787886934303E-2</c:v>
                </c:pt>
                <c:pt idx="36">
                  <c:v>5.8485344188081302E-2</c:v>
                </c:pt>
                <c:pt idx="37">
                  <c:v>5.62673729725683E-2</c:v>
                </c:pt>
                <c:pt idx="38">
                  <c:v>5.6706411913997001E-2</c:v>
                </c:pt>
                <c:pt idx="39">
                  <c:v>5.7121230618972001E-2</c:v>
                </c:pt>
                <c:pt idx="40">
                  <c:v>6.0492780677359102E-2</c:v>
                </c:pt>
                <c:pt idx="41">
                  <c:v>5.5905925333942202E-2</c:v>
                </c:pt>
                <c:pt idx="42">
                  <c:v>5.0494136947155301E-2</c:v>
                </c:pt>
                <c:pt idx="43">
                  <c:v>5.2323969108984097E-2</c:v>
                </c:pt>
                <c:pt idx="44">
                  <c:v>5.4428467426662103E-2</c:v>
                </c:pt>
                <c:pt idx="45">
                  <c:v>5.34749907525379E-2</c:v>
                </c:pt>
                <c:pt idx="46">
                  <c:v>5.0567524213689603E-2</c:v>
                </c:pt>
                <c:pt idx="48">
                  <c:v>7.0901407802605995E-2</c:v>
                </c:pt>
                <c:pt idx="49">
                  <c:v>5.7367613200306998E-2</c:v>
                </c:pt>
                <c:pt idx="50">
                  <c:v>4.8684313325990297E-2</c:v>
                </c:pt>
                <c:pt idx="51">
                  <c:v>4.0341228597467603E-2</c:v>
                </c:pt>
                <c:pt idx="52">
                  <c:v>3.7651223850623299E-2</c:v>
                </c:pt>
                <c:pt idx="53">
                  <c:v>3.20956125256837E-2</c:v>
                </c:pt>
                <c:pt idx="54">
                  <c:v>2.7244615813337699E-2</c:v>
                </c:pt>
                <c:pt idx="55">
                  <c:v>2.6648928701195899E-2</c:v>
                </c:pt>
                <c:pt idx="56">
                  <c:v>2.5817087137370801E-2</c:v>
                </c:pt>
                <c:pt idx="57">
                  <c:v>2.9811638933332201E-2</c:v>
                </c:pt>
                <c:pt idx="58">
                  <c:v>2.7065261605480801E-2</c:v>
                </c:pt>
                <c:pt idx="59">
                  <c:v>2.6832939912200801E-2</c:v>
                </c:pt>
                <c:pt idx="60">
                  <c:v>2.5465827769090701E-2</c:v>
                </c:pt>
                <c:pt idx="61">
                  <c:v>2.4904914522909601E-2</c:v>
                </c:pt>
                <c:pt idx="62">
                  <c:v>2.37881375495472E-2</c:v>
                </c:pt>
                <c:pt idx="64">
                  <c:v>0.16079114530849001</c:v>
                </c:pt>
                <c:pt idx="65">
                  <c:v>0.15948544626297201</c:v>
                </c:pt>
                <c:pt idx="66">
                  <c:v>0.156950342197618</c:v>
                </c:pt>
                <c:pt idx="67">
                  <c:v>0.15275046710006099</c:v>
                </c:pt>
                <c:pt idx="68">
                  <c:v>0.158394407759476</c:v>
                </c:pt>
                <c:pt idx="69">
                  <c:v>0.15812931575643399</c:v>
                </c:pt>
                <c:pt idx="70">
                  <c:v>0.16062360978316301</c:v>
                </c:pt>
                <c:pt idx="71">
                  <c:v>0.15980565312806899</c:v>
                </c:pt>
                <c:pt idx="72">
                  <c:v>0.16026198167601999</c:v>
                </c:pt>
                <c:pt idx="73">
                  <c:v>0.15569318999184201</c:v>
                </c:pt>
                <c:pt idx="74">
                  <c:v>0.15530790806715</c:v>
                </c:pt>
                <c:pt idx="75">
                  <c:v>0.14932887891755001</c:v>
                </c:pt>
                <c:pt idx="76">
                  <c:v>0.15100111047548501</c:v>
                </c:pt>
                <c:pt idx="77">
                  <c:v>0.14829875102409301</c:v>
                </c:pt>
                <c:pt idx="78">
                  <c:v>0.14588344907963899</c:v>
                </c:pt>
              </c:numCache>
            </c:numRef>
          </c:val>
          <c:extLst>
            <c:ext xmlns:c16="http://schemas.microsoft.com/office/drawing/2014/chart" uri="{C3380CC4-5D6E-409C-BE32-E72D297353CC}">
              <c16:uniqueId val="{00000000-8F10-43C1-AC2B-41B2DFCD005C}"/>
            </c:ext>
          </c:extLst>
        </c:ser>
        <c:ser>
          <c:idx val="1"/>
          <c:order val="1"/>
          <c:tx>
            <c:strRef>
              <c:f>'Ch4. Patent applications filed'!$B$64</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filed'!$AF$108:$DF$109</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4">
                    <c:v>USPTO</c:v>
                  </c:pt>
                </c:lvl>
              </c:multiLvlStrCache>
            </c:multiLvlStrRef>
          </c:cat>
          <c:val>
            <c:numRef>
              <c:f>'Ch4. Patent applications filed'!$AF$111:$DF$111</c:f>
              <c:numCache>
                <c:formatCode>0%</c:formatCode>
                <c:ptCount val="79"/>
                <c:pt idx="0">
                  <c:v>0.14456713985731401</c:v>
                </c:pt>
                <c:pt idx="1">
                  <c:v>0.144023527764162</c:v>
                </c:pt>
                <c:pt idx="2">
                  <c:v>0.15286812935202801</c:v>
                </c:pt>
                <c:pt idx="3">
                  <c:v>0.152533661551779</c:v>
                </c:pt>
                <c:pt idx="4">
                  <c:v>0.14487337232943601</c:v>
                </c:pt>
                <c:pt idx="5">
                  <c:v>0.133894089562685</c:v>
                </c:pt>
                <c:pt idx="6">
                  <c:v>0.131833100098523</c:v>
                </c:pt>
                <c:pt idx="7">
                  <c:v>0.13070098562973501</c:v>
                </c:pt>
                <c:pt idx="8">
                  <c:v>0.12947541566130399</c:v>
                </c:pt>
                <c:pt idx="9">
                  <c:v>0.121664499922879</c:v>
                </c:pt>
                <c:pt idx="10">
                  <c:v>0.121684763630922</c:v>
                </c:pt>
                <c:pt idx="11">
                  <c:v>0.114957582184518</c:v>
                </c:pt>
                <c:pt idx="12">
                  <c:v>0.111523702789384</c:v>
                </c:pt>
                <c:pt idx="13">
                  <c:v>0.107991469075398</c:v>
                </c:pt>
                <c:pt idx="14">
                  <c:v>0.10569897221776101</c:v>
                </c:pt>
                <c:pt idx="16">
                  <c:v>0.84179536735558502</c:v>
                </c:pt>
                <c:pt idx="17">
                  <c:v>0.839380053121625</c:v>
                </c:pt>
                <c:pt idx="18">
                  <c:v>0.83727056325044602</c:v>
                </c:pt>
                <c:pt idx="19">
                  <c:v>0.82734840273295296</c:v>
                </c:pt>
                <c:pt idx="20">
                  <c:v>0.81585268214571705</c:v>
                </c:pt>
                <c:pt idx="21">
                  <c:v>0.81211780836531</c:v>
                </c:pt>
                <c:pt idx="22">
                  <c:v>0.81739802312323895</c:v>
                </c:pt>
                <c:pt idx="23">
                  <c:v>0.81729093598007996</c:v>
                </c:pt>
                <c:pt idx="24">
                  <c:v>0.80885424805543904</c:v>
                </c:pt>
                <c:pt idx="25">
                  <c:v>0.79674252928054401</c:v>
                </c:pt>
                <c:pt idx="26">
                  <c:v>0.78811115116891794</c:v>
                </c:pt>
                <c:pt idx="27">
                  <c:v>0.76919778699861696</c:v>
                </c:pt>
                <c:pt idx="28">
                  <c:v>0.75575242634614703</c:v>
                </c:pt>
                <c:pt idx="29">
                  <c:v>0.76278183338719796</c:v>
                </c:pt>
                <c:pt idx="30">
                  <c:v>0.77290251095794404</c:v>
                </c:pt>
                <c:pt idx="32">
                  <c:v>8.4338128523641795E-2</c:v>
                </c:pt>
                <c:pt idx="33">
                  <c:v>8.5142295052648004E-2</c:v>
                </c:pt>
                <c:pt idx="34">
                  <c:v>8.4715348172458502E-2</c:v>
                </c:pt>
                <c:pt idx="35">
                  <c:v>7.9667039772421802E-2</c:v>
                </c:pt>
                <c:pt idx="36">
                  <c:v>7.4434595705019702E-2</c:v>
                </c:pt>
                <c:pt idx="37">
                  <c:v>7.1518152124065204E-2</c:v>
                </c:pt>
                <c:pt idx="38">
                  <c:v>7.0741751664032904E-2</c:v>
                </c:pt>
                <c:pt idx="39">
                  <c:v>7.3465999267488702E-2</c:v>
                </c:pt>
                <c:pt idx="40">
                  <c:v>7.4298068497847494E-2</c:v>
                </c:pt>
                <c:pt idx="41">
                  <c:v>6.8455303116794194E-2</c:v>
                </c:pt>
                <c:pt idx="42">
                  <c:v>6.1854215268192202E-2</c:v>
                </c:pt>
                <c:pt idx="43">
                  <c:v>5.9517306868124897E-2</c:v>
                </c:pt>
                <c:pt idx="44">
                  <c:v>5.8329440776323203E-2</c:v>
                </c:pt>
                <c:pt idx="45">
                  <c:v>5.8328880851588501E-2</c:v>
                </c:pt>
                <c:pt idx="46">
                  <c:v>5.6293528802615303E-2</c:v>
                </c:pt>
                <c:pt idx="48">
                  <c:v>8.6615521873729798E-2</c:v>
                </c:pt>
                <c:pt idx="49">
                  <c:v>7.4525276779404695E-2</c:v>
                </c:pt>
                <c:pt idx="50">
                  <c:v>6.4766375040787305E-2</c:v>
                </c:pt>
                <c:pt idx="51">
                  <c:v>4.9922679412848302E-2</c:v>
                </c:pt>
                <c:pt idx="52">
                  <c:v>4.3590823732973301E-2</c:v>
                </c:pt>
                <c:pt idx="53">
                  <c:v>3.6372909905396697E-2</c:v>
                </c:pt>
                <c:pt idx="54">
                  <c:v>2.9291678838224498E-2</c:v>
                </c:pt>
                <c:pt idx="55">
                  <c:v>2.9609277399872899E-2</c:v>
                </c:pt>
                <c:pt idx="56">
                  <c:v>2.93670176822079E-2</c:v>
                </c:pt>
                <c:pt idx="57">
                  <c:v>3.48885276308828E-2</c:v>
                </c:pt>
                <c:pt idx="58">
                  <c:v>3.19685484307278E-2</c:v>
                </c:pt>
                <c:pt idx="59">
                  <c:v>2.9646904796290299E-2</c:v>
                </c:pt>
                <c:pt idx="60">
                  <c:v>2.79502837084411E-2</c:v>
                </c:pt>
                <c:pt idx="61">
                  <c:v>2.755914194484E-2</c:v>
                </c:pt>
                <c:pt idx="62">
                  <c:v>2.4726293643404399E-2</c:v>
                </c:pt>
                <c:pt idx="64">
                  <c:v>0.17138421870729001</c:v>
                </c:pt>
                <c:pt idx="65">
                  <c:v>0.169156165232276</c:v>
                </c:pt>
                <c:pt idx="66">
                  <c:v>0.16338163094240199</c:v>
                </c:pt>
                <c:pt idx="67">
                  <c:v>0.14770333722875001</c:v>
                </c:pt>
                <c:pt idx="68">
                  <c:v>0.149776607544549</c:v>
                </c:pt>
                <c:pt idx="69">
                  <c:v>0.14651770414482301</c:v>
                </c:pt>
                <c:pt idx="70">
                  <c:v>0.142049404611515</c:v>
                </c:pt>
                <c:pt idx="71">
                  <c:v>0.141876841154878</c:v>
                </c:pt>
                <c:pt idx="72">
                  <c:v>0.142884176434042</c:v>
                </c:pt>
                <c:pt idx="73">
                  <c:v>0.13882787596165799</c:v>
                </c:pt>
                <c:pt idx="74">
                  <c:v>0.13401264286013301</c:v>
                </c:pt>
                <c:pt idx="75">
                  <c:v>0.12830509592153799</c:v>
                </c:pt>
                <c:pt idx="76">
                  <c:v>0.12786956960662199</c:v>
                </c:pt>
                <c:pt idx="77">
                  <c:v>0.12244979852530601</c:v>
                </c:pt>
                <c:pt idx="78">
                  <c:v>0.119946219000078</c:v>
                </c:pt>
              </c:numCache>
            </c:numRef>
          </c:val>
          <c:extLst>
            <c:ext xmlns:c16="http://schemas.microsoft.com/office/drawing/2014/chart" uri="{C3380CC4-5D6E-409C-BE32-E72D297353CC}">
              <c16:uniqueId val="{00000001-8F10-43C1-AC2B-41B2DFCD005C}"/>
            </c:ext>
          </c:extLst>
        </c:ser>
        <c:ser>
          <c:idx val="2"/>
          <c:order val="2"/>
          <c:tx>
            <c:strRef>
              <c:f>'Ch4. Patent applications filed'!$B$65</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filed'!$AF$108:$DF$109</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4">
                    <c:v>USPTO</c:v>
                  </c:pt>
                </c:lvl>
              </c:multiLvlStrCache>
            </c:multiLvlStrRef>
          </c:cat>
          <c:val>
            <c:numRef>
              <c:f>'Ch4. Patent applications filed'!$AF$112:$DF$112</c:f>
              <c:numCache>
                <c:formatCode>0%</c:formatCode>
                <c:ptCount val="79"/>
                <c:pt idx="0">
                  <c:v>3.1233232424268498E-2</c:v>
                </c:pt>
                <c:pt idx="1">
                  <c:v>3.4234297318115003E-2</c:v>
                </c:pt>
                <c:pt idx="2">
                  <c:v>3.84594663757458E-2</c:v>
                </c:pt>
                <c:pt idx="3">
                  <c:v>4.2848737734075402E-2</c:v>
                </c:pt>
                <c:pt idx="4">
                  <c:v>4.0406366585296803E-2</c:v>
                </c:pt>
                <c:pt idx="5">
                  <c:v>4.00632413043207E-2</c:v>
                </c:pt>
                <c:pt idx="6">
                  <c:v>4.2823166178233202E-2</c:v>
                </c:pt>
                <c:pt idx="7">
                  <c:v>3.8758898879911602E-2</c:v>
                </c:pt>
                <c:pt idx="8">
                  <c:v>4.1626308881769401E-2</c:v>
                </c:pt>
                <c:pt idx="9">
                  <c:v>4.5936804530330701E-2</c:v>
                </c:pt>
                <c:pt idx="10">
                  <c:v>5.0350022447995503E-2</c:v>
                </c:pt>
                <c:pt idx="11">
                  <c:v>4.9809119830328701E-2</c:v>
                </c:pt>
                <c:pt idx="12">
                  <c:v>5.3654707246406801E-2</c:v>
                </c:pt>
                <c:pt idx="13">
                  <c:v>6.3103751097729296E-2</c:v>
                </c:pt>
                <c:pt idx="14">
                  <c:v>6.5777059579251604E-2</c:v>
                </c:pt>
                <c:pt idx="16">
                  <c:v>1.41382132223634E-2</c:v>
                </c:pt>
                <c:pt idx="17">
                  <c:v>1.4614284463384E-2</c:v>
                </c:pt>
                <c:pt idx="18">
                  <c:v>1.66513028156688E-2</c:v>
                </c:pt>
                <c:pt idx="19">
                  <c:v>1.8676393574395E-2</c:v>
                </c:pt>
                <c:pt idx="20">
                  <c:v>1.7430035982809199E-2</c:v>
                </c:pt>
                <c:pt idx="21">
                  <c:v>1.63842357422322E-2</c:v>
                </c:pt>
                <c:pt idx="22">
                  <c:v>1.6382887169774599E-2</c:v>
                </c:pt>
                <c:pt idx="23">
                  <c:v>1.30997648196584E-2</c:v>
                </c:pt>
                <c:pt idx="24">
                  <c:v>1.6168793272251201E-2</c:v>
                </c:pt>
                <c:pt idx="25">
                  <c:v>1.8294049076368099E-2</c:v>
                </c:pt>
                <c:pt idx="26">
                  <c:v>2.0386727308023E-2</c:v>
                </c:pt>
                <c:pt idx="27">
                  <c:v>2.0525587828492401E-2</c:v>
                </c:pt>
                <c:pt idx="28">
                  <c:v>2.46917417884157E-2</c:v>
                </c:pt>
                <c:pt idx="29">
                  <c:v>2.6388301186473999E-2</c:v>
                </c:pt>
                <c:pt idx="30">
                  <c:v>2.6563034658063301E-2</c:v>
                </c:pt>
                <c:pt idx="32">
                  <c:v>0.77486316952869205</c:v>
                </c:pt>
                <c:pt idx="33">
                  <c:v>0.77146721513044603</c:v>
                </c:pt>
                <c:pt idx="34">
                  <c:v>0.78414101580075701</c:v>
                </c:pt>
                <c:pt idx="35">
                  <c:v>0.78194819858350195</c:v>
                </c:pt>
                <c:pt idx="36">
                  <c:v>0.78021512943906601</c:v>
                </c:pt>
                <c:pt idx="37">
                  <c:v>0.78276881896543704</c:v>
                </c:pt>
                <c:pt idx="38">
                  <c:v>0.78256476559881205</c:v>
                </c:pt>
                <c:pt idx="39">
                  <c:v>0.77661335612257398</c:v>
                </c:pt>
                <c:pt idx="40">
                  <c:v>0.77420092193988299</c:v>
                </c:pt>
                <c:pt idx="41">
                  <c:v>0.78366480191802701</c:v>
                </c:pt>
                <c:pt idx="42">
                  <c:v>0.79589784749447701</c:v>
                </c:pt>
                <c:pt idx="43">
                  <c:v>0.78254859284531797</c:v>
                </c:pt>
                <c:pt idx="44">
                  <c:v>0.77324277352051296</c:v>
                </c:pt>
                <c:pt idx="45">
                  <c:v>0.78559039907936401</c:v>
                </c:pt>
                <c:pt idx="46">
                  <c:v>0.79508619464354602</c:v>
                </c:pt>
                <c:pt idx="48">
                  <c:v>1.8349749601842599E-2</c:v>
                </c:pt>
                <c:pt idx="49">
                  <c:v>1.54422771517367E-2</c:v>
                </c:pt>
                <c:pt idx="50">
                  <c:v>1.37642717191323E-2</c:v>
                </c:pt>
                <c:pt idx="51">
                  <c:v>1.3168738244362099E-2</c:v>
                </c:pt>
                <c:pt idx="52">
                  <c:v>1.2420044883680601E-2</c:v>
                </c:pt>
                <c:pt idx="53">
                  <c:v>1.1713786819426E-2</c:v>
                </c:pt>
                <c:pt idx="54">
                  <c:v>1.02831297352341E-2</c:v>
                </c:pt>
                <c:pt idx="55">
                  <c:v>9.5397055864458007E-3</c:v>
                </c:pt>
                <c:pt idx="56">
                  <c:v>8.9980428040949394E-3</c:v>
                </c:pt>
                <c:pt idx="57">
                  <c:v>1.14367430805884E-2</c:v>
                </c:pt>
                <c:pt idx="58">
                  <c:v>1.11711581735808E-2</c:v>
                </c:pt>
                <c:pt idx="59">
                  <c:v>1.11568473250621E-2</c:v>
                </c:pt>
                <c:pt idx="60">
                  <c:v>1.1277935462196499E-2</c:v>
                </c:pt>
                <c:pt idx="61">
                  <c:v>1.19306121889419E-2</c:v>
                </c:pt>
                <c:pt idx="62">
                  <c:v>1.1509506830761001E-2</c:v>
                </c:pt>
                <c:pt idx="64">
                  <c:v>5.31183576554487E-2</c:v>
                </c:pt>
                <c:pt idx="65">
                  <c:v>5.4189784384668198E-2</c:v>
                </c:pt>
                <c:pt idx="66">
                  <c:v>5.43113215368035E-2</c:v>
                </c:pt>
                <c:pt idx="67">
                  <c:v>5.7799696297488497E-2</c:v>
                </c:pt>
                <c:pt idx="68">
                  <c:v>6.3482849057190496E-2</c:v>
                </c:pt>
                <c:pt idx="69">
                  <c:v>6.4819056344480097E-2</c:v>
                </c:pt>
                <c:pt idx="70">
                  <c:v>6.1662464021559803E-2</c:v>
                </c:pt>
                <c:pt idx="71">
                  <c:v>5.8595680741272797E-2</c:v>
                </c:pt>
                <c:pt idx="72">
                  <c:v>5.6872664914986597E-2</c:v>
                </c:pt>
                <c:pt idx="73">
                  <c:v>5.9888680238087202E-2</c:v>
                </c:pt>
                <c:pt idx="74">
                  <c:v>6.4158747435843794E-2</c:v>
                </c:pt>
                <c:pt idx="75">
                  <c:v>6.2711231112831903E-2</c:v>
                </c:pt>
                <c:pt idx="76">
                  <c:v>7.03587172325605E-2</c:v>
                </c:pt>
                <c:pt idx="77">
                  <c:v>7.2318547375813003E-2</c:v>
                </c:pt>
                <c:pt idx="78">
                  <c:v>7.3662064998085197E-2</c:v>
                </c:pt>
              </c:numCache>
            </c:numRef>
          </c:val>
          <c:extLst>
            <c:ext xmlns:c16="http://schemas.microsoft.com/office/drawing/2014/chart" uri="{C3380CC4-5D6E-409C-BE32-E72D297353CC}">
              <c16:uniqueId val="{00000002-8F10-43C1-AC2B-41B2DFCD005C}"/>
            </c:ext>
          </c:extLst>
        </c:ser>
        <c:ser>
          <c:idx val="3"/>
          <c:order val="3"/>
          <c:tx>
            <c:strRef>
              <c:f>'Ch4. Patent applications filed'!$B$66</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filed'!$AF$108:$DF$109</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4">
                    <c:v>USPTO</c:v>
                  </c:pt>
                </c:lvl>
              </c:multiLvlStrCache>
            </c:multiLvlStrRef>
          </c:cat>
          <c:val>
            <c:numRef>
              <c:f>'Ch4. Patent applications filed'!$AF$113:$DF$113</c:f>
              <c:numCache>
                <c:formatCode>0%</c:formatCode>
                <c:ptCount val="79"/>
                <c:pt idx="0">
                  <c:v>1.3573042043971599E-2</c:v>
                </c:pt>
                <c:pt idx="1">
                  <c:v>1.78418878229816E-2</c:v>
                </c:pt>
                <c:pt idx="2">
                  <c:v>2.5125594300106399E-2</c:v>
                </c:pt>
                <c:pt idx="3">
                  <c:v>2.7429684382798299E-2</c:v>
                </c:pt>
                <c:pt idx="4">
                  <c:v>3.0424855738546301E-2</c:v>
                </c:pt>
                <c:pt idx="5">
                  <c:v>3.5751334191548703E-2</c:v>
                </c:pt>
                <c:pt idx="6">
                  <c:v>4.48689387711559E-2</c:v>
                </c:pt>
                <c:pt idx="7">
                  <c:v>5.1868614716016198E-2</c:v>
                </c:pt>
                <c:pt idx="8">
                  <c:v>5.4332563430975298E-2</c:v>
                </c:pt>
                <c:pt idx="9">
                  <c:v>6.7354516008196905E-2</c:v>
                </c:pt>
                <c:pt idx="10">
                  <c:v>7.4471917834793802E-2</c:v>
                </c:pt>
                <c:pt idx="11">
                  <c:v>8.8361611876988294E-2</c:v>
                </c:pt>
                <c:pt idx="12">
                  <c:v>9.8447014104437902E-2</c:v>
                </c:pt>
                <c:pt idx="13">
                  <c:v>0.104052189185799</c:v>
                </c:pt>
                <c:pt idx="14">
                  <c:v>0.100775855146941</c:v>
                </c:pt>
                <c:pt idx="16">
                  <c:v>3.0847538290994102E-3</c:v>
                </c:pt>
                <c:pt idx="17">
                  <c:v>4.0891976299582602E-3</c:v>
                </c:pt>
                <c:pt idx="18">
                  <c:v>5.8985519084236698E-3</c:v>
                </c:pt>
                <c:pt idx="19">
                  <c:v>6.28432936706086E-3</c:v>
                </c:pt>
                <c:pt idx="20">
                  <c:v>7.7640656586571901E-3</c:v>
                </c:pt>
                <c:pt idx="21">
                  <c:v>8.9106146127804608E-3</c:v>
                </c:pt>
                <c:pt idx="22">
                  <c:v>1.19667945009281E-2</c:v>
                </c:pt>
                <c:pt idx="23">
                  <c:v>1.48675422869326E-2</c:v>
                </c:pt>
                <c:pt idx="24">
                  <c:v>1.69820166025124E-2</c:v>
                </c:pt>
                <c:pt idx="25">
                  <c:v>2.58045452626725E-2</c:v>
                </c:pt>
                <c:pt idx="26">
                  <c:v>2.9139743198646699E-2</c:v>
                </c:pt>
                <c:pt idx="27">
                  <c:v>3.2396265560165997E-2</c:v>
                </c:pt>
                <c:pt idx="28">
                  <c:v>3.3993023175491299E-2</c:v>
                </c:pt>
                <c:pt idx="29">
                  <c:v>3.2025801894493403E-2</c:v>
                </c:pt>
                <c:pt idx="30">
                  <c:v>3.2543057796027397E-2</c:v>
                </c:pt>
                <c:pt idx="32">
                  <c:v>3.0393707268034898E-3</c:v>
                </c:pt>
                <c:pt idx="33">
                  <c:v>4.2029017907044301E-3</c:v>
                </c:pt>
                <c:pt idx="34">
                  <c:v>5.1981049678426804E-3</c:v>
                </c:pt>
                <c:pt idx="35">
                  <c:v>5.6063620233736903E-3</c:v>
                </c:pt>
                <c:pt idx="36">
                  <c:v>7.4753200311947201E-3</c:v>
                </c:pt>
                <c:pt idx="37">
                  <c:v>9.1298773011876805E-3</c:v>
                </c:pt>
                <c:pt idx="38">
                  <c:v>1.35469041804338E-2</c:v>
                </c:pt>
                <c:pt idx="39">
                  <c:v>1.4723476986936899E-2</c:v>
                </c:pt>
                <c:pt idx="40">
                  <c:v>1.4952950588593901E-2</c:v>
                </c:pt>
                <c:pt idx="41">
                  <c:v>1.7001940860828901E-2</c:v>
                </c:pt>
                <c:pt idx="42">
                  <c:v>1.8883484227748399E-2</c:v>
                </c:pt>
                <c:pt idx="43">
                  <c:v>2.6470810679081299E-2</c:v>
                </c:pt>
                <c:pt idx="44">
                  <c:v>2.6595632761443101E-2</c:v>
                </c:pt>
                <c:pt idx="45">
                  <c:v>2.24199580781719E-2</c:v>
                </c:pt>
                <c:pt idx="46">
                  <c:v>2.29365063250015E-2</c:v>
                </c:pt>
                <c:pt idx="48">
                  <c:v>0.74919026425377799</c:v>
                </c:pt>
                <c:pt idx="49">
                  <c:v>0.78993070066791804</c:v>
                </c:pt>
                <c:pt idx="50">
                  <c:v>0.82005799836697701</c:v>
                </c:pt>
                <c:pt idx="51">
                  <c:v>0.85432704426906603</c:v>
                </c:pt>
                <c:pt idx="52">
                  <c:v>0.86312739919217996</c:v>
                </c:pt>
                <c:pt idx="53">
                  <c:v>0.87873911843929897</c:v>
                </c:pt>
                <c:pt idx="54">
                  <c:v>0.90024527401134002</c:v>
                </c:pt>
                <c:pt idx="55">
                  <c:v>0.901646214445054</c:v>
                </c:pt>
                <c:pt idx="56">
                  <c:v>0.90389960583708695</c:v>
                </c:pt>
                <c:pt idx="57">
                  <c:v>0.88784366809670601</c:v>
                </c:pt>
                <c:pt idx="58">
                  <c:v>0.89824594448552197</c:v>
                </c:pt>
                <c:pt idx="59">
                  <c:v>0.90047191616377498</c:v>
                </c:pt>
                <c:pt idx="60">
                  <c:v>0.90448585410197702</c:v>
                </c:pt>
                <c:pt idx="61">
                  <c:v>0.907367880212267</c:v>
                </c:pt>
                <c:pt idx="62">
                  <c:v>0.91463435981650398</c:v>
                </c:pt>
                <c:pt idx="64">
                  <c:v>1.6649463716734699E-2</c:v>
                </c:pt>
                <c:pt idx="65">
                  <c:v>2.09399859407207E-2</c:v>
                </c:pt>
                <c:pt idx="66">
                  <c:v>2.4452161417794299E-2</c:v>
                </c:pt>
                <c:pt idx="67">
                  <c:v>2.5720243801739599E-2</c:v>
                </c:pt>
                <c:pt idx="68">
                  <c:v>3.1167825957754101E-2</c:v>
                </c:pt>
                <c:pt idx="69">
                  <c:v>3.6283741368487103E-2</c:v>
                </c:pt>
                <c:pt idx="70">
                  <c:v>4.2977619469888699E-2</c:v>
                </c:pt>
                <c:pt idx="71">
                  <c:v>4.8889870105905502E-2</c:v>
                </c:pt>
                <c:pt idx="72">
                  <c:v>5.4618590919062703E-2</c:v>
                </c:pt>
                <c:pt idx="73">
                  <c:v>6.4214027448576197E-2</c:v>
                </c:pt>
                <c:pt idx="74">
                  <c:v>7.0523715828693406E-2</c:v>
                </c:pt>
                <c:pt idx="75">
                  <c:v>7.5852997516370105E-2</c:v>
                </c:pt>
                <c:pt idx="76">
                  <c:v>8.18521385065787E-2</c:v>
                </c:pt>
                <c:pt idx="77">
                  <c:v>8.3132973298332996E-2</c:v>
                </c:pt>
                <c:pt idx="78">
                  <c:v>8.9272481005061494E-2</c:v>
                </c:pt>
              </c:numCache>
            </c:numRef>
          </c:val>
          <c:extLst>
            <c:ext xmlns:c16="http://schemas.microsoft.com/office/drawing/2014/chart" uri="{C3380CC4-5D6E-409C-BE32-E72D297353CC}">
              <c16:uniqueId val="{00000003-8F10-43C1-AC2B-41B2DFCD005C}"/>
            </c:ext>
          </c:extLst>
        </c:ser>
        <c:ser>
          <c:idx val="4"/>
          <c:order val="4"/>
          <c:tx>
            <c:strRef>
              <c:f>'Ch4. Patent applications filed'!$B$67</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filed'!$AF$108:$DF$109</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4">
                    <c:v>USPTO</c:v>
                  </c:pt>
                </c:lvl>
              </c:multiLvlStrCache>
            </c:multiLvlStrRef>
          </c:cat>
          <c:val>
            <c:numRef>
              <c:f>'Ch4. Patent applications filed'!$AF$114:$DF$114</c:f>
              <c:numCache>
                <c:formatCode>0%</c:formatCode>
                <c:ptCount val="79"/>
                <c:pt idx="0">
                  <c:v>0.26178284457575102</c:v>
                </c:pt>
                <c:pt idx="1">
                  <c:v>0.24503186051397</c:v>
                </c:pt>
                <c:pt idx="2">
                  <c:v>0.237194768812208</c:v>
                </c:pt>
                <c:pt idx="3">
                  <c:v>0.22881063644171501</c:v>
                </c:pt>
                <c:pt idx="4">
                  <c:v>0.240102381218705</c:v>
                </c:pt>
                <c:pt idx="5">
                  <c:v>0.26678831660646701</c:v>
                </c:pt>
                <c:pt idx="6">
                  <c:v>0.25149197065634199</c:v>
                </c:pt>
                <c:pt idx="7">
                  <c:v>0.25488913166140398</c:v>
                </c:pt>
                <c:pt idx="8">
                  <c:v>0.25096715401677</c:v>
                </c:pt>
                <c:pt idx="9">
                  <c:v>0.25437388449419401</c:v>
                </c:pt>
                <c:pt idx="10">
                  <c:v>0.24526513576880199</c:v>
                </c:pt>
                <c:pt idx="11">
                  <c:v>0.24672852598091199</c:v>
                </c:pt>
                <c:pt idx="12">
                  <c:v>0.24775986820019899</c:v>
                </c:pt>
                <c:pt idx="13">
                  <c:v>0.24165098481997199</c:v>
                </c:pt>
                <c:pt idx="14">
                  <c:v>0.23981752850489799</c:v>
                </c:pt>
                <c:pt idx="16">
                  <c:v>6.7275492022588604E-2</c:v>
                </c:pt>
                <c:pt idx="17">
                  <c:v>6.8340095151922006E-2</c:v>
                </c:pt>
                <c:pt idx="18">
                  <c:v>6.6867758083524895E-2</c:v>
                </c:pt>
                <c:pt idx="19">
                  <c:v>7.1493380749978699E-2</c:v>
                </c:pt>
                <c:pt idx="20">
                  <c:v>7.9751157247637205E-2</c:v>
                </c:pt>
                <c:pt idx="21">
                  <c:v>8.3147956990596794E-2</c:v>
                </c:pt>
                <c:pt idx="22">
                  <c:v>7.5315423973164194E-2</c:v>
                </c:pt>
                <c:pt idx="23">
                  <c:v>7.5198050734899297E-2</c:v>
                </c:pt>
                <c:pt idx="24">
                  <c:v>7.3735437721443906E-2</c:v>
                </c:pt>
                <c:pt idx="25">
                  <c:v>7.4250979806409101E-2</c:v>
                </c:pt>
                <c:pt idx="26">
                  <c:v>7.7827310796195107E-2</c:v>
                </c:pt>
                <c:pt idx="27">
                  <c:v>8.6441908713692894E-2</c:v>
                </c:pt>
                <c:pt idx="28">
                  <c:v>9.2819396953683603E-2</c:v>
                </c:pt>
                <c:pt idx="29">
                  <c:v>8.8787304295095806E-2</c:v>
                </c:pt>
                <c:pt idx="30">
                  <c:v>8.2214726825373494E-2</c:v>
                </c:pt>
                <c:pt idx="32">
                  <c:v>6.7700954139011504E-2</c:v>
                </c:pt>
                <c:pt idx="33">
                  <c:v>6.7844447922022794E-2</c:v>
                </c:pt>
                <c:pt idx="34">
                  <c:v>6.0058756583648697E-2</c:v>
                </c:pt>
                <c:pt idx="35">
                  <c:v>6.3498037528899404E-2</c:v>
                </c:pt>
                <c:pt idx="36">
                  <c:v>6.6488501702394801E-2</c:v>
                </c:pt>
                <c:pt idx="37">
                  <c:v>6.8588729678886601E-2</c:v>
                </c:pt>
                <c:pt idx="38">
                  <c:v>6.5368960398410197E-2</c:v>
                </c:pt>
                <c:pt idx="39">
                  <c:v>6.5911366133561203E-2</c:v>
                </c:pt>
                <c:pt idx="40">
                  <c:v>6.1969027391519702E-2</c:v>
                </c:pt>
                <c:pt idx="41">
                  <c:v>5.9874414887544199E-2</c:v>
                </c:pt>
                <c:pt idx="42">
                  <c:v>5.8767237463562598E-2</c:v>
                </c:pt>
                <c:pt idx="43">
                  <c:v>6.5160211430348197E-2</c:v>
                </c:pt>
                <c:pt idx="44">
                  <c:v>7.4413065525411007E-2</c:v>
                </c:pt>
                <c:pt idx="45">
                  <c:v>6.7925691504664806E-2</c:v>
                </c:pt>
                <c:pt idx="46">
                  <c:v>6.3262198217222704E-2</c:v>
                </c:pt>
                <c:pt idx="48">
                  <c:v>6.4881115198490699E-2</c:v>
                </c:pt>
                <c:pt idx="49">
                  <c:v>5.4058418121167399E-2</c:v>
                </c:pt>
                <c:pt idx="50">
                  <c:v>4.5206862374133898E-2</c:v>
                </c:pt>
                <c:pt idx="51">
                  <c:v>3.6347947489868297E-2</c:v>
                </c:pt>
                <c:pt idx="52">
                  <c:v>3.6591081226964299E-2</c:v>
                </c:pt>
                <c:pt idx="53">
                  <c:v>3.3775493164310701E-2</c:v>
                </c:pt>
                <c:pt idx="54">
                  <c:v>2.6817272729310299E-2</c:v>
                </c:pt>
                <c:pt idx="55">
                  <c:v>2.67661845665224E-2</c:v>
                </c:pt>
                <c:pt idx="56">
                  <c:v>2.5200356419771201E-2</c:v>
                </c:pt>
                <c:pt idx="57">
                  <c:v>2.8165273395918101E-2</c:v>
                </c:pt>
                <c:pt idx="58">
                  <c:v>2.53012539082355E-2</c:v>
                </c:pt>
                <c:pt idx="59">
                  <c:v>2.6655096322484698E-2</c:v>
                </c:pt>
                <c:pt idx="60">
                  <c:v>2.66107895666437E-2</c:v>
                </c:pt>
                <c:pt idx="61">
                  <c:v>2.4068651088602799E-2</c:v>
                </c:pt>
                <c:pt idx="62">
                  <c:v>2.1653627299850001E-2</c:v>
                </c:pt>
                <c:pt idx="64">
                  <c:v>0.49360295047590302</c:v>
                </c:pt>
                <c:pt idx="65">
                  <c:v>0.491975487606785</c:v>
                </c:pt>
                <c:pt idx="66">
                  <c:v>0.49516317714138303</c:v>
                </c:pt>
                <c:pt idx="67">
                  <c:v>0.51361412986431398</c:v>
                </c:pt>
                <c:pt idx="68">
                  <c:v>0.49256222335098998</c:v>
                </c:pt>
                <c:pt idx="69">
                  <c:v>0.48919258241292102</c:v>
                </c:pt>
                <c:pt idx="70">
                  <c:v>0.487683525135781</c:v>
                </c:pt>
                <c:pt idx="71">
                  <c:v>0.48422620420590601</c:v>
                </c:pt>
                <c:pt idx="72">
                  <c:v>0.47743330302223402</c:v>
                </c:pt>
                <c:pt idx="73">
                  <c:v>0.47147250073617802</c:v>
                </c:pt>
                <c:pt idx="74">
                  <c:v>0.46434797170008801</c:v>
                </c:pt>
                <c:pt idx="75">
                  <c:v>0.47676901566090102</c:v>
                </c:pt>
                <c:pt idx="76">
                  <c:v>0.46031732678265003</c:v>
                </c:pt>
                <c:pt idx="77">
                  <c:v>0.46128341888344598</c:v>
                </c:pt>
                <c:pt idx="78">
                  <c:v>0.44773179793331103</c:v>
                </c:pt>
              </c:numCache>
            </c:numRef>
          </c:val>
          <c:extLst>
            <c:ext xmlns:c16="http://schemas.microsoft.com/office/drawing/2014/chart" uri="{C3380CC4-5D6E-409C-BE32-E72D297353CC}">
              <c16:uniqueId val="{00000004-8F10-43C1-AC2B-41B2DFCD005C}"/>
            </c:ext>
          </c:extLst>
        </c:ser>
        <c:ser>
          <c:idx val="5"/>
          <c:order val="5"/>
          <c:tx>
            <c:strRef>
              <c:f>'Ch4. Patent applications filed'!$B$68</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Patent applications filed'!$AF$108:$DF$109</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4">
                    <c:v>USPTO</c:v>
                  </c:pt>
                </c:lvl>
              </c:multiLvlStrCache>
            </c:multiLvlStrRef>
          </c:cat>
          <c:val>
            <c:numRef>
              <c:f>'Ch4. Patent applications filed'!$AF$115:$DF$115</c:f>
              <c:numCache>
                <c:formatCode>0%</c:formatCode>
                <c:ptCount val="79"/>
                <c:pt idx="0">
                  <c:v>5.5948225038254903E-2</c:v>
                </c:pt>
                <c:pt idx="1">
                  <c:v>5.53742735102584E-2</c:v>
                </c:pt>
                <c:pt idx="2">
                  <c:v>5.4985386614947403E-2</c:v>
                </c:pt>
                <c:pt idx="3">
                  <c:v>5.18567110077163E-2</c:v>
                </c:pt>
                <c:pt idx="4">
                  <c:v>4.9525927583053103E-2</c:v>
                </c:pt>
                <c:pt idx="5">
                  <c:v>4.7962155203659498E-2</c:v>
                </c:pt>
                <c:pt idx="6">
                  <c:v>5.1727924795893401E-2</c:v>
                </c:pt>
                <c:pt idx="7">
                  <c:v>5.2618941858650403E-2</c:v>
                </c:pt>
                <c:pt idx="8">
                  <c:v>5.5960247820679598E-2</c:v>
                </c:pt>
                <c:pt idx="9">
                  <c:v>5.5907498402485503E-2</c:v>
                </c:pt>
                <c:pt idx="10">
                  <c:v>5.6325069145368799E-2</c:v>
                </c:pt>
                <c:pt idx="11">
                  <c:v>5.5949098621421001E-2</c:v>
                </c:pt>
                <c:pt idx="12">
                  <c:v>5.3628884401452297E-2</c:v>
                </c:pt>
                <c:pt idx="13">
                  <c:v>5.29017689123071E-2</c:v>
                </c:pt>
                <c:pt idx="14">
                  <c:v>5.4856873293720902E-2</c:v>
                </c:pt>
                <c:pt idx="16">
                  <c:v>1.24086616869512E-2</c:v>
                </c:pt>
                <c:pt idx="17">
                  <c:v>1.2215055018826099E-2</c:v>
                </c:pt>
                <c:pt idx="18">
                  <c:v>1.23455349537334E-2</c:v>
                </c:pt>
                <c:pt idx="19">
                  <c:v>1.34638103009414E-2</c:v>
                </c:pt>
                <c:pt idx="20">
                  <c:v>1.43225691664443E-2</c:v>
                </c:pt>
                <c:pt idx="21">
                  <c:v>1.42287455172392E-2</c:v>
                </c:pt>
                <c:pt idx="22">
                  <c:v>1.4335026273552799E-2</c:v>
                </c:pt>
                <c:pt idx="23">
                  <c:v>1.49899993406159E-2</c:v>
                </c:pt>
                <c:pt idx="24">
                  <c:v>1.7658108155513799E-2</c:v>
                </c:pt>
                <c:pt idx="25">
                  <c:v>1.86869457640217E-2</c:v>
                </c:pt>
                <c:pt idx="26">
                  <c:v>1.77278904018414E-2</c:v>
                </c:pt>
                <c:pt idx="27">
                  <c:v>1.9187413554633499E-2</c:v>
                </c:pt>
                <c:pt idx="28">
                  <c:v>1.8170828584257202E-2</c:v>
                </c:pt>
                <c:pt idx="29">
                  <c:v>1.74755858236182E-2</c:v>
                </c:pt>
                <c:pt idx="30">
                  <c:v>1.6652816476837601E-2</c:v>
                </c:pt>
                <c:pt idx="32">
                  <c:v>1.21516040470074E-2</c:v>
                </c:pt>
                <c:pt idx="33">
                  <c:v>1.22789564284277E-2</c:v>
                </c:pt>
                <c:pt idx="34">
                  <c:v>1.1925998464918101E-2</c:v>
                </c:pt>
                <c:pt idx="35">
                  <c:v>1.19165742048693E-2</c:v>
                </c:pt>
                <c:pt idx="36">
                  <c:v>1.29011089342438E-2</c:v>
                </c:pt>
                <c:pt idx="37">
                  <c:v>1.1727048957855601E-2</c:v>
                </c:pt>
                <c:pt idx="38">
                  <c:v>1.1071206244313601E-2</c:v>
                </c:pt>
                <c:pt idx="39">
                  <c:v>1.21645708704676E-2</c:v>
                </c:pt>
                <c:pt idx="40">
                  <c:v>1.4086250904796401E-2</c:v>
                </c:pt>
                <c:pt idx="41">
                  <c:v>1.5097613882863299E-2</c:v>
                </c:pt>
                <c:pt idx="42">
                  <c:v>1.41030785988649E-2</c:v>
                </c:pt>
                <c:pt idx="43">
                  <c:v>1.3979109068143401E-2</c:v>
                </c:pt>
                <c:pt idx="44">
                  <c:v>1.29906199896479E-2</c:v>
                </c:pt>
                <c:pt idx="45">
                  <c:v>1.22600797336731E-2</c:v>
                </c:pt>
                <c:pt idx="46">
                  <c:v>1.18540477979248E-2</c:v>
                </c:pt>
                <c:pt idx="48">
                  <c:v>1.0061941269553201E-2</c:v>
                </c:pt>
                <c:pt idx="49">
                  <c:v>8.6757140794662697E-3</c:v>
                </c:pt>
                <c:pt idx="50">
                  <c:v>7.5201791729794399E-3</c:v>
                </c:pt>
                <c:pt idx="51">
                  <c:v>5.8923619863877003E-3</c:v>
                </c:pt>
                <c:pt idx="52">
                  <c:v>6.61942711357855E-3</c:v>
                </c:pt>
                <c:pt idx="53">
                  <c:v>7.3030791458836997E-3</c:v>
                </c:pt>
                <c:pt idx="54">
                  <c:v>6.1180288725538904E-3</c:v>
                </c:pt>
                <c:pt idx="55">
                  <c:v>5.7896893009089503E-3</c:v>
                </c:pt>
                <c:pt idx="56">
                  <c:v>6.7178901194680698E-3</c:v>
                </c:pt>
                <c:pt idx="57">
                  <c:v>7.8541488625727407E-3</c:v>
                </c:pt>
                <c:pt idx="58">
                  <c:v>6.2478333964528796E-3</c:v>
                </c:pt>
                <c:pt idx="59">
                  <c:v>5.2362954801871498E-3</c:v>
                </c:pt>
                <c:pt idx="60">
                  <c:v>4.2093093916510402E-3</c:v>
                </c:pt>
                <c:pt idx="61">
                  <c:v>4.16880004243903E-3</c:v>
                </c:pt>
                <c:pt idx="62">
                  <c:v>3.6880748599330201E-3</c:v>
                </c:pt>
                <c:pt idx="64">
                  <c:v>0.104453864136133</c:v>
                </c:pt>
                <c:pt idx="65">
                  <c:v>0.104253130572578</c:v>
                </c:pt>
                <c:pt idx="66">
                  <c:v>0.10574136676399901</c:v>
                </c:pt>
                <c:pt idx="67">
                  <c:v>0.102412125707648</c:v>
                </c:pt>
                <c:pt idx="68">
                  <c:v>0.10461608633004001</c:v>
                </c:pt>
                <c:pt idx="69">
                  <c:v>0.10505759997285399</c:v>
                </c:pt>
                <c:pt idx="70">
                  <c:v>0.10500337697809201</c:v>
                </c:pt>
                <c:pt idx="71">
                  <c:v>0.106605750663969</c:v>
                </c:pt>
                <c:pt idx="72">
                  <c:v>0.107929283033655</c:v>
                </c:pt>
                <c:pt idx="73">
                  <c:v>0.10990372562365899</c:v>
                </c:pt>
                <c:pt idx="74">
                  <c:v>0.111649014108092</c:v>
                </c:pt>
                <c:pt idx="75">
                  <c:v>0.107032780870809</c:v>
                </c:pt>
                <c:pt idx="76">
                  <c:v>0.108601137396103</c:v>
                </c:pt>
                <c:pt idx="77">
                  <c:v>0.112516510893009</c:v>
                </c:pt>
                <c:pt idx="78">
                  <c:v>0.123503987983826</c:v>
                </c:pt>
              </c:numCache>
            </c:numRef>
          </c:val>
          <c:extLst>
            <c:ext xmlns:c16="http://schemas.microsoft.com/office/drawing/2014/chart" uri="{C3380CC4-5D6E-409C-BE32-E72D297353CC}">
              <c16:uniqueId val="{00000005-8F10-43C1-AC2B-41B2DFCD005C}"/>
            </c:ext>
          </c:extLst>
        </c:ser>
        <c:dLbls>
          <c:showLegendKey val="0"/>
          <c:showVal val="0"/>
          <c:showCatName val="0"/>
          <c:showSerName val="0"/>
          <c:showPercent val="0"/>
          <c:showBubbleSize val="0"/>
        </c:dLbls>
        <c:gapWidth val="4"/>
        <c:overlap val="100"/>
        <c:axId val="1801074384"/>
        <c:axId val="1801079824"/>
      </c:barChart>
      <c:catAx>
        <c:axId val="1801074384"/>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79824"/>
        <c:crosses val="autoZero"/>
        <c:auto val="1"/>
        <c:lblAlgn val="ctr"/>
        <c:lblOffset val="100"/>
        <c:noMultiLvlLbl val="0"/>
      </c:catAx>
      <c:valAx>
        <c:axId val="1801079824"/>
        <c:scaling>
          <c:orientation val="minMax"/>
          <c:max val="1"/>
          <c:min val="0"/>
        </c:scaling>
        <c:delete val="1"/>
        <c:axPos val="l"/>
        <c:numFmt formatCode="0%" sourceLinked="1"/>
        <c:majorTickMark val="out"/>
        <c:minorTickMark val="none"/>
        <c:tickLblPos val="nextTo"/>
        <c:crossAx val="1801074384"/>
        <c:crosses val="autoZero"/>
        <c:crossBetween val="between"/>
      </c:valAx>
      <c:spPr>
        <a:noFill/>
        <a:ln>
          <a:noFill/>
        </a:ln>
        <a:effectLst/>
      </c:spPr>
    </c:plotArea>
    <c:legend>
      <c:legendPos val="b"/>
      <c:legendEntry>
        <c:idx val="2"/>
        <c:delete val="1"/>
      </c:legendEntry>
      <c:layout>
        <c:manualLayout>
          <c:xMode val="edge"/>
          <c:yMode val="edge"/>
          <c:x val="0.21783060533773099"/>
          <c:y val="1.61505811773528E-2"/>
          <c:w val="0.176172158360861"/>
          <c:h val="3.9054368203974503E-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9a918143-dec0-4ffa-84c4-0ffb36221c97}"/>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4.3: APPLICATIONS FILED - </a:t>
            </a:r>
            <a:r>
              <a:rPr lang="en-GB" b="1" baseline="0"/>
              <a:t>SECTOR OF TECHNOLOGY</a:t>
            </a:r>
            <a:endParaRPr lang="en-GB" b="1"/>
          </a:p>
        </c:rich>
      </c:tx>
      <c:layout>
        <c:manualLayout>
          <c:xMode val="edge"/>
          <c:yMode val="edge"/>
          <c:x val="7.0866612525452297E-3"/>
          <c:y val="1.3333333333333299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6.57698056801196E-3"/>
          <c:y val="8.2422222222222202E-2"/>
          <c:w val="0.98684603886397604"/>
          <c:h val="0.81373423322084704"/>
        </c:manualLayout>
      </c:layout>
      <c:barChart>
        <c:barDir val="col"/>
        <c:grouping val="stacked"/>
        <c:varyColors val="0"/>
        <c:ser>
          <c:idx val="0"/>
          <c:order val="0"/>
          <c:tx>
            <c:strRef>
              <c:f>'Ch4. Applications technology'!$B$8</c:f>
              <c:strCache>
                <c:ptCount val="1"/>
                <c:pt idx="0">
                  <c:v>Electrical engineering</c:v>
                </c:pt>
              </c:strCache>
            </c:strRef>
          </c:tx>
          <c:spPr>
            <a:solidFill>
              <a:srgbClr val="D0C094">
                <a:alpha val="96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technology'!$R$46:$CL$47</c:f>
              <c:multiLvlStrCache>
                <c:ptCount val="73"/>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4">
                    <c:v>2011</c:v>
                  </c:pt>
                  <c:pt idx="45">
                    <c:v>2012</c:v>
                  </c:pt>
                  <c:pt idx="46">
                    <c:v>2013</c:v>
                  </c:pt>
                  <c:pt idx="47">
                    <c:v>2014</c:v>
                  </c:pt>
                  <c:pt idx="48">
                    <c:v>2015</c:v>
                  </c:pt>
                  <c:pt idx="49">
                    <c:v>2016</c:v>
                  </c:pt>
                  <c:pt idx="50">
                    <c:v>2017</c:v>
                  </c:pt>
                  <c:pt idx="51">
                    <c:v>2018</c:v>
                  </c:pt>
                  <c:pt idx="52">
                    <c:v>2019</c:v>
                  </c:pt>
                  <c:pt idx="53">
                    <c:v>2020</c:v>
                  </c:pt>
                  <c:pt idx="54">
                    <c:v>2021</c:v>
                  </c:pt>
                  <c:pt idx="55">
                    <c:v>2022</c:v>
                  </c:pt>
                  <c:pt idx="56">
                    <c:v>2023</c:v>
                  </c:pt>
                  <c:pt idx="57">
                    <c:v>2024</c:v>
                  </c:pt>
                  <c:pt idx="59">
                    <c:v>2011</c:v>
                  </c:pt>
                  <c:pt idx="60">
                    <c:v>2012</c:v>
                  </c:pt>
                  <c:pt idx="61">
                    <c:v>2013</c:v>
                  </c:pt>
                  <c:pt idx="62">
                    <c:v>2014</c:v>
                  </c:pt>
                  <c:pt idx="63">
                    <c:v>2015</c:v>
                  </c:pt>
                  <c:pt idx="64">
                    <c:v>2016</c:v>
                  </c:pt>
                  <c:pt idx="65">
                    <c:v>2017</c:v>
                  </c:pt>
                  <c:pt idx="66">
                    <c:v>2018</c:v>
                  </c:pt>
                  <c:pt idx="67">
                    <c:v>2019</c:v>
                  </c:pt>
                  <c:pt idx="68">
                    <c:v>2020</c:v>
                  </c:pt>
                  <c:pt idx="69">
                    <c:v>2021</c:v>
                  </c:pt>
                  <c:pt idx="70">
                    <c:v>2022</c:v>
                  </c:pt>
                  <c:pt idx="71">
                    <c:v>2023</c:v>
                  </c:pt>
                  <c:pt idx="72">
                    <c:v>2024</c:v>
                  </c:pt>
                </c:lvl>
                <c:lvl>
                  <c:pt idx="0">
                    <c:v>EPO</c:v>
                  </c:pt>
                  <c:pt idx="15">
                    <c:v>JPO</c:v>
                  </c:pt>
                  <c:pt idx="29">
                    <c:v>MOIP</c:v>
                  </c:pt>
                  <c:pt idx="44">
                    <c:v>CNIPA</c:v>
                  </c:pt>
                  <c:pt idx="59">
                    <c:v>USPTO</c:v>
                  </c:pt>
                </c:lvl>
              </c:multiLvlStrCache>
            </c:multiLvlStrRef>
          </c:cat>
          <c:val>
            <c:numRef>
              <c:f>'Ch4. Applications technology'!$R$48:$CL$48</c:f>
              <c:numCache>
                <c:formatCode>0%</c:formatCode>
                <c:ptCount val="73"/>
                <c:pt idx="0">
                  <c:v>0.28260255211843199</c:v>
                </c:pt>
                <c:pt idx="1">
                  <c:v>0.29126179754917703</c:v>
                </c:pt>
                <c:pt idx="2">
                  <c:v>0.28714503649685003</c:v>
                </c:pt>
                <c:pt idx="3">
                  <c:v>0.28904465621800401</c:v>
                </c:pt>
                <c:pt idx="4">
                  <c:v>0.28454938310264899</c:v>
                </c:pt>
                <c:pt idx="5">
                  <c:v>0.28401034228952099</c:v>
                </c:pt>
                <c:pt idx="6">
                  <c:v>0.28759040154930898</c:v>
                </c:pt>
                <c:pt idx="7">
                  <c:v>0.277571769992148</c:v>
                </c:pt>
                <c:pt idx="8">
                  <c:v>0.292410394364023</c:v>
                </c:pt>
                <c:pt idx="9">
                  <c:v>0.29850323669512902</c:v>
                </c:pt>
                <c:pt idx="10">
                  <c:v>0.31070060513327302</c:v>
                </c:pt>
                <c:pt idx="11">
                  <c:v>0.32777628394729802</c:v>
                </c:pt>
                <c:pt idx="12">
                  <c:v>0.33406248585695503</c:v>
                </c:pt>
                <c:pt idx="13">
                  <c:v>0.33668930817610099</c:v>
                </c:pt>
                <c:pt idx="15">
                  <c:v>0.35884838593901303</c:v>
                </c:pt>
                <c:pt idx="16">
                  <c:v>0.358289662654876</c:v>
                </c:pt>
                <c:pt idx="17">
                  <c:v>0.34781624509277598</c:v>
                </c:pt>
                <c:pt idx="18">
                  <c:v>0.33770041922705202</c:v>
                </c:pt>
                <c:pt idx="19">
                  <c:v>0.309604947620851</c:v>
                </c:pt>
                <c:pt idx="20">
                  <c:v>0.30188434828215899</c:v>
                </c:pt>
                <c:pt idx="21">
                  <c:v>0.29803685468059499</c:v>
                </c:pt>
                <c:pt idx="22">
                  <c:v>0.29358048030247202</c:v>
                </c:pt>
                <c:pt idx="23">
                  <c:v>0.293895815063903</c:v>
                </c:pt>
                <c:pt idx="24">
                  <c:v>0.29341413408834199</c:v>
                </c:pt>
                <c:pt idx="25">
                  <c:v>0.30430384147401401</c:v>
                </c:pt>
                <c:pt idx="26">
                  <c:v>0.31412667159768398</c:v>
                </c:pt>
                <c:pt idx="27">
                  <c:v>0.33751317704934503</c:v>
                </c:pt>
                <c:pt idx="29">
                  <c:v>0.36940332812356302</c:v>
                </c:pt>
                <c:pt idx="30">
                  <c:v>0.36793075383295598</c:v>
                </c:pt>
                <c:pt idx="31">
                  <c:v>0.36187998312913799</c:v>
                </c:pt>
                <c:pt idx="32">
                  <c:v>0.352438565572959</c:v>
                </c:pt>
                <c:pt idx="33">
                  <c:v>0.34894345259677201</c:v>
                </c:pt>
                <c:pt idx="34">
                  <c:v>0.33965234633837699</c:v>
                </c:pt>
                <c:pt idx="35">
                  <c:v>0.33034121348588702</c:v>
                </c:pt>
                <c:pt idx="36">
                  <c:v>0.318231170711265</c:v>
                </c:pt>
                <c:pt idx="37">
                  <c:v>0.328772690946455</c:v>
                </c:pt>
                <c:pt idx="38">
                  <c:v>0.34047961959627798</c:v>
                </c:pt>
                <c:pt idx="39">
                  <c:v>0.35995701850543999</c:v>
                </c:pt>
                <c:pt idx="40">
                  <c:v>0.38169854070993903</c:v>
                </c:pt>
                <c:pt idx="41">
                  <c:v>0.38384241133728902</c:v>
                </c:pt>
                <c:pt idx="42">
                  <c:v>0.40033117175121802</c:v>
                </c:pt>
                <c:pt idx="44">
                  <c:v>0.29229427971835598</c:v>
                </c:pt>
                <c:pt idx="45">
                  <c:v>0.25047024696464099</c:v>
                </c:pt>
                <c:pt idx="46">
                  <c:v>0.26119062435179402</c:v>
                </c:pt>
                <c:pt idx="47">
                  <c:v>0.248729746679479</c:v>
                </c:pt>
                <c:pt idx="48">
                  <c:v>0.22983946392614699</c:v>
                </c:pt>
                <c:pt idx="49">
                  <c:v>0.23714580788997</c:v>
                </c:pt>
                <c:pt idx="50">
                  <c:v>0.238200643147709</c:v>
                </c:pt>
                <c:pt idx="51">
                  <c:v>0.23734354764787099</c:v>
                </c:pt>
                <c:pt idx="52">
                  <c:v>0.29789245993221303</c:v>
                </c:pt>
                <c:pt idx="53">
                  <c:v>0.31072281004784802</c:v>
                </c:pt>
                <c:pt idx="54">
                  <c:v>0.32381316520779801</c:v>
                </c:pt>
                <c:pt idx="55">
                  <c:v>0.36403584542945</c:v>
                </c:pt>
                <c:pt idx="56">
                  <c:v>0.38616274671859002</c:v>
                </c:pt>
                <c:pt idx="57">
                  <c:v>0.38114038804698203</c:v>
                </c:pt>
                <c:pt idx="59">
                  <c:v>0.47951198242673798</c:v>
                </c:pt>
                <c:pt idx="60">
                  <c:v>0.49837170260061198</c:v>
                </c:pt>
                <c:pt idx="61">
                  <c:v>0.494179423830305</c:v>
                </c:pt>
                <c:pt idx="62">
                  <c:v>0.47079590031573598</c:v>
                </c:pt>
                <c:pt idx="63">
                  <c:v>0.47310246883472701</c:v>
                </c:pt>
                <c:pt idx="64">
                  <c:v>0.47328345417373202</c:v>
                </c:pt>
                <c:pt idx="65">
                  <c:v>0.463304369965027</c:v>
                </c:pt>
                <c:pt idx="66">
                  <c:v>0.43832361201123399</c:v>
                </c:pt>
                <c:pt idx="67">
                  <c:v>0.43839196206309999</c:v>
                </c:pt>
                <c:pt idx="68">
                  <c:v>0.46067650273032301</c:v>
                </c:pt>
                <c:pt idx="69">
                  <c:v>0.45930722647225802</c:v>
                </c:pt>
                <c:pt idx="70">
                  <c:v>0.46965254414339103</c:v>
                </c:pt>
                <c:pt idx="71">
                  <c:v>0.45705014431954699</c:v>
                </c:pt>
                <c:pt idx="72">
                  <c:v>0.46878275925700502</c:v>
                </c:pt>
              </c:numCache>
            </c:numRef>
          </c:val>
          <c:extLst>
            <c:ext xmlns:c16="http://schemas.microsoft.com/office/drawing/2014/chart" uri="{C3380CC4-5D6E-409C-BE32-E72D297353CC}">
              <c16:uniqueId val="{00000000-8673-4A82-A139-0D447DF08F9D}"/>
            </c:ext>
          </c:extLst>
        </c:ser>
        <c:ser>
          <c:idx val="1"/>
          <c:order val="1"/>
          <c:tx>
            <c:strRef>
              <c:f>'Ch4. Applications technology'!$B$9</c:f>
              <c:strCache>
                <c:ptCount val="1"/>
                <c:pt idx="0">
                  <c:v>Instruments</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technology'!$R$46:$CL$47</c:f>
              <c:multiLvlStrCache>
                <c:ptCount val="73"/>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4">
                    <c:v>2011</c:v>
                  </c:pt>
                  <c:pt idx="45">
                    <c:v>2012</c:v>
                  </c:pt>
                  <c:pt idx="46">
                    <c:v>2013</c:v>
                  </c:pt>
                  <c:pt idx="47">
                    <c:v>2014</c:v>
                  </c:pt>
                  <c:pt idx="48">
                    <c:v>2015</c:v>
                  </c:pt>
                  <c:pt idx="49">
                    <c:v>2016</c:v>
                  </c:pt>
                  <c:pt idx="50">
                    <c:v>2017</c:v>
                  </c:pt>
                  <c:pt idx="51">
                    <c:v>2018</c:v>
                  </c:pt>
                  <c:pt idx="52">
                    <c:v>2019</c:v>
                  </c:pt>
                  <c:pt idx="53">
                    <c:v>2020</c:v>
                  </c:pt>
                  <c:pt idx="54">
                    <c:v>2021</c:v>
                  </c:pt>
                  <c:pt idx="55">
                    <c:v>2022</c:v>
                  </c:pt>
                  <c:pt idx="56">
                    <c:v>2023</c:v>
                  </c:pt>
                  <c:pt idx="57">
                    <c:v>2024</c:v>
                  </c:pt>
                  <c:pt idx="59">
                    <c:v>2011</c:v>
                  </c:pt>
                  <c:pt idx="60">
                    <c:v>2012</c:v>
                  </c:pt>
                  <c:pt idx="61">
                    <c:v>2013</c:v>
                  </c:pt>
                  <c:pt idx="62">
                    <c:v>2014</c:v>
                  </c:pt>
                  <c:pt idx="63">
                    <c:v>2015</c:v>
                  </c:pt>
                  <c:pt idx="64">
                    <c:v>2016</c:v>
                  </c:pt>
                  <c:pt idx="65">
                    <c:v>2017</c:v>
                  </c:pt>
                  <c:pt idx="66">
                    <c:v>2018</c:v>
                  </c:pt>
                  <c:pt idx="67">
                    <c:v>2019</c:v>
                  </c:pt>
                  <c:pt idx="68">
                    <c:v>2020</c:v>
                  </c:pt>
                  <c:pt idx="69">
                    <c:v>2021</c:v>
                  </c:pt>
                  <c:pt idx="70">
                    <c:v>2022</c:v>
                  </c:pt>
                  <c:pt idx="71">
                    <c:v>2023</c:v>
                  </c:pt>
                  <c:pt idx="72">
                    <c:v>2024</c:v>
                  </c:pt>
                </c:lvl>
                <c:lvl>
                  <c:pt idx="0">
                    <c:v>EPO</c:v>
                  </c:pt>
                  <c:pt idx="15">
                    <c:v>JPO</c:v>
                  </c:pt>
                  <c:pt idx="29">
                    <c:v>MOIP</c:v>
                  </c:pt>
                  <c:pt idx="44">
                    <c:v>CNIPA</c:v>
                  </c:pt>
                  <c:pt idx="59">
                    <c:v>USPTO</c:v>
                  </c:pt>
                </c:lvl>
              </c:multiLvlStrCache>
            </c:multiLvlStrRef>
          </c:cat>
          <c:val>
            <c:numRef>
              <c:f>'Ch4. Applications technology'!$R$49:$CL$49</c:f>
              <c:numCache>
                <c:formatCode>0%</c:formatCode>
                <c:ptCount val="73"/>
                <c:pt idx="0">
                  <c:v>0.16816301094903699</c:v>
                </c:pt>
                <c:pt idx="1">
                  <c:v>0.16338821430065101</c:v>
                </c:pt>
                <c:pt idx="2">
                  <c:v>0.163931398236385</c:v>
                </c:pt>
                <c:pt idx="3">
                  <c:v>0.16673886219841999</c:v>
                </c:pt>
                <c:pt idx="4">
                  <c:v>0.17200475981712299</c:v>
                </c:pt>
                <c:pt idx="5">
                  <c:v>0.17030806686000799</c:v>
                </c:pt>
                <c:pt idx="6">
                  <c:v>0.17697824310829999</c:v>
                </c:pt>
                <c:pt idx="7">
                  <c:v>0.17764684980026499</c:v>
                </c:pt>
                <c:pt idx="8">
                  <c:v>0.176355798595416</c:v>
                </c:pt>
                <c:pt idx="9">
                  <c:v>0.18166020808118899</c:v>
                </c:pt>
                <c:pt idx="10">
                  <c:v>0.17738533547972399</c:v>
                </c:pt>
                <c:pt idx="11">
                  <c:v>0.175455560841417</c:v>
                </c:pt>
                <c:pt idx="12">
                  <c:v>0.17386516209814901</c:v>
                </c:pt>
                <c:pt idx="13">
                  <c:v>0.171295597484277</c:v>
                </c:pt>
                <c:pt idx="15">
                  <c:v>0.17400505177049</c:v>
                </c:pt>
                <c:pt idx="16">
                  <c:v>0.17783210290399901</c:v>
                </c:pt>
                <c:pt idx="17">
                  <c:v>0.169312956363707</c:v>
                </c:pt>
                <c:pt idx="18">
                  <c:v>0.16956761231887599</c:v>
                </c:pt>
                <c:pt idx="19">
                  <c:v>0.171598510665152</c:v>
                </c:pt>
                <c:pt idx="20">
                  <c:v>0.17472559415106401</c:v>
                </c:pt>
                <c:pt idx="21">
                  <c:v>0.17489267004154499</c:v>
                </c:pt>
                <c:pt idx="22">
                  <c:v>0.17918582482897799</c:v>
                </c:pt>
                <c:pt idx="23">
                  <c:v>0.17720708614946501</c:v>
                </c:pt>
                <c:pt idx="24">
                  <c:v>0.17858338331078499</c:v>
                </c:pt>
                <c:pt idx="25">
                  <c:v>0.176022944550669</c:v>
                </c:pt>
                <c:pt idx="26">
                  <c:v>0.17287731835970699</c:v>
                </c:pt>
                <c:pt idx="27">
                  <c:v>0.168622726436089</c:v>
                </c:pt>
                <c:pt idx="29">
                  <c:v>0.11747839477797201</c:v>
                </c:pt>
                <c:pt idx="30">
                  <c:v>0.116028024020589</c:v>
                </c:pt>
                <c:pt idx="31">
                  <c:v>0.11305509962447099</c:v>
                </c:pt>
                <c:pt idx="32">
                  <c:v>0.121824320310489</c:v>
                </c:pt>
                <c:pt idx="33">
                  <c:v>0.129299550888795</c:v>
                </c:pt>
                <c:pt idx="34">
                  <c:v>0.131010327974212</c:v>
                </c:pt>
                <c:pt idx="35">
                  <c:v>0.12802748819501999</c:v>
                </c:pt>
                <c:pt idx="36">
                  <c:v>0.13111928073450399</c:v>
                </c:pt>
                <c:pt idx="37">
                  <c:v>0.13003767553373699</c:v>
                </c:pt>
                <c:pt idx="38">
                  <c:v>0.14230391148297999</c:v>
                </c:pt>
                <c:pt idx="39">
                  <c:v>0.141483641468477</c:v>
                </c:pt>
                <c:pt idx="40">
                  <c:v>0.142417508008299</c:v>
                </c:pt>
                <c:pt idx="41">
                  <c:v>0.14328555734179399</c:v>
                </c:pt>
                <c:pt idx="42">
                  <c:v>0.14189953055984</c:v>
                </c:pt>
                <c:pt idx="44">
                  <c:v>0.12078565692507701</c:v>
                </c:pt>
                <c:pt idx="45">
                  <c:v>0.126434111601503</c:v>
                </c:pt>
                <c:pt idx="46">
                  <c:v>0.12852231084962901</c:v>
                </c:pt>
                <c:pt idx="47">
                  <c:v>0.13150788880443001</c:v>
                </c:pt>
                <c:pt idx="48">
                  <c:v>0.12925959750448399</c:v>
                </c:pt>
                <c:pt idx="49">
                  <c:v>0.12860749325836199</c:v>
                </c:pt>
                <c:pt idx="50">
                  <c:v>0.12821582959135</c:v>
                </c:pt>
                <c:pt idx="51">
                  <c:v>0.13731734978034299</c:v>
                </c:pt>
                <c:pt idx="52">
                  <c:v>0.15202357229233701</c:v>
                </c:pt>
                <c:pt idx="53">
                  <c:v>0.15160629194724501</c:v>
                </c:pt>
                <c:pt idx="54">
                  <c:v>0.156623834351792</c:v>
                </c:pt>
                <c:pt idx="55">
                  <c:v>0.157285666851677</c:v>
                </c:pt>
                <c:pt idx="56">
                  <c:v>0.15565923003551699</c:v>
                </c:pt>
                <c:pt idx="57">
                  <c:v>0.15955334119960399</c:v>
                </c:pt>
                <c:pt idx="59">
                  <c:v>0.14882097549786399</c:v>
                </c:pt>
                <c:pt idx="60">
                  <c:v>0.146033793971802</c:v>
                </c:pt>
                <c:pt idx="61">
                  <c:v>0.15854672239026499</c:v>
                </c:pt>
                <c:pt idx="62">
                  <c:v>0.16493047758705201</c:v>
                </c:pt>
                <c:pt idx="63">
                  <c:v>0.16352085096615901</c:v>
                </c:pt>
                <c:pt idx="64">
                  <c:v>0.16511611915316099</c:v>
                </c:pt>
                <c:pt idx="65">
                  <c:v>0.172842670593437</c:v>
                </c:pt>
                <c:pt idx="66">
                  <c:v>0.17187900345144599</c:v>
                </c:pt>
                <c:pt idx="67">
                  <c:v>0.167792254603325</c:v>
                </c:pt>
                <c:pt idx="68">
                  <c:v>0.17882609252401899</c:v>
                </c:pt>
                <c:pt idx="69">
                  <c:v>0.178982954004381</c:v>
                </c:pt>
                <c:pt idx="70">
                  <c:v>0.177376827150977</c:v>
                </c:pt>
                <c:pt idx="71">
                  <c:v>0.180928306351853</c:v>
                </c:pt>
                <c:pt idx="72">
                  <c:v>0.18106470775307301</c:v>
                </c:pt>
              </c:numCache>
            </c:numRef>
          </c:val>
          <c:extLst>
            <c:ext xmlns:c16="http://schemas.microsoft.com/office/drawing/2014/chart" uri="{C3380CC4-5D6E-409C-BE32-E72D297353CC}">
              <c16:uniqueId val="{00000001-8673-4A82-A139-0D447DF08F9D}"/>
            </c:ext>
          </c:extLst>
        </c:ser>
        <c:ser>
          <c:idx val="2"/>
          <c:order val="2"/>
          <c:tx>
            <c:strRef>
              <c:f>'Ch4. Applications technology'!$B$10</c:f>
              <c:strCache>
                <c:ptCount val="1"/>
                <c:pt idx="0">
                  <c:v>Chemistry</c:v>
                </c:pt>
              </c:strCache>
            </c:strRef>
          </c:tx>
          <c:spPr>
            <a:solidFill>
              <a:srgbClr val="FFFF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technology'!$R$46:$CL$47</c:f>
              <c:multiLvlStrCache>
                <c:ptCount val="73"/>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4">
                    <c:v>2011</c:v>
                  </c:pt>
                  <c:pt idx="45">
                    <c:v>2012</c:v>
                  </c:pt>
                  <c:pt idx="46">
                    <c:v>2013</c:v>
                  </c:pt>
                  <c:pt idx="47">
                    <c:v>2014</c:v>
                  </c:pt>
                  <c:pt idx="48">
                    <c:v>2015</c:v>
                  </c:pt>
                  <c:pt idx="49">
                    <c:v>2016</c:v>
                  </c:pt>
                  <c:pt idx="50">
                    <c:v>2017</c:v>
                  </c:pt>
                  <c:pt idx="51">
                    <c:v>2018</c:v>
                  </c:pt>
                  <c:pt idx="52">
                    <c:v>2019</c:v>
                  </c:pt>
                  <c:pt idx="53">
                    <c:v>2020</c:v>
                  </c:pt>
                  <c:pt idx="54">
                    <c:v>2021</c:v>
                  </c:pt>
                  <c:pt idx="55">
                    <c:v>2022</c:v>
                  </c:pt>
                  <c:pt idx="56">
                    <c:v>2023</c:v>
                  </c:pt>
                  <c:pt idx="57">
                    <c:v>2024</c:v>
                  </c:pt>
                  <c:pt idx="59">
                    <c:v>2011</c:v>
                  </c:pt>
                  <c:pt idx="60">
                    <c:v>2012</c:v>
                  </c:pt>
                  <c:pt idx="61">
                    <c:v>2013</c:v>
                  </c:pt>
                  <c:pt idx="62">
                    <c:v>2014</c:v>
                  </c:pt>
                  <c:pt idx="63">
                    <c:v>2015</c:v>
                  </c:pt>
                  <c:pt idx="64">
                    <c:v>2016</c:v>
                  </c:pt>
                  <c:pt idx="65">
                    <c:v>2017</c:v>
                  </c:pt>
                  <c:pt idx="66">
                    <c:v>2018</c:v>
                  </c:pt>
                  <c:pt idx="67">
                    <c:v>2019</c:v>
                  </c:pt>
                  <c:pt idx="68">
                    <c:v>2020</c:v>
                  </c:pt>
                  <c:pt idx="69">
                    <c:v>2021</c:v>
                  </c:pt>
                  <c:pt idx="70">
                    <c:v>2022</c:v>
                  </c:pt>
                  <c:pt idx="71">
                    <c:v>2023</c:v>
                  </c:pt>
                  <c:pt idx="72">
                    <c:v>2024</c:v>
                  </c:pt>
                </c:lvl>
                <c:lvl>
                  <c:pt idx="0">
                    <c:v>EPO</c:v>
                  </c:pt>
                  <c:pt idx="15">
                    <c:v>JPO</c:v>
                  </c:pt>
                  <c:pt idx="29">
                    <c:v>MOIP</c:v>
                  </c:pt>
                  <c:pt idx="44">
                    <c:v>CNIPA</c:v>
                  </c:pt>
                  <c:pt idx="59">
                    <c:v>USPTO</c:v>
                  </c:pt>
                </c:lvl>
              </c:multiLvlStrCache>
            </c:multiLvlStrRef>
          </c:cat>
          <c:val>
            <c:numRef>
              <c:f>'Ch4. Applications technology'!$R$50:$CL$50</c:f>
              <c:numCache>
                <c:formatCode>0%</c:formatCode>
                <c:ptCount val="73"/>
                <c:pt idx="0">
                  <c:v>0.260653753903901</c:v>
                </c:pt>
                <c:pt idx="1">
                  <c:v>0.25426245277495102</c:v>
                </c:pt>
                <c:pt idx="2">
                  <c:v>0.253918195064887</c:v>
                </c:pt>
                <c:pt idx="3">
                  <c:v>0.25238245254784603</c:v>
                </c:pt>
                <c:pt idx="4">
                  <c:v>0.24783616208429901</c:v>
                </c:pt>
                <c:pt idx="5">
                  <c:v>0.243949697720796</c:v>
                </c:pt>
                <c:pt idx="6">
                  <c:v>0.24241837383121001</c:v>
                </c:pt>
                <c:pt idx="7">
                  <c:v>0.24819894429766001</c:v>
                </c:pt>
                <c:pt idx="8">
                  <c:v>0.241893873411023</c:v>
                </c:pt>
                <c:pt idx="9">
                  <c:v>0.247287949278822</c:v>
                </c:pt>
                <c:pt idx="10">
                  <c:v>0.24691987695446399</c:v>
                </c:pt>
                <c:pt idx="11">
                  <c:v>0.24418785033197499</c:v>
                </c:pt>
                <c:pt idx="12">
                  <c:v>0.24209875239488901</c:v>
                </c:pt>
                <c:pt idx="13">
                  <c:v>0.23875723270440299</c:v>
                </c:pt>
                <c:pt idx="15">
                  <c:v>0.15380474162157801</c:v>
                </c:pt>
                <c:pt idx="16">
                  <c:v>0.152652059157976</c:v>
                </c:pt>
                <c:pt idx="17">
                  <c:v>0.164113077952904</c:v>
                </c:pt>
                <c:pt idx="18">
                  <c:v>0.17282643472295101</c:v>
                </c:pt>
                <c:pt idx="19">
                  <c:v>0.190294080525054</c:v>
                </c:pt>
                <c:pt idx="20">
                  <c:v>0.18732583048448401</c:v>
                </c:pt>
                <c:pt idx="21">
                  <c:v>0.189455501409001</c:v>
                </c:pt>
                <c:pt idx="22">
                  <c:v>0.194133196622823</c:v>
                </c:pt>
                <c:pt idx="23">
                  <c:v>0.19587941675641601</c:v>
                </c:pt>
                <c:pt idx="24">
                  <c:v>0.206815994644277</c:v>
                </c:pt>
                <c:pt idx="25">
                  <c:v>0.214747088475578</c:v>
                </c:pt>
                <c:pt idx="26">
                  <c:v>0.217127994638386</c:v>
                </c:pt>
                <c:pt idx="27">
                  <c:v>0.20805849773271101</c:v>
                </c:pt>
                <c:pt idx="29">
                  <c:v>0.20508297324630001</c:v>
                </c:pt>
                <c:pt idx="30">
                  <c:v>0.199792129517608</c:v>
                </c:pt>
                <c:pt idx="31">
                  <c:v>0.204467729395444</c:v>
                </c:pt>
                <c:pt idx="32">
                  <c:v>0.209089919011505</c:v>
                </c:pt>
                <c:pt idx="33">
                  <c:v>0.205179523623056</c:v>
                </c:pt>
                <c:pt idx="34">
                  <c:v>0.211536641141508</c:v>
                </c:pt>
                <c:pt idx="35">
                  <c:v>0.22095771555207699</c:v>
                </c:pt>
                <c:pt idx="36">
                  <c:v>0.21153662996685599</c:v>
                </c:pt>
                <c:pt idx="37">
                  <c:v>0.206123986756479</c:v>
                </c:pt>
                <c:pt idx="38">
                  <c:v>0.20949637656310699</c:v>
                </c:pt>
                <c:pt idx="39">
                  <c:v>0.21274539963691</c:v>
                </c:pt>
                <c:pt idx="40">
                  <c:v>0.211193388487148</c:v>
                </c:pt>
                <c:pt idx="41">
                  <c:v>0.214190275415371</c:v>
                </c:pt>
                <c:pt idx="42">
                  <c:v>0.20664612953522499</c:v>
                </c:pt>
                <c:pt idx="44">
                  <c:v>0.29846134051492701</c:v>
                </c:pt>
                <c:pt idx="45">
                  <c:v>0.29925553673308702</c:v>
                </c:pt>
                <c:pt idx="46">
                  <c:v>0.294415216257158</c:v>
                </c:pt>
                <c:pt idx="47">
                  <c:v>0.317017678588425</c:v>
                </c:pt>
                <c:pt idx="48">
                  <c:v>0.32165091381226402</c:v>
                </c:pt>
                <c:pt idx="49">
                  <c:v>0.29758694458333002</c:v>
                </c:pt>
                <c:pt idx="50">
                  <c:v>0.27436550164428802</c:v>
                </c:pt>
                <c:pt idx="51">
                  <c:v>0.26750705316226497</c:v>
                </c:pt>
                <c:pt idx="52">
                  <c:v>0.234027898421133</c:v>
                </c:pt>
                <c:pt idx="53">
                  <c:v>0.216230068598736</c:v>
                </c:pt>
                <c:pt idx="54">
                  <c:v>0.214062333032109</c:v>
                </c:pt>
                <c:pt idx="55">
                  <c:v>0.197909506708766</c:v>
                </c:pt>
                <c:pt idx="56">
                  <c:v>0.19248475339920601</c:v>
                </c:pt>
                <c:pt idx="57">
                  <c:v>0.20646709411611999</c:v>
                </c:pt>
                <c:pt idx="59">
                  <c:v>0.173261117092394</c:v>
                </c:pt>
                <c:pt idx="60">
                  <c:v>0.163717725513361</c:v>
                </c:pt>
                <c:pt idx="61">
                  <c:v>0.157879039768485</c:v>
                </c:pt>
                <c:pt idx="62">
                  <c:v>0.16343673665444999</c:v>
                </c:pt>
                <c:pt idx="63">
                  <c:v>0.15836907716363699</c:v>
                </c:pt>
                <c:pt idx="64">
                  <c:v>0.15211634221732501</c:v>
                </c:pt>
                <c:pt idx="65">
                  <c:v>0.15098854481867599</c:v>
                </c:pt>
                <c:pt idx="66">
                  <c:v>0.14892964978120701</c:v>
                </c:pt>
                <c:pt idx="67">
                  <c:v>0.13938463568443599</c:v>
                </c:pt>
                <c:pt idx="68">
                  <c:v>0.153940067955494</c:v>
                </c:pt>
                <c:pt idx="69">
                  <c:v>0.15719843260077501</c:v>
                </c:pt>
                <c:pt idx="70">
                  <c:v>0.15125820371877899</c:v>
                </c:pt>
                <c:pt idx="71">
                  <c:v>0.152973341221607</c:v>
                </c:pt>
                <c:pt idx="72">
                  <c:v>0.142479946917734</c:v>
                </c:pt>
              </c:numCache>
            </c:numRef>
          </c:val>
          <c:extLst>
            <c:ext xmlns:c16="http://schemas.microsoft.com/office/drawing/2014/chart" uri="{C3380CC4-5D6E-409C-BE32-E72D297353CC}">
              <c16:uniqueId val="{00000002-8673-4A82-A139-0D447DF08F9D}"/>
            </c:ext>
          </c:extLst>
        </c:ser>
        <c:ser>
          <c:idx val="3"/>
          <c:order val="3"/>
          <c:tx>
            <c:strRef>
              <c:f>'Ch4. Applications technology'!$B$11</c:f>
              <c:strCache>
                <c:ptCount val="1"/>
                <c:pt idx="0">
                  <c:v>Mechanical engineering</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technology'!$R$46:$CL$47</c:f>
              <c:multiLvlStrCache>
                <c:ptCount val="73"/>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4">
                    <c:v>2011</c:v>
                  </c:pt>
                  <c:pt idx="45">
                    <c:v>2012</c:v>
                  </c:pt>
                  <c:pt idx="46">
                    <c:v>2013</c:v>
                  </c:pt>
                  <c:pt idx="47">
                    <c:v>2014</c:v>
                  </c:pt>
                  <c:pt idx="48">
                    <c:v>2015</c:v>
                  </c:pt>
                  <c:pt idx="49">
                    <c:v>2016</c:v>
                  </c:pt>
                  <c:pt idx="50">
                    <c:v>2017</c:v>
                  </c:pt>
                  <c:pt idx="51">
                    <c:v>2018</c:v>
                  </c:pt>
                  <c:pt idx="52">
                    <c:v>2019</c:v>
                  </c:pt>
                  <c:pt idx="53">
                    <c:v>2020</c:v>
                  </c:pt>
                  <c:pt idx="54">
                    <c:v>2021</c:v>
                  </c:pt>
                  <c:pt idx="55">
                    <c:v>2022</c:v>
                  </c:pt>
                  <c:pt idx="56">
                    <c:v>2023</c:v>
                  </c:pt>
                  <c:pt idx="57">
                    <c:v>2024</c:v>
                  </c:pt>
                  <c:pt idx="59">
                    <c:v>2011</c:v>
                  </c:pt>
                  <c:pt idx="60">
                    <c:v>2012</c:v>
                  </c:pt>
                  <c:pt idx="61">
                    <c:v>2013</c:v>
                  </c:pt>
                  <c:pt idx="62">
                    <c:v>2014</c:v>
                  </c:pt>
                  <c:pt idx="63">
                    <c:v>2015</c:v>
                  </c:pt>
                  <c:pt idx="64">
                    <c:v>2016</c:v>
                  </c:pt>
                  <c:pt idx="65">
                    <c:v>2017</c:v>
                  </c:pt>
                  <c:pt idx="66">
                    <c:v>2018</c:v>
                  </c:pt>
                  <c:pt idx="67">
                    <c:v>2019</c:v>
                  </c:pt>
                  <c:pt idx="68">
                    <c:v>2020</c:v>
                  </c:pt>
                  <c:pt idx="69">
                    <c:v>2021</c:v>
                  </c:pt>
                  <c:pt idx="70">
                    <c:v>2022</c:v>
                  </c:pt>
                  <c:pt idx="71">
                    <c:v>2023</c:v>
                  </c:pt>
                  <c:pt idx="72">
                    <c:v>2024</c:v>
                  </c:pt>
                </c:lvl>
                <c:lvl>
                  <c:pt idx="0">
                    <c:v>EPO</c:v>
                  </c:pt>
                  <c:pt idx="15">
                    <c:v>JPO</c:v>
                  </c:pt>
                  <c:pt idx="29">
                    <c:v>MOIP</c:v>
                  </c:pt>
                  <c:pt idx="44">
                    <c:v>CNIPA</c:v>
                  </c:pt>
                  <c:pt idx="59">
                    <c:v>USPTO</c:v>
                  </c:pt>
                </c:lvl>
              </c:multiLvlStrCache>
            </c:multiLvlStrRef>
          </c:cat>
          <c:val>
            <c:numRef>
              <c:f>'Ch4. Applications technology'!$R$51:$CL$51</c:f>
              <c:numCache>
                <c:formatCode>0%</c:formatCode>
                <c:ptCount val="73"/>
                <c:pt idx="0">
                  <c:v>0.21696629783410501</c:v>
                </c:pt>
                <c:pt idx="1">
                  <c:v>0.22342501847179</c:v>
                </c:pt>
                <c:pt idx="2">
                  <c:v>0.22439234626514401</c:v>
                </c:pt>
                <c:pt idx="3">
                  <c:v>0.22203407629098701</c:v>
                </c:pt>
                <c:pt idx="4">
                  <c:v>0.225565228283334</c:v>
                </c:pt>
                <c:pt idx="5">
                  <c:v>0.23307267911851501</c:v>
                </c:pt>
                <c:pt idx="6">
                  <c:v>0.222725209550035</c:v>
                </c:pt>
                <c:pt idx="7">
                  <c:v>0.221875161192336</c:v>
                </c:pt>
                <c:pt idx="8">
                  <c:v>0.21647575052644299</c:v>
                </c:pt>
                <c:pt idx="9">
                  <c:v>0.20330664771654799</c:v>
                </c:pt>
                <c:pt idx="10">
                  <c:v>0.197483835663017</c:v>
                </c:pt>
                <c:pt idx="11">
                  <c:v>0.18866217138602201</c:v>
                </c:pt>
                <c:pt idx="12">
                  <c:v>0.18632612729494499</c:v>
                </c:pt>
                <c:pt idx="13">
                  <c:v>0.18890062893081799</c:v>
                </c:pt>
                <c:pt idx="15">
                  <c:v>0.227807084667944</c:v>
                </c:pt>
                <c:pt idx="16">
                  <c:v>0.22329597418358699</c:v>
                </c:pt>
                <c:pt idx="17">
                  <c:v>0.23073490321370599</c:v>
                </c:pt>
                <c:pt idx="18">
                  <c:v>0.22205840152782</c:v>
                </c:pt>
                <c:pt idx="19">
                  <c:v>0.22265240439227599</c:v>
                </c:pt>
                <c:pt idx="20">
                  <c:v>0.223865883943861</c:v>
                </c:pt>
                <c:pt idx="21">
                  <c:v>0.225496932979454</c:v>
                </c:pt>
                <c:pt idx="22">
                  <c:v>0.22359858376455899</c:v>
                </c:pt>
                <c:pt idx="23">
                  <c:v>0.21759933846600099</c:v>
                </c:pt>
                <c:pt idx="24">
                  <c:v>0.20206000083683201</c:v>
                </c:pt>
                <c:pt idx="25">
                  <c:v>0.19553276551364501</c:v>
                </c:pt>
                <c:pt idx="26">
                  <c:v>0.18888923614366601</c:v>
                </c:pt>
                <c:pt idx="27">
                  <c:v>0.17628633100748001</c:v>
                </c:pt>
                <c:pt idx="29">
                  <c:v>0.20627815574147301</c:v>
                </c:pt>
                <c:pt idx="30">
                  <c:v>0.21127449902113901</c:v>
                </c:pt>
                <c:pt idx="31">
                  <c:v>0.21554050277200501</c:v>
                </c:pt>
                <c:pt idx="32">
                  <c:v>0.21645115938298301</c:v>
                </c:pt>
                <c:pt idx="33">
                  <c:v>0.210013874587267</c:v>
                </c:pt>
                <c:pt idx="34">
                  <c:v>0.20863703622513299</c:v>
                </c:pt>
                <c:pt idx="35">
                  <c:v>0.20949582949999701</c:v>
                </c:pt>
                <c:pt idx="36">
                  <c:v>0.197074174254257</c:v>
                </c:pt>
                <c:pt idx="37">
                  <c:v>0.19415001712524299</c:v>
                </c:pt>
                <c:pt idx="38">
                  <c:v>0.19312804334407799</c:v>
                </c:pt>
                <c:pt idx="39">
                  <c:v>0.18345992365585301</c:v>
                </c:pt>
                <c:pt idx="40">
                  <c:v>0.174151207104598</c:v>
                </c:pt>
                <c:pt idx="41">
                  <c:v>0.17109856502356299</c:v>
                </c:pt>
                <c:pt idx="42">
                  <c:v>0.16916236241452801</c:v>
                </c:pt>
                <c:pt idx="44">
                  <c:v>0.21012374052202601</c:v>
                </c:pt>
                <c:pt idx="45">
                  <c:v>0.235826019954335</c:v>
                </c:pt>
                <c:pt idx="46">
                  <c:v>0.22859836699289099</c:v>
                </c:pt>
                <c:pt idx="47">
                  <c:v>0.22127245678791799</c:v>
                </c:pt>
                <c:pt idx="48">
                  <c:v>0.23622569677497399</c:v>
                </c:pt>
                <c:pt idx="49">
                  <c:v>0.23891523159266601</c:v>
                </c:pt>
                <c:pt idx="50">
                  <c:v>0.24040395211717999</c:v>
                </c:pt>
                <c:pt idx="51">
                  <c:v>0.26018021164909</c:v>
                </c:pt>
                <c:pt idx="52">
                  <c:v>0.23407967571065999</c:v>
                </c:pt>
                <c:pt idx="53">
                  <c:v>0.23572423741082299</c:v>
                </c:pt>
                <c:pt idx="54">
                  <c:v>0.22250299422650099</c:v>
                </c:pt>
                <c:pt idx="55">
                  <c:v>0.19818824731581999</c:v>
                </c:pt>
                <c:pt idx="56">
                  <c:v>0.20288580681229201</c:v>
                </c:pt>
                <c:pt idx="57">
                  <c:v>0.19531958849643799</c:v>
                </c:pt>
                <c:pt idx="59">
                  <c:v>0.13940820429949799</c:v>
                </c:pt>
                <c:pt idx="60">
                  <c:v>0.13520891949448899</c:v>
                </c:pt>
                <c:pt idx="61">
                  <c:v>0.132953504660309</c:v>
                </c:pt>
                <c:pt idx="62">
                  <c:v>0.14047998875300899</c:v>
                </c:pt>
                <c:pt idx="63">
                  <c:v>0.144285529845501</c:v>
                </c:pt>
                <c:pt idx="64">
                  <c:v>0.14929198092717499</c:v>
                </c:pt>
                <c:pt idx="65">
                  <c:v>0.15162847986182901</c:v>
                </c:pt>
                <c:pt idx="66">
                  <c:v>0.14853443324106</c:v>
                </c:pt>
                <c:pt idx="67">
                  <c:v>0.14069125098760499</c:v>
                </c:pt>
                <c:pt idx="68">
                  <c:v>0.14620078971511</c:v>
                </c:pt>
                <c:pt idx="69">
                  <c:v>0.144155583066163</c:v>
                </c:pt>
                <c:pt idx="70">
                  <c:v>0.14376049103444299</c:v>
                </c:pt>
                <c:pt idx="71">
                  <c:v>0.149452302837986</c:v>
                </c:pt>
                <c:pt idx="72">
                  <c:v>0.14590555911095099</c:v>
                </c:pt>
              </c:numCache>
            </c:numRef>
          </c:val>
          <c:extLst>
            <c:ext xmlns:c16="http://schemas.microsoft.com/office/drawing/2014/chart" uri="{C3380CC4-5D6E-409C-BE32-E72D297353CC}">
              <c16:uniqueId val="{00000003-8673-4A82-A139-0D447DF08F9D}"/>
            </c:ext>
          </c:extLst>
        </c:ser>
        <c:ser>
          <c:idx val="4"/>
          <c:order val="4"/>
          <c:tx>
            <c:strRef>
              <c:f>'Ch4. Applications technology'!$B$12</c:f>
              <c:strCache>
                <c:ptCount val="1"/>
                <c:pt idx="0">
                  <c:v>other field</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Applications technology'!$R$46:$CL$47</c:f>
              <c:multiLvlStrCache>
                <c:ptCount val="73"/>
                <c:lvl>
                  <c:pt idx="0">
                    <c:v>2011</c:v>
                  </c:pt>
                  <c:pt idx="1">
                    <c:v>2012</c:v>
                  </c:pt>
                  <c:pt idx="2">
                    <c:v>2013</c:v>
                  </c:pt>
                  <c:pt idx="3">
                    <c:v>2014</c:v>
                  </c:pt>
                  <c:pt idx="4">
                    <c:v>2015</c:v>
                  </c:pt>
                  <c:pt idx="5">
                    <c:v>2016</c:v>
                  </c:pt>
                  <c:pt idx="6">
                    <c:v>2017</c:v>
                  </c:pt>
                  <c:pt idx="7">
                    <c:v>2018</c:v>
                  </c:pt>
                  <c:pt idx="8">
                    <c:v>2019</c:v>
                  </c:pt>
                  <c:pt idx="9">
                    <c:v>2020</c:v>
                  </c:pt>
                  <c:pt idx="10">
                    <c:v>2021</c:v>
                  </c:pt>
                  <c:pt idx="11">
                    <c:v>2022</c:v>
                  </c:pt>
                  <c:pt idx="12">
                    <c:v>2023</c:v>
                  </c:pt>
                  <c:pt idx="13">
                    <c:v>2024</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4">
                    <c:v>2011</c:v>
                  </c:pt>
                  <c:pt idx="45">
                    <c:v>2012</c:v>
                  </c:pt>
                  <c:pt idx="46">
                    <c:v>2013</c:v>
                  </c:pt>
                  <c:pt idx="47">
                    <c:v>2014</c:v>
                  </c:pt>
                  <c:pt idx="48">
                    <c:v>2015</c:v>
                  </c:pt>
                  <c:pt idx="49">
                    <c:v>2016</c:v>
                  </c:pt>
                  <c:pt idx="50">
                    <c:v>2017</c:v>
                  </c:pt>
                  <c:pt idx="51">
                    <c:v>2018</c:v>
                  </c:pt>
                  <c:pt idx="52">
                    <c:v>2019</c:v>
                  </c:pt>
                  <c:pt idx="53">
                    <c:v>2020</c:v>
                  </c:pt>
                  <c:pt idx="54">
                    <c:v>2021</c:v>
                  </c:pt>
                  <c:pt idx="55">
                    <c:v>2022</c:v>
                  </c:pt>
                  <c:pt idx="56">
                    <c:v>2023</c:v>
                  </c:pt>
                  <c:pt idx="57">
                    <c:v>2024</c:v>
                  </c:pt>
                  <c:pt idx="59">
                    <c:v>2011</c:v>
                  </c:pt>
                  <c:pt idx="60">
                    <c:v>2012</c:v>
                  </c:pt>
                  <c:pt idx="61">
                    <c:v>2013</c:v>
                  </c:pt>
                  <c:pt idx="62">
                    <c:v>2014</c:v>
                  </c:pt>
                  <c:pt idx="63">
                    <c:v>2015</c:v>
                  </c:pt>
                  <c:pt idx="64">
                    <c:v>2016</c:v>
                  </c:pt>
                  <c:pt idx="65">
                    <c:v>2017</c:v>
                  </c:pt>
                  <c:pt idx="66">
                    <c:v>2018</c:v>
                  </c:pt>
                  <c:pt idx="67">
                    <c:v>2019</c:v>
                  </c:pt>
                  <c:pt idx="68">
                    <c:v>2020</c:v>
                  </c:pt>
                  <c:pt idx="69">
                    <c:v>2021</c:v>
                  </c:pt>
                  <c:pt idx="70">
                    <c:v>2022</c:v>
                  </c:pt>
                  <c:pt idx="71">
                    <c:v>2023</c:v>
                  </c:pt>
                  <c:pt idx="72">
                    <c:v>2024</c:v>
                  </c:pt>
                </c:lvl>
                <c:lvl>
                  <c:pt idx="0">
                    <c:v>EPO</c:v>
                  </c:pt>
                  <c:pt idx="15">
                    <c:v>JPO</c:v>
                  </c:pt>
                  <c:pt idx="29">
                    <c:v>MOIP</c:v>
                  </c:pt>
                  <c:pt idx="44">
                    <c:v>CNIPA</c:v>
                  </c:pt>
                  <c:pt idx="59">
                    <c:v>USPTO</c:v>
                  </c:pt>
                </c:lvl>
              </c:multiLvlStrCache>
            </c:multiLvlStrRef>
          </c:cat>
          <c:val>
            <c:numRef>
              <c:f>'Ch4. Applications technology'!$R$52:$CL$52</c:f>
              <c:numCache>
                <c:formatCode>0%</c:formatCode>
                <c:ptCount val="73"/>
                <c:pt idx="0">
                  <c:v>7.1614385194524802E-2</c:v>
                </c:pt>
                <c:pt idx="1">
                  <c:v>6.7662516903430905E-2</c:v>
                </c:pt>
                <c:pt idx="2">
                  <c:v>7.0613023936734201E-2</c:v>
                </c:pt>
                <c:pt idx="3">
                  <c:v>6.9799952744742794E-2</c:v>
                </c:pt>
                <c:pt idx="4">
                  <c:v>7.0044466712594705E-2</c:v>
                </c:pt>
                <c:pt idx="5">
                  <c:v>6.8659214011160097E-2</c:v>
                </c:pt>
                <c:pt idx="6">
                  <c:v>7.0287771961146203E-2</c:v>
                </c:pt>
                <c:pt idx="7">
                  <c:v>7.4707274717591005E-2</c:v>
                </c:pt>
                <c:pt idx="8">
                  <c:v>7.2864183103094698E-2</c:v>
                </c:pt>
                <c:pt idx="9">
                  <c:v>6.9241958228311903E-2</c:v>
                </c:pt>
                <c:pt idx="10">
                  <c:v>6.9183893573048993E-2</c:v>
                </c:pt>
                <c:pt idx="11">
                  <c:v>6.3918133493288107E-2</c:v>
                </c:pt>
                <c:pt idx="12">
                  <c:v>6.3647472355062101E-2</c:v>
                </c:pt>
                <c:pt idx="13">
                  <c:v>6.4357232704402495E-2</c:v>
                </c:pt>
                <c:pt idx="15">
                  <c:v>8.5534736000975095E-2</c:v>
                </c:pt>
                <c:pt idx="16">
                  <c:v>8.7930201099562205E-2</c:v>
                </c:pt>
                <c:pt idx="17">
                  <c:v>8.8022817376907106E-2</c:v>
                </c:pt>
                <c:pt idx="18">
                  <c:v>9.7847132203300394E-2</c:v>
                </c:pt>
                <c:pt idx="19">
                  <c:v>0.10585005679666799</c:v>
                </c:pt>
                <c:pt idx="20">
                  <c:v>0.11219834313843199</c:v>
                </c:pt>
                <c:pt idx="21">
                  <c:v>0.112118040889404</c:v>
                </c:pt>
                <c:pt idx="22">
                  <c:v>0.109501914481168</c:v>
                </c:pt>
                <c:pt idx="23">
                  <c:v>0.115418343564214</c:v>
                </c:pt>
                <c:pt idx="24">
                  <c:v>0.11912648711976501</c:v>
                </c:pt>
                <c:pt idx="25">
                  <c:v>0.10939335998609399</c:v>
                </c:pt>
                <c:pt idx="26">
                  <c:v>0.106978779260556</c:v>
                </c:pt>
                <c:pt idx="27">
                  <c:v>0.109519267774375</c:v>
                </c:pt>
                <c:pt idx="29">
                  <c:v>0.101757148110692</c:v>
                </c:pt>
                <c:pt idx="30">
                  <c:v>0.104974593607708</c:v>
                </c:pt>
                <c:pt idx="31">
                  <c:v>0.105056685078942</c:v>
                </c:pt>
                <c:pt idx="32">
                  <c:v>0.10019603572206499</c:v>
                </c:pt>
                <c:pt idx="33">
                  <c:v>0.10656359830411</c:v>
                </c:pt>
                <c:pt idx="34">
                  <c:v>0.10916364832077</c:v>
                </c:pt>
                <c:pt idx="35">
                  <c:v>0.11117775326701899</c:v>
                </c:pt>
                <c:pt idx="36">
                  <c:v>0.142038744333117</c:v>
                </c:pt>
                <c:pt idx="37">
                  <c:v>0.14091562963808699</c:v>
                </c:pt>
                <c:pt idx="38">
                  <c:v>0.114592049013556</c:v>
                </c:pt>
                <c:pt idx="39">
                  <c:v>0.10235401673331999</c:v>
                </c:pt>
                <c:pt idx="40">
                  <c:v>9.0539355690015894E-2</c:v>
                </c:pt>
                <c:pt idx="41">
                  <c:v>8.7583190881982395E-2</c:v>
                </c:pt>
                <c:pt idx="42">
                  <c:v>8.1960805739189596E-2</c:v>
                </c:pt>
                <c:pt idx="44">
                  <c:v>7.83349823196135E-2</c:v>
                </c:pt>
                <c:pt idx="45">
                  <c:v>8.8014084746434906E-2</c:v>
                </c:pt>
                <c:pt idx="46">
                  <c:v>8.7273481548528195E-2</c:v>
                </c:pt>
                <c:pt idx="47">
                  <c:v>8.1472229139748095E-2</c:v>
                </c:pt>
                <c:pt idx="48">
                  <c:v>8.3024327982130899E-2</c:v>
                </c:pt>
                <c:pt idx="49">
                  <c:v>9.7744522675671894E-2</c:v>
                </c:pt>
                <c:pt idx="50">
                  <c:v>0.118814073499474</c:v>
                </c:pt>
                <c:pt idx="51">
                  <c:v>9.7651837760430502E-2</c:v>
                </c:pt>
                <c:pt idx="52">
                  <c:v>8.1976393643656401E-2</c:v>
                </c:pt>
                <c:pt idx="53">
                  <c:v>8.5716591995348396E-2</c:v>
                </c:pt>
                <c:pt idx="54">
                  <c:v>8.2997673181798806E-2</c:v>
                </c:pt>
                <c:pt idx="55">
                  <c:v>8.2580733694287103E-2</c:v>
                </c:pt>
                <c:pt idx="56">
                  <c:v>6.2807463034395106E-2</c:v>
                </c:pt>
                <c:pt idx="57">
                  <c:v>5.7519588140855601E-2</c:v>
                </c:pt>
                <c:pt idx="59">
                  <c:v>5.8997720683505603E-2</c:v>
                </c:pt>
                <c:pt idx="60">
                  <c:v>5.6667858419735401E-2</c:v>
                </c:pt>
                <c:pt idx="61">
                  <c:v>5.6441309350635398E-2</c:v>
                </c:pt>
                <c:pt idx="62">
                  <c:v>6.0356896689752901E-2</c:v>
                </c:pt>
                <c:pt idx="63">
                  <c:v>6.0722073189975502E-2</c:v>
                </c:pt>
                <c:pt idx="64">
                  <c:v>6.0192103528606697E-2</c:v>
                </c:pt>
                <c:pt idx="65">
                  <c:v>6.1235934761030703E-2</c:v>
                </c:pt>
                <c:pt idx="66">
                  <c:v>9.2333301515052604E-2</c:v>
                </c:pt>
                <c:pt idx="67">
                  <c:v>0.113739896661534</c:v>
                </c:pt>
                <c:pt idx="68">
                  <c:v>6.0356547075054501E-2</c:v>
                </c:pt>
                <c:pt idx="69">
                  <c:v>6.03558038564228E-2</c:v>
                </c:pt>
                <c:pt idx="70">
                  <c:v>5.7951933952409398E-2</c:v>
                </c:pt>
                <c:pt idx="71">
                  <c:v>5.9595905269008001E-2</c:v>
                </c:pt>
                <c:pt idx="72">
                  <c:v>6.17670269612366E-2</c:v>
                </c:pt>
              </c:numCache>
            </c:numRef>
          </c:val>
          <c:extLst>
            <c:ext xmlns:c16="http://schemas.microsoft.com/office/drawing/2014/chart" uri="{C3380CC4-5D6E-409C-BE32-E72D297353CC}">
              <c16:uniqueId val="{00000004-8673-4A82-A139-0D447DF08F9D}"/>
            </c:ext>
          </c:extLst>
        </c:ser>
        <c:dLbls>
          <c:showLegendKey val="0"/>
          <c:showVal val="0"/>
          <c:showCatName val="0"/>
          <c:showSerName val="0"/>
          <c:showPercent val="0"/>
          <c:showBubbleSize val="0"/>
        </c:dLbls>
        <c:gapWidth val="4"/>
        <c:overlap val="100"/>
        <c:axId val="1801080368"/>
        <c:axId val="1801077648"/>
      </c:barChart>
      <c:catAx>
        <c:axId val="1801080368"/>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77648"/>
        <c:crosses val="autoZero"/>
        <c:auto val="1"/>
        <c:lblAlgn val="ctr"/>
        <c:lblOffset val="100"/>
        <c:noMultiLvlLbl val="0"/>
      </c:catAx>
      <c:valAx>
        <c:axId val="1801077648"/>
        <c:scaling>
          <c:orientation val="minMax"/>
          <c:max val="1"/>
          <c:min val="0"/>
        </c:scaling>
        <c:delete val="1"/>
        <c:axPos val="l"/>
        <c:numFmt formatCode="0%" sourceLinked="1"/>
        <c:majorTickMark val="out"/>
        <c:minorTickMark val="none"/>
        <c:tickLblPos val="nextTo"/>
        <c:crossAx val="1801080368"/>
        <c:crosses val="autoZero"/>
        <c:crossBetween val="between"/>
      </c:valAx>
      <c:spPr>
        <a:noFill/>
        <a:ln>
          <a:noFill/>
        </a:ln>
        <a:effectLst/>
      </c:spPr>
    </c:plotArea>
    <c:legend>
      <c:legendPos val="t"/>
      <c:layout>
        <c:manualLayout>
          <c:xMode val="edge"/>
          <c:yMode val="edge"/>
          <c:x val="0.20828686884491199"/>
          <c:y val="1.7314285714285699E-2"/>
          <c:w val="0.32038635107388302"/>
          <c:h val="3.9054368203974503E-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6577546d-acf5-4448-9169-8a5ff20d2d92}"/>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EPO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298E-2"/>
          <c:y val="0.18008873548340701"/>
          <c:w val="0.72913381348441697"/>
          <c:h val="0.80932067110845396"/>
        </c:manualLayout>
      </c:layout>
      <c:lineChart>
        <c:grouping val="standard"/>
        <c:varyColors val="0"/>
        <c:ser>
          <c:idx val="0"/>
          <c:order val="0"/>
          <c:tx>
            <c:strRef>
              <c:f>'Ch4. Applications leading Tech'!$AD$150</c:f>
              <c:strCache>
                <c:ptCount val="1"/>
                <c:pt idx="0">
                  <c:v>Organic fine chemistry</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01-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02-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03-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04-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05-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06-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07-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08-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09-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0A-C701-44A8-8E43-C12E6D1EB778}"/>
                </c:ext>
              </c:extLst>
            </c:dLbl>
            <c:dLbl>
              <c:idx val="11"/>
              <c:layout>
                <c:manualLayout>
                  <c:x val="6.9484752625769725E-2"/>
                  <c:y val="3.32787596613218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C701-44A8-8E43-C12E6D1EB778}"/>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Tech'!$AE$150:$AQ$150</c:f>
              <c:numCache>
                <c:formatCode>General</c:formatCode>
                <c:ptCount val="13"/>
                <c:pt idx="0">
                  <c:v>7</c:v>
                </c:pt>
                <c:pt idx="1">
                  <c:v>7</c:v>
                </c:pt>
                <c:pt idx="2">
                  <c:v>7</c:v>
                </c:pt>
                <c:pt idx="3">
                  <c:v>7</c:v>
                </c:pt>
                <c:pt idx="4">
                  <c:v>8</c:v>
                </c:pt>
                <c:pt idx="5">
                  <c:v>7</c:v>
                </c:pt>
                <c:pt idx="6">
                  <c:v>10</c:v>
                </c:pt>
                <c:pt idx="7">
                  <c:v>10</c:v>
                </c:pt>
                <c:pt idx="8">
                  <c:v>10</c:v>
                </c:pt>
                <c:pt idx="9">
                  <c:v>10</c:v>
                </c:pt>
                <c:pt idx="10">
                  <c:v>10</c:v>
                </c:pt>
                <c:pt idx="11">
                  <c:v>10</c:v>
                </c:pt>
                <c:pt idx="12">
                  <c:v>10</c:v>
                </c:pt>
              </c:numCache>
            </c:numRef>
          </c:val>
          <c:smooth val="0"/>
          <c:extLst>
            <c:ext xmlns:c16="http://schemas.microsoft.com/office/drawing/2014/chart" uri="{C3380CC4-5D6E-409C-BE32-E72D297353CC}">
              <c16:uniqueId val="{0000000C-C701-44A8-8E43-C12E6D1EB778}"/>
            </c:ext>
          </c:extLst>
        </c:ser>
        <c:ser>
          <c:idx val="1"/>
          <c:order val="1"/>
          <c:tx>
            <c:strRef>
              <c:f>'Ch4. Applications leading Tech'!$AD$151</c:f>
              <c:strCache>
                <c:ptCount val="1"/>
                <c:pt idx="0">
                  <c:v>Biotechnology</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0E-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0F-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10-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11-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12-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13-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14-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15-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16-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17-C701-44A8-8E43-C12E6D1EB778}"/>
                </c:ext>
              </c:extLst>
            </c:dLbl>
            <c:dLbl>
              <c:idx val="11"/>
              <c:layout>
                <c:manualLayout>
                  <c:x val="6.786284755899287E-2"/>
                  <c:y val="-6.9925046878844696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C701-44A8-8E43-C12E6D1EB778}"/>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Tech'!$AE$151:$AQ$151</c:f>
              <c:numCache>
                <c:formatCode>General</c:formatCode>
                <c:ptCount val="13"/>
                <c:pt idx="0">
                  <c:v>10</c:v>
                </c:pt>
                <c:pt idx="1">
                  <c:v>10</c:v>
                </c:pt>
                <c:pt idx="2">
                  <c:v>8</c:v>
                </c:pt>
                <c:pt idx="3">
                  <c:v>9</c:v>
                </c:pt>
                <c:pt idx="4">
                  <c:v>10</c:v>
                </c:pt>
                <c:pt idx="5">
                  <c:v>9</c:v>
                </c:pt>
                <c:pt idx="6">
                  <c:v>8</c:v>
                </c:pt>
                <c:pt idx="7">
                  <c:v>8</c:v>
                </c:pt>
                <c:pt idx="8">
                  <c:v>8</c:v>
                </c:pt>
                <c:pt idx="9">
                  <c:v>8</c:v>
                </c:pt>
                <c:pt idx="10">
                  <c:v>8</c:v>
                </c:pt>
                <c:pt idx="11">
                  <c:v>8</c:v>
                </c:pt>
                <c:pt idx="12">
                  <c:v>7</c:v>
                </c:pt>
              </c:numCache>
            </c:numRef>
          </c:val>
          <c:smooth val="0"/>
          <c:extLst>
            <c:ext xmlns:c16="http://schemas.microsoft.com/office/drawing/2014/chart" uri="{C3380CC4-5D6E-409C-BE32-E72D297353CC}">
              <c16:uniqueId val="{00000019-C701-44A8-8E43-C12E6D1EB778}"/>
            </c:ext>
          </c:extLst>
        </c:ser>
        <c:ser>
          <c:idx val="2"/>
          <c:order val="2"/>
          <c:tx>
            <c:strRef>
              <c:f>'Ch4. Applications leading Tech'!$AD$152</c:f>
              <c:strCache>
                <c:ptCount val="1"/>
                <c:pt idx="0">
                  <c:v>Pharmaceuticals</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1B-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1C-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1D-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1E-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1F-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20-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21-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22-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23-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24-C701-44A8-8E43-C12E6D1EB778}"/>
                </c:ext>
              </c:extLst>
            </c:dLbl>
            <c:dLbl>
              <c:idx val="11"/>
              <c:layout>
                <c:manualLayout>
                  <c:x val="6.9484752625769725E-2"/>
                  <c:y val="7.986902318717231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5-C701-44A8-8E43-C12E6D1EB778}"/>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Tech'!$AE$152:$AQ$152</c:f>
              <c:numCache>
                <c:formatCode>General</c:formatCode>
                <c:ptCount val="13"/>
                <c:pt idx="0">
                  <c:v>8</c:v>
                </c:pt>
                <c:pt idx="1">
                  <c:v>9</c:v>
                </c:pt>
                <c:pt idx="2">
                  <c:v>10</c:v>
                </c:pt>
                <c:pt idx="3">
                  <c:v>10</c:v>
                </c:pt>
                <c:pt idx="4">
                  <c:v>9</c:v>
                </c:pt>
                <c:pt idx="5">
                  <c:v>8</c:v>
                </c:pt>
                <c:pt idx="6">
                  <c:v>7</c:v>
                </c:pt>
                <c:pt idx="7">
                  <c:v>7</c:v>
                </c:pt>
                <c:pt idx="8">
                  <c:v>7</c:v>
                </c:pt>
                <c:pt idx="9">
                  <c:v>7</c:v>
                </c:pt>
                <c:pt idx="10">
                  <c:v>5</c:v>
                </c:pt>
                <c:pt idx="11">
                  <c:v>7</c:v>
                </c:pt>
                <c:pt idx="12">
                  <c:v>8</c:v>
                </c:pt>
              </c:numCache>
            </c:numRef>
          </c:val>
          <c:smooth val="0"/>
          <c:extLst>
            <c:ext xmlns:c16="http://schemas.microsoft.com/office/drawing/2014/chart" uri="{C3380CC4-5D6E-409C-BE32-E72D297353CC}">
              <c16:uniqueId val="{00000026-C701-44A8-8E43-C12E6D1EB778}"/>
            </c:ext>
          </c:extLst>
        </c:ser>
        <c:ser>
          <c:idx val="3"/>
          <c:order val="3"/>
          <c:tx>
            <c:strRef>
              <c:f>'Ch4. Applications leading Tech'!$AD$153</c:f>
              <c:strCache>
                <c:ptCount val="1"/>
                <c:pt idx="0">
                  <c:v>Measurement</c:v>
                </c:pt>
              </c:strCache>
            </c:strRef>
          </c:tx>
          <c:spPr>
            <a:ln w="38100"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28-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29-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2A-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2B-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2C-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2D-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2E-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2F-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30-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31-C701-44A8-8E43-C12E6D1EB778}"/>
                </c:ext>
              </c:extLst>
            </c:dLbl>
            <c:dLbl>
              <c:idx val="11"/>
              <c:layout>
                <c:manualLayout>
                  <c:x val="6.7940634593454841E-2"/>
                  <c:y val="6.65576185546890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2-C701-44A8-8E43-C12E6D1EB778}"/>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Tech'!$AE$153:$AQ$153</c:f>
              <c:numCache>
                <c:formatCode>General</c:formatCode>
                <c:ptCount val="13"/>
                <c:pt idx="0">
                  <c:v>6</c:v>
                </c:pt>
                <c:pt idx="1">
                  <c:v>6</c:v>
                </c:pt>
                <c:pt idx="2">
                  <c:v>6</c:v>
                </c:pt>
                <c:pt idx="3">
                  <c:v>6</c:v>
                </c:pt>
                <c:pt idx="4">
                  <c:v>6</c:v>
                </c:pt>
                <c:pt idx="5">
                  <c:v>6</c:v>
                </c:pt>
                <c:pt idx="6">
                  <c:v>6</c:v>
                </c:pt>
                <c:pt idx="7">
                  <c:v>6</c:v>
                </c:pt>
                <c:pt idx="8">
                  <c:v>6</c:v>
                </c:pt>
                <c:pt idx="9">
                  <c:v>6</c:v>
                </c:pt>
                <c:pt idx="10">
                  <c:v>7</c:v>
                </c:pt>
                <c:pt idx="11">
                  <c:v>5</c:v>
                </c:pt>
                <c:pt idx="12">
                  <c:v>6</c:v>
                </c:pt>
              </c:numCache>
            </c:numRef>
          </c:val>
          <c:smooth val="0"/>
          <c:extLst>
            <c:ext xmlns:c16="http://schemas.microsoft.com/office/drawing/2014/chart" uri="{C3380CC4-5D6E-409C-BE32-E72D297353CC}">
              <c16:uniqueId val="{00000033-C701-44A8-8E43-C12E6D1EB778}"/>
            </c:ext>
          </c:extLst>
        </c:ser>
        <c:ser>
          <c:idx val="4"/>
          <c:order val="4"/>
          <c:tx>
            <c:strRef>
              <c:f>'Ch4. Applications leading Tech'!$AD$154</c:f>
              <c:strCache>
                <c:ptCount val="1"/>
                <c:pt idx="0">
                  <c:v>Other special machines</c:v>
                </c:pt>
              </c:strCache>
            </c:strRef>
          </c:tx>
          <c:spPr>
            <a:ln w="38100" cap="rnd">
              <a:solidFill>
                <a:schemeClr val="accent5"/>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4-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35-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36-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37-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38-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39-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3A-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3B-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3C-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3D-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3E-C701-44A8-8E43-C12E6D1EB778}"/>
                </c:ext>
              </c:extLst>
            </c:dLbl>
            <c:dLbl>
              <c:idx val="11"/>
              <c:layout>
                <c:manualLayout>
                  <c:x val="6.9484752625769725E-2"/>
                  <c:y val="-1.2202070916453524E-16"/>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F-C701-44A8-8E43-C12E6D1EB778}"/>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Tech'!$AE$154:$AQ$154</c:f>
              <c:numCache>
                <c:formatCode>General</c:formatCode>
                <c:ptCount val="13"/>
                <c:pt idx="0">
                  <c:v>11</c:v>
                </c:pt>
                <c:pt idx="1">
                  <c:v>11</c:v>
                </c:pt>
                <c:pt idx="2">
                  <c:v>11</c:v>
                </c:pt>
                <c:pt idx="3">
                  <c:v>11</c:v>
                </c:pt>
                <c:pt idx="4">
                  <c:v>11</c:v>
                </c:pt>
                <c:pt idx="5">
                  <c:v>10</c:v>
                </c:pt>
                <c:pt idx="6">
                  <c:v>9</c:v>
                </c:pt>
                <c:pt idx="7">
                  <c:v>9</c:v>
                </c:pt>
                <c:pt idx="8">
                  <c:v>9</c:v>
                </c:pt>
                <c:pt idx="9">
                  <c:v>9</c:v>
                </c:pt>
                <c:pt idx="10">
                  <c:v>9</c:v>
                </c:pt>
                <c:pt idx="11">
                  <c:v>9</c:v>
                </c:pt>
                <c:pt idx="12">
                  <c:v>9</c:v>
                </c:pt>
              </c:numCache>
            </c:numRef>
          </c:val>
          <c:smooth val="0"/>
          <c:extLst>
            <c:ext xmlns:c16="http://schemas.microsoft.com/office/drawing/2014/chart" uri="{C3380CC4-5D6E-409C-BE32-E72D297353CC}">
              <c16:uniqueId val="{00000040-C701-44A8-8E43-C12E6D1EB778}"/>
            </c:ext>
          </c:extLst>
        </c:ser>
        <c:ser>
          <c:idx val="5"/>
          <c:order val="5"/>
          <c:tx>
            <c:strRef>
              <c:f>'Ch4. Applications leading Tech'!$AD$155</c:f>
              <c:strCache>
                <c:ptCount val="1"/>
                <c:pt idx="0">
                  <c:v>Transport</c:v>
                </c:pt>
              </c:strCache>
            </c:strRef>
          </c:tx>
          <c:spPr>
            <a:ln w="38100" cap="rnd">
              <a:solidFill>
                <a:schemeClr val="accent6"/>
              </a:solidFill>
              <a:round/>
            </a:ln>
            <a:effectLst/>
          </c:spPr>
          <c:marker>
            <c:symbol val="none"/>
          </c:marker>
          <c:dLbls>
            <c:dLbl>
              <c:idx val="0"/>
              <c:layout>
                <c:manualLayout>
                  <c:x val="-3.3970323505931925E-2"/>
                  <c:y val="-3.327875966132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42-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43-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44-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45-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46-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47-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48-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49-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4A-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4B-C701-44A8-8E43-C12E6D1EB778}"/>
                </c:ext>
              </c:extLst>
            </c:dLbl>
            <c:dLbl>
              <c:idx val="11"/>
              <c:layout>
                <c:manualLayout>
                  <c:x val="6.6405133163965568E-2"/>
                  <c:y val="-6.9925046878844696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C-C701-44A8-8E43-C12E6D1EB778}"/>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Tech'!$AE$155:$AQ$155</c:f>
              <c:numCache>
                <c:formatCode>General</c:formatCode>
                <c:ptCount val="13"/>
                <c:pt idx="0">
                  <c:v>5</c:v>
                </c:pt>
                <c:pt idx="1">
                  <c:v>5</c:v>
                </c:pt>
                <c:pt idx="2">
                  <c:v>5</c:v>
                </c:pt>
                <c:pt idx="3">
                  <c:v>5</c:v>
                </c:pt>
                <c:pt idx="4">
                  <c:v>5</c:v>
                </c:pt>
                <c:pt idx="5">
                  <c:v>5</c:v>
                </c:pt>
                <c:pt idx="6">
                  <c:v>5</c:v>
                </c:pt>
                <c:pt idx="7">
                  <c:v>5</c:v>
                </c:pt>
                <c:pt idx="8">
                  <c:v>5</c:v>
                </c:pt>
                <c:pt idx="9">
                  <c:v>5</c:v>
                </c:pt>
                <c:pt idx="10">
                  <c:v>6</c:v>
                </c:pt>
                <c:pt idx="11">
                  <c:v>6</c:v>
                </c:pt>
                <c:pt idx="12">
                  <c:v>5</c:v>
                </c:pt>
              </c:numCache>
            </c:numRef>
          </c:val>
          <c:smooth val="0"/>
          <c:extLst>
            <c:ext xmlns:c16="http://schemas.microsoft.com/office/drawing/2014/chart" uri="{C3380CC4-5D6E-409C-BE32-E72D297353CC}">
              <c16:uniqueId val="{0000004D-C701-44A8-8E43-C12E6D1EB778}"/>
            </c:ext>
          </c:extLst>
        </c:ser>
        <c:ser>
          <c:idx val="6"/>
          <c:order val="6"/>
          <c:tx>
            <c:strRef>
              <c:f>'Ch4. Applications leading Tech'!$AD$156</c:f>
              <c:strCache>
                <c:ptCount val="1"/>
                <c:pt idx="0">
                  <c:v>Electrical machinery, apparatus, energy</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4F-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50-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51-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52-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53-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54-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55-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56-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57-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58-C701-44A8-8E43-C12E6D1EB778}"/>
                </c:ext>
              </c:extLst>
            </c:dLbl>
            <c:dLbl>
              <c:idx val="11"/>
              <c:layout>
                <c:manualLayout>
                  <c:x val="6.3308330170145852E-2"/>
                  <c:y val="-0.1297871626791550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9-C701-44A8-8E43-C12E6D1EB778}"/>
                </c:ext>
              </c:extLst>
            </c:dLbl>
            <c:spPr>
              <a:noFill/>
              <a:ln>
                <a:noFill/>
              </a:ln>
              <a:effectLst/>
            </c:spPr>
            <c:txPr>
              <a:bodyPr rot="0" spcFirstLastPara="1" vertOverflow="ellipsis" vert="horz" wrap="square" lIns="38100" tIns="19050" rIns="38100" bIns="19050" anchor="ctr" anchorCtr="1"/>
              <a:lstStyle/>
              <a:p>
                <a:pPr>
                  <a:defRPr lang="zh-CN" sz="1000" b="0" i="1"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Tech'!$AE$156:$AQ$156</c:f>
              <c:numCache>
                <c:formatCode>General</c:formatCode>
                <c:ptCount val="13"/>
                <c:pt idx="0">
                  <c:v>2</c:v>
                </c:pt>
                <c:pt idx="1">
                  <c:v>2</c:v>
                </c:pt>
                <c:pt idx="2">
                  <c:v>3</c:v>
                </c:pt>
                <c:pt idx="3">
                  <c:v>4</c:v>
                </c:pt>
                <c:pt idx="4">
                  <c:v>4</c:v>
                </c:pt>
                <c:pt idx="5">
                  <c:v>4</c:v>
                </c:pt>
                <c:pt idx="6">
                  <c:v>4</c:v>
                </c:pt>
                <c:pt idx="7">
                  <c:v>4</c:v>
                </c:pt>
                <c:pt idx="8">
                  <c:v>4</c:v>
                </c:pt>
                <c:pt idx="9">
                  <c:v>4</c:v>
                </c:pt>
                <c:pt idx="10">
                  <c:v>4</c:v>
                </c:pt>
                <c:pt idx="11">
                  <c:v>4</c:v>
                </c:pt>
                <c:pt idx="12">
                  <c:v>2</c:v>
                </c:pt>
              </c:numCache>
            </c:numRef>
          </c:val>
          <c:smooth val="0"/>
          <c:extLst>
            <c:ext xmlns:c16="http://schemas.microsoft.com/office/drawing/2014/chart" uri="{C3380CC4-5D6E-409C-BE32-E72D297353CC}">
              <c16:uniqueId val="{0000005A-C701-44A8-8E43-C12E6D1EB778}"/>
            </c:ext>
          </c:extLst>
        </c:ser>
        <c:ser>
          <c:idx val="7"/>
          <c:order val="7"/>
          <c:tx>
            <c:strRef>
              <c:f>'Ch4. Applications leading Tech'!$AD$157</c:f>
              <c:strCache>
                <c:ptCount val="1"/>
                <c:pt idx="0">
                  <c:v>Engines, pumps, turbines</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5C-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5D-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5E-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5F-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60-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61-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62-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63-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64-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65-C701-44A8-8E43-C12E6D1EB778}"/>
                </c:ext>
              </c:extLst>
            </c:dLbl>
            <c:dLbl>
              <c:idx val="11"/>
              <c:layout>
                <c:manualLayout>
                  <c:x val="7.257296385358171E-2"/>
                  <c:y val="-1.2202070916453524E-16"/>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6-C701-44A8-8E43-C12E6D1EB778}"/>
                </c:ext>
              </c:extLst>
            </c:dLbl>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Tech'!$AE$157:$AQ$157</c:f>
              <c:numCache>
                <c:formatCode>General</c:formatCode>
                <c:ptCount val="13"/>
                <c:pt idx="0">
                  <c:v>9</c:v>
                </c:pt>
                <c:pt idx="1">
                  <c:v>8</c:v>
                </c:pt>
                <c:pt idx="2">
                  <c:v>9</c:v>
                </c:pt>
                <c:pt idx="3">
                  <c:v>8</c:v>
                </c:pt>
                <c:pt idx="4">
                  <c:v>7</c:v>
                </c:pt>
                <c:pt idx="5">
                  <c:v>11</c:v>
                </c:pt>
                <c:pt idx="6">
                  <c:v>11</c:v>
                </c:pt>
                <c:pt idx="7">
                  <c:v>11</c:v>
                </c:pt>
                <c:pt idx="8">
                  <c:v>11</c:v>
                </c:pt>
                <c:pt idx="9">
                  <c:v>11</c:v>
                </c:pt>
                <c:pt idx="10">
                  <c:v>11</c:v>
                </c:pt>
                <c:pt idx="11">
                  <c:v>11</c:v>
                </c:pt>
                <c:pt idx="12">
                  <c:v>11</c:v>
                </c:pt>
              </c:numCache>
            </c:numRef>
          </c:val>
          <c:smooth val="0"/>
          <c:extLst>
            <c:ext xmlns:c16="http://schemas.microsoft.com/office/drawing/2014/chart" uri="{C3380CC4-5D6E-409C-BE32-E72D297353CC}">
              <c16:uniqueId val="{00000067-C701-44A8-8E43-C12E6D1EB778}"/>
            </c:ext>
          </c:extLst>
        </c:ser>
        <c:ser>
          <c:idx val="8"/>
          <c:order val="8"/>
          <c:tx>
            <c:strRef>
              <c:f>'Ch4. Applications leading Tech'!$AD$158</c:f>
              <c:strCache>
                <c:ptCount val="1"/>
                <c:pt idx="0">
                  <c:v>Computer technology</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8-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69-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6A-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6B-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6C-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6D-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6E-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6F-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70-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71-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72-C701-44A8-8E43-C12E6D1EB778}"/>
                </c:ext>
              </c:extLst>
            </c:dLbl>
            <c:dLbl>
              <c:idx val="11"/>
              <c:layout>
                <c:manualLayout>
                  <c:x val="6.3308330170145852E-2"/>
                  <c:y val="-0.153082294442080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3-C701-44A8-8E43-C12E6D1EB778}"/>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Tech'!$AE$158:$AQ$158</c:f>
              <c:numCache>
                <c:formatCode>General</c:formatCode>
                <c:ptCount val="13"/>
                <c:pt idx="0">
                  <c:v>4</c:v>
                </c:pt>
                <c:pt idx="1">
                  <c:v>4</c:v>
                </c:pt>
                <c:pt idx="2">
                  <c:v>4</c:v>
                </c:pt>
                <c:pt idx="3">
                  <c:v>3</c:v>
                </c:pt>
                <c:pt idx="4">
                  <c:v>3</c:v>
                </c:pt>
                <c:pt idx="5">
                  <c:v>3</c:v>
                </c:pt>
                <c:pt idx="6">
                  <c:v>3</c:v>
                </c:pt>
                <c:pt idx="7">
                  <c:v>3</c:v>
                </c:pt>
                <c:pt idx="8">
                  <c:v>3</c:v>
                </c:pt>
                <c:pt idx="9">
                  <c:v>3</c:v>
                </c:pt>
                <c:pt idx="10">
                  <c:v>3</c:v>
                </c:pt>
                <c:pt idx="11">
                  <c:v>3</c:v>
                </c:pt>
                <c:pt idx="12">
                  <c:v>1</c:v>
                </c:pt>
              </c:numCache>
            </c:numRef>
          </c:val>
          <c:smooth val="0"/>
          <c:extLst>
            <c:ext xmlns:c16="http://schemas.microsoft.com/office/drawing/2014/chart" uri="{C3380CC4-5D6E-409C-BE32-E72D297353CC}">
              <c16:uniqueId val="{00000074-C701-44A8-8E43-C12E6D1EB778}"/>
            </c:ext>
          </c:extLst>
        </c:ser>
        <c:ser>
          <c:idx val="9"/>
          <c:order val="9"/>
          <c:tx>
            <c:strRef>
              <c:f>'Ch4. Applications leading Tech'!$AD$159</c:f>
              <c:strCache>
                <c:ptCount val="1"/>
                <c:pt idx="0">
                  <c:v>Digital communication</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5-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76-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77-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78-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79-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7A-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7B-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7C-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7D-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7E-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7F-C701-44A8-8E43-C12E6D1EB778}"/>
                </c:ext>
              </c:extLst>
            </c:dLbl>
            <c:dLbl>
              <c:idx val="11"/>
              <c:layout>
                <c:manualLayout>
                  <c:x val="6.4852435784051726E-2"/>
                  <c:y val="0.14642654250981585"/>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0-C701-44A8-8E43-C12E6D1EB778}"/>
                </c:ext>
              </c:extLst>
            </c:dLbl>
            <c:spPr>
              <a:noFill/>
              <a:ln>
                <a:noFill/>
              </a:ln>
              <a:effectLst/>
            </c:spPr>
            <c:txPr>
              <a:bodyPr rot="0" spcFirstLastPara="1" vertOverflow="ellipsis" vert="horz" wrap="square" lIns="38100" tIns="19050" rIns="38100" bIns="19050" anchor="ctr" anchorCtr="0"/>
              <a:lstStyle/>
              <a:p>
                <a:pPr algn="l">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Tech'!$AE$159:$AQ$159</c:f>
              <c:numCache>
                <c:formatCode>General</c:formatCode>
                <c:ptCount val="13"/>
                <c:pt idx="0">
                  <c:v>3</c:v>
                </c:pt>
                <c:pt idx="1">
                  <c:v>3</c:v>
                </c:pt>
                <c:pt idx="2">
                  <c:v>2</c:v>
                </c:pt>
                <c:pt idx="3">
                  <c:v>2</c:v>
                </c:pt>
                <c:pt idx="4">
                  <c:v>2</c:v>
                </c:pt>
                <c:pt idx="5">
                  <c:v>2</c:v>
                </c:pt>
                <c:pt idx="6">
                  <c:v>2</c:v>
                </c:pt>
                <c:pt idx="7">
                  <c:v>1</c:v>
                </c:pt>
                <c:pt idx="8">
                  <c:v>2</c:v>
                </c:pt>
                <c:pt idx="9">
                  <c:v>1</c:v>
                </c:pt>
                <c:pt idx="10">
                  <c:v>1</c:v>
                </c:pt>
                <c:pt idx="11">
                  <c:v>1</c:v>
                </c:pt>
                <c:pt idx="12">
                  <c:v>3</c:v>
                </c:pt>
              </c:numCache>
            </c:numRef>
          </c:val>
          <c:smooth val="0"/>
          <c:extLst>
            <c:ext xmlns:c16="http://schemas.microsoft.com/office/drawing/2014/chart" uri="{C3380CC4-5D6E-409C-BE32-E72D297353CC}">
              <c16:uniqueId val="{00000081-C701-44A8-8E43-C12E6D1EB778}"/>
            </c:ext>
          </c:extLst>
        </c:ser>
        <c:ser>
          <c:idx val="10"/>
          <c:order val="10"/>
          <c:tx>
            <c:strRef>
              <c:f>'Ch4. Applications leading Tech'!$AD$160</c:f>
              <c:strCache>
                <c:ptCount val="1"/>
                <c:pt idx="0">
                  <c:v>Medical technology</c:v>
                </c:pt>
              </c:strCache>
            </c:strRef>
          </c:tx>
          <c:spPr>
            <a:ln w="38100"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2-C701-44A8-8E43-C12E6D1EB778}"/>
                </c:ext>
              </c:extLst>
            </c:dLbl>
            <c:dLbl>
              <c:idx val="1"/>
              <c:delete val="1"/>
              <c:extLst>
                <c:ext xmlns:c15="http://schemas.microsoft.com/office/drawing/2012/chart" uri="{CE6537A1-D6FC-4f65-9D91-7224C49458BB}"/>
                <c:ext xmlns:c16="http://schemas.microsoft.com/office/drawing/2014/chart" uri="{C3380CC4-5D6E-409C-BE32-E72D297353CC}">
                  <c16:uniqueId val="{00000083-C701-44A8-8E43-C12E6D1EB778}"/>
                </c:ext>
              </c:extLst>
            </c:dLbl>
            <c:dLbl>
              <c:idx val="2"/>
              <c:delete val="1"/>
              <c:extLst>
                <c:ext xmlns:c15="http://schemas.microsoft.com/office/drawing/2012/chart" uri="{CE6537A1-D6FC-4f65-9D91-7224C49458BB}"/>
                <c:ext xmlns:c16="http://schemas.microsoft.com/office/drawing/2014/chart" uri="{C3380CC4-5D6E-409C-BE32-E72D297353CC}">
                  <c16:uniqueId val="{00000084-C701-44A8-8E43-C12E6D1EB778}"/>
                </c:ext>
              </c:extLst>
            </c:dLbl>
            <c:dLbl>
              <c:idx val="3"/>
              <c:delete val="1"/>
              <c:extLst>
                <c:ext xmlns:c15="http://schemas.microsoft.com/office/drawing/2012/chart" uri="{CE6537A1-D6FC-4f65-9D91-7224C49458BB}"/>
                <c:ext xmlns:c16="http://schemas.microsoft.com/office/drawing/2014/chart" uri="{C3380CC4-5D6E-409C-BE32-E72D297353CC}">
                  <c16:uniqueId val="{00000085-C701-44A8-8E43-C12E6D1EB778}"/>
                </c:ext>
              </c:extLst>
            </c:dLbl>
            <c:dLbl>
              <c:idx val="4"/>
              <c:delete val="1"/>
              <c:extLst>
                <c:ext xmlns:c15="http://schemas.microsoft.com/office/drawing/2012/chart" uri="{CE6537A1-D6FC-4f65-9D91-7224C49458BB}"/>
                <c:ext xmlns:c16="http://schemas.microsoft.com/office/drawing/2014/chart" uri="{C3380CC4-5D6E-409C-BE32-E72D297353CC}">
                  <c16:uniqueId val="{00000086-C701-44A8-8E43-C12E6D1EB778}"/>
                </c:ext>
              </c:extLst>
            </c:dLbl>
            <c:dLbl>
              <c:idx val="5"/>
              <c:delete val="1"/>
              <c:extLst>
                <c:ext xmlns:c15="http://schemas.microsoft.com/office/drawing/2012/chart" uri="{CE6537A1-D6FC-4f65-9D91-7224C49458BB}"/>
                <c:ext xmlns:c16="http://schemas.microsoft.com/office/drawing/2014/chart" uri="{C3380CC4-5D6E-409C-BE32-E72D297353CC}">
                  <c16:uniqueId val="{00000087-C701-44A8-8E43-C12E6D1EB778}"/>
                </c:ext>
              </c:extLst>
            </c:dLbl>
            <c:dLbl>
              <c:idx val="6"/>
              <c:delete val="1"/>
              <c:extLst>
                <c:ext xmlns:c15="http://schemas.microsoft.com/office/drawing/2012/chart" uri="{CE6537A1-D6FC-4f65-9D91-7224C49458BB}"/>
                <c:ext xmlns:c16="http://schemas.microsoft.com/office/drawing/2014/chart" uri="{C3380CC4-5D6E-409C-BE32-E72D297353CC}">
                  <c16:uniqueId val="{00000088-C701-44A8-8E43-C12E6D1EB778}"/>
                </c:ext>
              </c:extLst>
            </c:dLbl>
            <c:dLbl>
              <c:idx val="7"/>
              <c:delete val="1"/>
              <c:extLst>
                <c:ext xmlns:c15="http://schemas.microsoft.com/office/drawing/2012/chart" uri="{CE6537A1-D6FC-4f65-9D91-7224C49458BB}"/>
                <c:ext xmlns:c16="http://schemas.microsoft.com/office/drawing/2014/chart" uri="{C3380CC4-5D6E-409C-BE32-E72D297353CC}">
                  <c16:uniqueId val="{00000089-C701-44A8-8E43-C12E6D1EB778}"/>
                </c:ext>
              </c:extLst>
            </c:dLbl>
            <c:dLbl>
              <c:idx val="8"/>
              <c:delete val="1"/>
              <c:extLst>
                <c:ext xmlns:c15="http://schemas.microsoft.com/office/drawing/2012/chart" uri="{CE6537A1-D6FC-4f65-9D91-7224C49458BB}"/>
                <c:ext xmlns:c16="http://schemas.microsoft.com/office/drawing/2014/chart" uri="{C3380CC4-5D6E-409C-BE32-E72D297353CC}">
                  <c16:uniqueId val="{0000008A-C701-44A8-8E43-C12E6D1EB778}"/>
                </c:ext>
              </c:extLst>
            </c:dLbl>
            <c:dLbl>
              <c:idx val="9"/>
              <c:delete val="1"/>
              <c:extLst>
                <c:ext xmlns:c15="http://schemas.microsoft.com/office/drawing/2012/chart" uri="{CE6537A1-D6FC-4f65-9D91-7224C49458BB}"/>
                <c:ext xmlns:c16="http://schemas.microsoft.com/office/drawing/2014/chart" uri="{C3380CC4-5D6E-409C-BE32-E72D297353CC}">
                  <c16:uniqueId val="{0000008B-C701-44A8-8E43-C12E6D1EB778}"/>
                </c:ext>
              </c:extLst>
            </c:dLbl>
            <c:dLbl>
              <c:idx val="10"/>
              <c:delete val="1"/>
              <c:extLst>
                <c:ext xmlns:c15="http://schemas.microsoft.com/office/drawing/2012/chart" uri="{CE6537A1-D6FC-4f65-9D91-7224C49458BB}"/>
                <c:ext xmlns:c16="http://schemas.microsoft.com/office/drawing/2014/chart" uri="{C3380CC4-5D6E-409C-BE32-E72D297353CC}">
                  <c16:uniqueId val="{0000008C-C701-44A8-8E43-C12E6D1EB778}"/>
                </c:ext>
              </c:extLst>
            </c:dLbl>
            <c:dLbl>
              <c:idx val="11"/>
              <c:layout>
                <c:manualLayout>
                  <c:x val="6.4852435784051726E-2"/>
                  <c:y val="0.1397707905775515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D-C701-44A8-8E43-C12E6D1EB778}"/>
                </c:ext>
              </c:extLst>
            </c:dLbl>
            <c:spPr>
              <a:noFill/>
              <a:ln>
                <a:noFill/>
              </a:ln>
              <a:effectLst/>
            </c:spPr>
            <c:txPr>
              <a:bodyPr rot="0" spcFirstLastPara="1" vertOverflow="ellipsis" vert="horz" wrap="square" lIns="38100" tIns="19050" rIns="38100" bIns="19050" anchor="ctr" anchorCtr="0"/>
              <a:lstStyle/>
              <a:p>
                <a:pPr algn="l">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Tech'!$AE$149:$AQ$149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Tech'!$AE$160:$AQ$160</c:f>
              <c:numCache>
                <c:formatCode>General</c:formatCode>
                <c:ptCount val="13"/>
                <c:pt idx="0">
                  <c:v>1</c:v>
                </c:pt>
                <c:pt idx="1">
                  <c:v>1</c:v>
                </c:pt>
                <c:pt idx="2">
                  <c:v>1</c:v>
                </c:pt>
                <c:pt idx="3">
                  <c:v>1</c:v>
                </c:pt>
                <c:pt idx="4">
                  <c:v>1</c:v>
                </c:pt>
                <c:pt idx="5">
                  <c:v>1</c:v>
                </c:pt>
                <c:pt idx="6">
                  <c:v>1</c:v>
                </c:pt>
                <c:pt idx="7">
                  <c:v>2</c:v>
                </c:pt>
                <c:pt idx="8">
                  <c:v>1</c:v>
                </c:pt>
                <c:pt idx="9">
                  <c:v>2</c:v>
                </c:pt>
                <c:pt idx="10">
                  <c:v>2</c:v>
                </c:pt>
                <c:pt idx="11">
                  <c:v>2</c:v>
                </c:pt>
                <c:pt idx="12">
                  <c:v>4</c:v>
                </c:pt>
              </c:numCache>
            </c:numRef>
          </c:val>
          <c:smooth val="0"/>
          <c:extLst>
            <c:ext xmlns:c16="http://schemas.microsoft.com/office/drawing/2014/chart" uri="{C3380CC4-5D6E-409C-BE32-E72D297353CC}">
              <c16:uniqueId val="{0000008E-C701-44A8-8E43-C12E6D1EB778}"/>
            </c:ext>
          </c:extLst>
        </c:ser>
        <c:dLbls>
          <c:showLegendKey val="0"/>
          <c:showVal val="0"/>
          <c:showCatName val="0"/>
          <c:showSerName val="0"/>
          <c:showPercent val="0"/>
          <c:showBubbleSize val="0"/>
        </c:dLbls>
        <c:smooth val="0"/>
        <c:axId val="1801086352"/>
        <c:axId val="1801078192"/>
      </c:lineChart>
      <c:catAx>
        <c:axId val="1801086352"/>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1078192"/>
        <c:crosses val="autoZero"/>
        <c:auto val="1"/>
        <c:lblAlgn val="ctr"/>
        <c:lblOffset val="100"/>
        <c:noMultiLvlLbl val="0"/>
      </c:catAx>
      <c:valAx>
        <c:axId val="1801078192"/>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1086352"/>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20ecc23f-2547-437b-9cf1-0ad854f74d31}"/>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JPO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298E-2"/>
          <c:y val="0.18008873548340701"/>
          <c:w val="0.72913381348441697"/>
          <c:h val="0.81297258675998796"/>
        </c:manualLayout>
      </c:layout>
      <c:lineChart>
        <c:grouping val="standard"/>
        <c:varyColors val="0"/>
        <c:ser>
          <c:idx val="0"/>
          <c:order val="0"/>
          <c:tx>
            <c:strRef>
              <c:f>'Ch4. Applications leading Tech'!$AV$150</c:f>
              <c:strCache>
                <c:ptCount val="1"/>
                <c:pt idx="0">
                  <c:v>Audio-visual technology</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01-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02-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03-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04-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05-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06-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07-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08-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09-A99C-404F-8688-411B11963090}"/>
                </c:ext>
              </c:extLst>
            </c:dLbl>
            <c:dLbl>
              <c:idx val="10"/>
              <c:layout>
                <c:manualLayout>
                  <c:x val="8.7461178906421563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Tech'!$AW$150:$BH$150</c:f>
              <c:numCache>
                <c:formatCode>General</c:formatCode>
                <c:ptCount val="12"/>
                <c:pt idx="0">
                  <c:v>5</c:v>
                </c:pt>
                <c:pt idx="1">
                  <c:v>5</c:v>
                </c:pt>
                <c:pt idx="2">
                  <c:v>9</c:v>
                </c:pt>
                <c:pt idx="3">
                  <c:v>9</c:v>
                </c:pt>
                <c:pt idx="4">
                  <c:v>8</c:v>
                </c:pt>
                <c:pt idx="5">
                  <c:v>9</c:v>
                </c:pt>
                <c:pt idx="6">
                  <c:v>9</c:v>
                </c:pt>
                <c:pt idx="7">
                  <c:v>10</c:v>
                </c:pt>
                <c:pt idx="8">
                  <c:v>10</c:v>
                </c:pt>
                <c:pt idx="9">
                  <c:v>9</c:v>
                </c:pt>
                <c:pt idx="10">
                  <c:v>10</c:v>
                </c:pt>
                <c:pt idx="11">
                  <c:v>10</c:v>
                </c:pt>
              </c:numCache>
            </c:numRef>
          </c:val>
          <c:smooth val="0"/>
          <c:extLst>
            <c:ext xmlns:c16="http://schemas.microsoft.com/office/drawing/2014/chart" uri="{C3380CC4-5D6E-409C-BE32-E72D297353CC}">
              <c16:uniqueId val="{0000000B-A99C-404F-8688-411B11963090}"/>
            </c:ext>
          </c:extLst>
        </c:ser>
        <c:ser>
          <c:idx val="1"/>
          <c:order val="1"/>
          <c:tx>
            <c:strRef>
              <c:f>'Ch4. Applications leading Tech'!$AV$151</c:f>
              <c:strCache>
                <c:ptCount val="1"/>
                <c:pt idx="0">
                  <c:v>Transport</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0D-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0E-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0F-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10-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11-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12-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13-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14-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15-A99C-404F-8688-411B11963090}"/>
                </c:ext>
              </c:extLst>
            </c:dLbl>
            <c:dLbl>
              <c:idx val="10"/>
              <c:layout>
                <c:manualLayout>
                  <c:x val="8.7450310758466501E-2"/>
                  <c:y val="6.6666684164484033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6-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Tech'!$AW$151:$BH$151</c:f>
              <c:numCache>
                <c:formatCode>General</c:formatCode>
                <c:ptCount val="12"/>
                <c:pt idx="0">
                  <c:v>7</c:v>
                </c:pt>
                <c:pt idx="1">
                  <c:v>7</c:v>
                </c:pt>
                <c:pt idx="2">
                  <c:v>8</c:v>
                </c:pt>
                <c:pt idx="3">
                  <c:v>7</c:v>
                </c:pt>
                <c:pt idx="4">
                  <c:v>7</c:v>
                </c:pt>
                <c:pt idx="5">
                  <c:v>7</c:v>
                </c:pt>
                <c:pt idx="6">
                  <c:v>7</c:v>
                </c:pt>
                <c:pt idx="7">
                  <c:v>7</c:v>
                </c:pt>
                <c:pt idx="8">
                  <c:v>7</c:v>
                </c:pt>
                <c:pt idx="9">
                  <c:v>6</c:v>
                </c:pt>
                <c:pt idx="10">
                  <c:v>8</c:v>
                </c:pt>
                <c:pt idx="11">
                  <c:v>8</c:v>
                </c:pt>
              </c:numCache>
            </c:numRef>
          </c:val>
          <c:smooth val="0"/>
          <c:extLst>
            <c:ext xmlns:c16="http://schemas.microsoft.com/office/drawing/2014/chart" uri="{C3380CC4-5D6E-409C-BE32-E72D297353CC}">
              <c16:uniqueId val="{00000017-A99C-404F-8688-411B11963090}"/>
            </c:ext>
          </c:extLst>
        </c:ser>
        <c:ser>
          <c:idx val="2"/>
          <c:order val="2"/>
          <c:tx>
            <c:strRef>
              <c:f>'Ch4. Applications leading Tech'!$AV$152</c:f>
              <c:strCache>
                <c:ptCount val="1"/>
                <c:pt idx="0">
                  <c:v>Semiconductors</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19-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1A-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1B-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1C-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1D-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1E-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1F-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20-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21-A99C-404F-8688-411B11963090}"/>
                </c:ext>
              </c:extLst>
            </c:dLbl>
            <c:dLbl>
              <c:idx val="10"/>
              <c:layout>
                <c:manualLayout>
                  <c:x val="8.9069234871537478E-2"/>
                  <c:y val="8.333331041952345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Tech'!$AW$152:$BH$152</c:f>
              <c:numCache>
                <c:formatCode>General</c:formatCode>
                <c:ptCount val="12"/>
                <c:pt idx="0">
                  <c:v>4</c:v>
                </c:pt>
                <c:pt idx="1">
                  <c:v>4</c:v>
                </c:pt>
                <c:pt idx="2">
                  <c:v>5</c:v>
                </c:pt>
                <c:pt idx="3">
                  <c:v>8</c:v>
                </c:pt>
                <c:pt idx="4">
                  <c:v>9</c:v>
                </c:pt>
                <c:pt idx="5">
                  <c:v>8</c:v>
                </c:pt>
                <c:pt idx="6">
                  <c:v>8</c:v>
                </c:pt>
                <c:pt idx="7">
                  <c:v>8</c:v>
                </c:pt>
                <c:pt idx="8">
                  <c:v>8</c:v>
                </c:pt>
                <c:pt idx="9">
                  <c:v>8</c:v>
                </c:pt>
                <c:pt idx="10">
                  <c:v>6</c:v>
                </c:pt>
                <c:pt idx="11">
                  <c:v>7</c:v>
                </c:pt>
              </c:numCache>
            </c:numRef>
          </c:val>
          <c:smooth val="0"/>
          <c:extLst>
            <c:ext xmlns:c16="http://schemas.microsoft.com/office/drawing/2014/chart" uri="{C3380CC4-5D6E-409C-BE32-E72D297353CC}">
              <c16:uniqueId val="{00000023-A99C-404F-8688-411B11963090}"/>
            </c:ext>
          </c:extLst>
        </c:ser>
        <c:ser>
          <c:idx val="3"/>
          <c:order val="3"/>
          <c:tx>
            <c:strRef>
              <c:f>'Ch4. Applications leading Tech'!$AV$153</c:f>
              <c:strCache>
                <c:ptCount val="1"/>
                <c:pt idx="0">
                  <c:v>Measurement</c:v>
                </c:pt>
              </c:strCache>
            </c:strRef>
          </c:tx>
          <c:spPr>
            <a:ln w="38100"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25-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26-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27-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28-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29-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2A-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2B-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2C-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2D-A99C-404F-8688-411B11963090}"/>
                </c:ext>
              </c:extLst>
            </c:dLbl>
            <c:dLbl>
              <c:idx val="10"/>
              <c:layout>
                <c:manualLayout>
                  <c:x val="8.7425020904818268E-2"/>
                  <c:y val="8.333335520560504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E-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Tech'!$AW$153:$BH$153</c:f>
              <c:numCache>
                <c:formatCode>General</c:formatCode>
                <c:ptCount val="12"/>
                <c:pt idx="0">
                  <c:v>6</c:v>
                </c:pt>
                <c:pt idx="1">
                  <c:v>6</c:v>
                </c:pt>
                <c:pt idx="2">
                  <c:v>6</c:v>
                </c:pt>
                <c:pt idx="3">
                  <c:v>5</c:v>
                </c:pt>
                <c:pt idx="4">
                  <c:v>6</c:v>
                </c:pt>
                <c:pt idx="5">
                  <c:v>6</c:v>
                </c:pt>
                <c:pt idx="6">
                  <c:v>4</c:v>
                </c:pt>
                <c:pt idx="7">
                  <c:v>4</c:v>
                </c:pt>
                <c:pt idx="8">
                  <c:v>5</c:v>
                </c:pt>
                <c:pt idx="9">
                  <c:v>5</c:v>
                </c:pt>
                <c:pt idx="10">
                  <c:v>5</c:v>
                </c:pt>
                <c:pt idx="11">
                  <c:v>6</c:v>
                </c:pt>
              </c:numCache>
            </c:numRef>
          </c:val>
          <c:smooth val="0"/>
          <c:extLst>
            <c:ext xmlns:c16="http://schemas.microsoft.com/office/drawing/2014/chart" uri="{C3380CC4-5D6E-409C-BE32-E72D297353CC}">
              <c16:uniqueId val="{0000002F-A99C-404F-8688-411B11963090}"/>
            </c:ext>
          </c:extLst>
        </c:ser>
        <c:ser>
          <c:idx val="4"/>
          <c:order val="4"/>
          <c:tx>
            <c:strRef>
              <c:f>'Ch4. Applications leading Tech'!$AV$154</c:f>
              <c:strCache>
                <c:ptCount val="1"/>
                <c:pt idx="0">
                  <c:v>Handling</c:v>
                </c:pt>
              </c:strCache>
            </c:strRef>
          </c:tx>
          <c:spPr>
            <a:ln w="38100" cap="rnd">
              <a:solidFill>
                <a:schemeClr val="accent5"/>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0-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31-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32-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33-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34-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35-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36-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37-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38-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39-A99C-404F-8688-411B11963090}"/>
                </c:ext>
              </c:extLst>
            </c:dLbl>
            <c:dLbl>
              <c:idx val="10"/>
              <c:layout>
                <c:manualLayout>
                  <c:x val="8.8977216971795309E-2"/>
                  <c:y val="-1.649816705988636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A-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Tech'!$AW$154:$BH$154</c:f>
              <c:numCache>
                <c:formatCode>General</c:formatCode>
                <c:ptCount val="12"/>
                <c:pt idx="0">
                  <c:v>12</c:v>
                </c:pt>
                <c:pt idx="1">
                  <c:v>12</c:v>
                </c:pt>
                <c:pt idx="2">
                  <c:v>12</c:v>
                </c:pt>
                <c:pt idx="3">
                  <c:v>10</c:v>
                </c:pt>
                <c:pt idx="4">
                  <c:v>10</c:v>
                </c:pt>
                <c:pt idx="5">
                  <c:v>10</c:v>
                </c:pt>
                <c:pt idx="6">
                  <c:v>10</c:v>
                </c:pt>
                <c:pt idx="7">
                  <c:v>9</c:v>
                </c:pt>
                <c:pt idx="8">
                  <c:v>9</c:v>
                </c:pt>
                <c:pt idx="9">
                  <c:v>12</c:v>
                </c:pt>
                <c:pt idx="10">
                  <c:v>12</c:v>
                </c:pt>
                <c:pt idx="11">
                  <c:v>12</c:v>
                </c:pt>
              </c:numCache>
            </c:numRef>
          </c:val>
          <c:smooth val="0"/>
          <c:extLst>
            <c:ext xmlns:c16="http://schemas.microsoft.com/office/drawing/2014/chart" uri="{C3380CC4-5D6E-409C-BE32-E72D297353CC}">
              <c16:uniqueId val="{0000003B-A99C-404F-8688-411B11963090}"/>
            </c:ext>
          </c:extLst>
        </c:ser>
        <c:ser>
          <c:idx val="5"/>
          <c:order val="5"/>
          <c:tx>
            <c:strRef>
              <c:f>'Ch4. Applications leading Tech'!$AV$155</c:f>
              <c:strCache>
                <c:ptCount val="1"/>
                <c:pt idx="0">
                  <c:v>Optics</c:v>
                </c:pt>
              </c:strCache>
            </c:strRef>
          </c:tx>
          <c:spPr>
            <a:ln w="38100"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3D-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3E-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3F-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40-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41-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42-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43-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44-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45-A99C-404F-8688-411B11963090}"/>
                </c:ext>
              </c:extLst>
            </c:dLbl>
            <c:dLbl>
              <c:idx val="10"/>
              <c:layout>
                <c:manualLayout>
                  <c:x val="8.8750735064619959E-2"/>
                  <c:y val="0.11904753780775271"/>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6-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Tech'!$AW$155:$BH$155</c:f>
              <c:numCache>
                <c:formatCode>General</c:formatCode>
                <c:ptCount val="12"/>
                <c:pt idx="0">
                  <c:v>2</c:v>
                </c:pt>
                <c:pt idx="1">
                  <c:v>3</c:v>
                </c:pt>
                <c:pt idx="2">
                  <c:v>3</c:v>
                </c:pt>
                <c:pt idx="3">
                  <c:v>4</c:v>
                </c:pt>
                <c:pt idx="4">
                  <c:v>4</c:v>
                </c:pt>
                <c:pt idx="5">
                  <c:v>4</c:v>
                </c:pt>
                <c:pt idx="6">
                  <c:v>6</c:v>
                </c:pt>
                <c:pt idx="7">
                  <c:v>6</c:v>
                </c:pt>
                <c:pt idx="8">
                  <c:v>6</c:v>
                </c:pt>
                <c:pt idx="9">
                  <c:v>7</c:v>
                </c:pt>
                <c:pt idx="10">
                  <c:v>7</c:v>
                </c:pt>
                <c:pt idx="11">
                  <c:v>9</c:v>
                </c:pt>
              </c:numCache>
            </c:numRef>
          </c:val>
          <c:smooth val="0"/>
          <c:extLst>
            <c:ext xmlns:c16="http://schemas.microsoft.com/office/drawing/2014/chart" uri="{C3380CC4-5D6E-409C-BE32-E72D297353CC}">
              <c16:uniqueId val="{00000047-A99C-404F-8688-411B11963090}"/>
            </c:ext>
          </c:extLst>
        </c:ser>
        <c:ser>
          <c:idx val="6"/>
          <c:order val="6"/>
          <c:tx>
            <c:strRef>
              <c:f>'Ch4. Applications leading Tech'!$AV$156</c:f>
              <c:strCache>
                <c:ptCount val="1"/>
                <c:pt idx="0">
                  <c:v>Medical technology</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49-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4A-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4B-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4C-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4D-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4E-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4F-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50-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51-A99C-404F-8688-411B11963090}"/>
                </c:ext>
              </c:extLst>
            </c:dLbl>
            <c:dLbl>
              <c:idx val="10"/>
              <c:layout>
                <c:manualLayout>
                  <c:x val="8.4462151394422313E-2"/>
                  <c:y val="7.682542179053833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2-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Tech'!$AW$156:$BH$156</c:f>
              <c:numCache>
                <c:formatCode>General</c:formatCode>
                <c:ptCount val="12"/>
                <c:pt idx="0">
                  <c:v>9</c:v>
                </c:pt>
                <c:pt idx="1">
                  <c:v>12</c:v>
                </c:pt>
                <c:pt idx="2">
                  <c:v>12</c:v>
                </c:pt>
                <c:pt idx="3">
                  <c:v>6</c:v>
                </c:pt>
                <c:pt idx="4">
                  <c:v>5</c:v>
                </c:pt>
                <c:pt idx="5">
                  <c:v>5</c:v>
                </c:pt>
                <c:pt idx="6">
                  <c:v>5</c:v>
                </c:pt>
                <c:pt idx="7">
                  <c:v>5</c:v>
                </c:pt>
                <c:pt idx="8">
                  <c:v>4</c:v>
                </c:pt>
                <c:pt idx="9">
                  <c:v>4</c:v>
                </c:pt>
                <c:pt idx="10">
                  <c:v>4</c:v>
                </c:pt>
                <c:pt idx="11">
                  <c:v>5</c:v>
                </c:pt>
              </c:numCache>
            </c:numRef>
          </c:val>
          <c:smooth val="0"/>
          <c:extLst>
            <c:ext xmlns:c16="http://schemas.microsoft.com/office/drawing/2014/chart" uri="{C3380CC4-5D6E-409C-BE32-E72D297353CC}">
              <c16:uniqueId val="{00000053-A99C-404F-8688-411B11963090}"/>
            </c:ext>
          </c:extLst>
        </c:ser>
        <c:ser>
          <c:idx val="7"/>
          <c:order val="7"/>
          <c:tx>
            <c:strRef>
              <c:f>'Ch4. Applications leading Tech'!$AV$157</c:f>
              <c:strCache>
                <c:ptCount val="1"/>
                <c:pt idx="0">
                  <c:v>Furniture, games</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4-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55-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56-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57-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58-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59-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5A-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5B-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5C-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5D-A99C-404F-8688-411B11963090}"/>
                </c:ext>
              </c:extLst>
            </c:dLbl>
            <c:dLbl>
              <c:idx val="10"/>
              <c:layout>
                <c:manualLayout>
                  <c:x val="8.7450310758466501E-2"/>
                  <c:y val="-3.3333342082242016E-3"/>
                </c:manualLayout>
              </c:layout>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E-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1"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Tech'!$AW$157:$BH$157</c:f>
              <c:numCache>
                <c:formatCode>General</c:formatCode>
                <c:ptCount val="12"/>
                <c:pt idx="0">
                  <c:v>8</c:v>
                </c:pt>
                <c:pt idx="1">
                  <c:v>8</c:v>
                </c:pt>
                <c:pt idx="2">
                  <c:v>4</c:v>
                </c:pt>
                <c:pt idx="3">
                  <c:v>12</c:v>
                </c:pt>
                <c:pt idx="4">
                  <c:v>2</c:v>
                </c:pt>
                <c:pt idx="5">
                  <c:v>2</c:v>
                </c:pt>
                <c:pt idx="6">
                  <c:v>2</c:v>
                </c:pt>
                <c:pt idx="7">
                  <c:v>2</c:v>
                </c:pt>
                <c:pt idx="8">
                  <c:v>2</c:v>
                </c:pt>
                <c:pt idx="9">
                  <c:v>3</c:v>
                </c:pt>
                <c:pt idx="10">
                  <c:v>3</c:v>
                </c:pt>
                <c:pt idx="11">
                  <c:v>3</c:v>
                </c:pt>
              </c:numCache>
            </c:numRef>
          </c:val>
          <c:smooth val="0"/>
          <c:extLst>
            <c:ext xmlns:c16="http://schemas.microsoft.com/office/drawing/2014/chart" uri="{C3380CC4-5D6E-409C-BE32-E72D297353CC}">
              <c16:uniqueId val="{0000005F-A99C-404F-8688-411B11963090}"/>
            </c:ext>
          </c:extLst>
        </c:ser>
        <c:ser>
          <c:idx val="8"/>
          <c:order val="8"/>
          <c:tx>
            <c:strRef>
              <c:f>'Ch4. Applications leading Tech'!$AV$158</c:f>
              <c:strCache>
                <c:ptCount val="1"/>
                <c:pt idx="0">
                  <c:v>Engines, pumps, turbines</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0-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61-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62-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63-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64-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65-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66-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67-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68-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69-A99C-404F-8688-411B11963090}"/>
                </c:ext>
              </c:extLst>
            </c:dLbl>
            <c:dLbl>
              <c:idx val="10"/>
              <c:layout>
                <c:manualLayout>
                  <c:x val="9.0127404523603627E-2"/>
                  <c:y val="2.986536216938627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A-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Tech'!$AW$158:$BH$158</c:f>
              <c:numCache>
                <c:formatCode>General</c:formatCode>
                <c:ptCount val="12"/>
                <c:pt idx="0">
                  <c:v>10</c:v>
                </c:pt>
                <c:pt idx="1">
                  <c:v>10</c:v>
                </c:pt>
                <c:pt idx="2">
                  <c:v>10</c:v>
                </c:pt>
                <c:pt idx="3">
                  <c:v>12</c:v>
                </c:pt>
                <c:pt idx="4">
                  <c:v>12</c:v>
                </c:pt>
                <c:pt idx="5">
                  <c:v>12</c:v>
                </c:pt>
                <c:pt idx="6">
                  <c:v>12</c:v>
                </c:pt>
                <c:pt idx="7">
                  <c:v>12</c:v>
                </c:pt>
                <c:pt idx="8">
                  <c:v>12</c:v>
                </c:pt>
                <c:pt idx="9">
                  <c:v>12</c:v>
                </c:pt>
                <c:pt idx="10">
                  <c:v>12</c:v>
                </c:pt>
                <c:pt idx="11">
                  <c:v>12</c:v>
                </c:pt>
              </c:numCache>
            </c:numRef>
          </c:val>
          <c:smooth val="0"/>
          <c:extLst>
            <c:ext xmlns:c16="http://schemas.microsoft.com/office/drawing/2014/chart" uri="{C3380CC4-5D6E-409C-BE32-E72D297353CC}">
              <c16:uniqueId val="{0000006B-A99C-404F-8688-411B11963090}"/>
            </c:ext>
          </c:extLst>
        </c:ser>
        <c:ser>
          <c:idx val="9"/>
          <c:order val="9"/>
          <c:tx>
            <c:strRef>
              <c:f>'Ch4. Applications leading Tech'!$AV$159</c:f>
              <c:strCache>
                <c:ptCount val="1"/>
                <c:pt idx="0">
                  <c:v>Computer technology</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C-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6D-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6E-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6F-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70-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71-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72-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73-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74-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75-A99C-404F-8688-411B11963090}"/>
                </c:ext>
              </c:extLst>
            </c:dLbl>
            <c:dLbl>
              <c:idx val="10"/>
              <c:layout>
                <c:manualLayout>
                  <c:x val="8.5759011199297297E-2"/>
                  <c:y val="0.14000017047874555"/>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6-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Tech'!$AW$159:$BH$159</c:f>
              <c:numCache>
                <c:formatCode>General</c:formatCode>
                <c:ptCount val="12"/>
                <c:pt idx="0">
                  <c:v>3</c:v>
                </c:pt>
                <c:pt idx="1">
                  <c:v>2</c:v>
                </c:pt>
                <c:pt idx="2">
                  <c:v>2</c:v>
                </c:pt>
                <c:pt idx="3">
                  <c:v>2</c:v>
                </c:pt>
                <c:pt idx="4">
                  <c:v>3</c:v>
                </c:pt>
                <c:pt idx="5">
                  <c:v>3</c:v>
                </c:pt>
                <c:pt idx="6">
                  <c:v>3</c:v>
                </c:pt>
                <c:pt idx="7">
                  <c:v>3</c:v>
                </c:pt>
                <c:pt idx="8">
                  <c:v>3</c:v>
                </c:pt>
                <c:pt idx="9">
                  <c:v>2</c:v>
                </c:pt>
                <c:pt idx="10">
                  <c:v>2</c:v>
                </c:pt>
                <c:pt idx="11">
                  <c:v>4</c:v>
                </c:pt>
              </c:numCache>
            </c:numRef>
          </c:val>
          <c:smooth val="0"/>
          <c:extLst>
            <c:ext xmlns:c16="http://schemas.microsoft.com/office/drawing/2014/chart" uri="{C3380CC4-5D6E-409C-BE32-E72D297353CC}">
              <c16:uniqueId val="{00000077-A99C-404F-8688-411B11963090}"/>
            </c:ext>
          </c:extLst>
        </c:ser>
        <c:ser>
          <c:idx val="10"/>
          <c:order val="10"/>
          <c:tx>
            <c:strRef>
              <c:f>'Ch4. Applications leading Tech'!$AV$160</c:f>
              <c:strCache>
                <c:ptCount val="1"/>
                <c:pt idx="0">
                  <c:v>IT methods for management</c:v>
                </c:pt>
              </c:strCache>
            </c:strRef>
          </c:tx>
          <c:spPr>
            <a:ln w="38100" cap="rnd">
              <a:solidFill>
                <a:schemeClr val="accent5">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78-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79-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7A-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7B-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7C-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7D-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7E-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7F-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80-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81-A99C-404F-8688-411B11963090}"/>
                </c:ext>
              </c:extLst>
            </c:dLbl>
            <c:dLbl>
              <c:idx val="10"/>
              <c:layout>
                <c:manualLayout>
                  <c:x val="8.6055776892430283E-2"/>
                  <c:y val="-0.44000014298217371"/>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2-A99C-404F-8688-411B11963090}"/>
                </c:ext>
              </c:extLst>
            </c:dLbl>
            <c:spPr>
              <a:noFill/>
              <a:ln>
                <a:noFill/>
              </a:ln>
              <a:effectLst/>
            </c:spPr>
            <c:txPr>
              <a:bodyPr rot="0" spcFirstLastPara="1" vertOverflow="ellipsis" vert="horz" wrap="square" lIns="38100" tIns="19050" rIns="38100" bIns="19050" anchor="ctr" anchorCtr="0">
                <a:spAutoFit/>
              </a:bodyPr>
              <a:lstStyle/>
              <a:p>
                <a:pPr algn="l">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Tech'!$AW$160:$BH$160</c:f>
              <c:numCache>
                <c:formatCode>General</c:formatCode>
                <c:ptCount val="12"/>
                <c:pt idx="0">
                  <c:v>12</c:v>
                </c:pt>
                <c:pt idx="1">
                  <c:v>12</c:v>
                </c:pt>
                <c:pt idx="2">
                  <c:v>12</c:v>
                </c:pt>
                <c:pt idx="3">
                  <c:v>12</c:v>
                </c:pt>
                <c:pt idx="4">
                  <c:v>12</c:v>
                </c:pt>
                <c:pt idx="5">
                  <c:v>12</c:v>
                </c:pt>
                <c:pt idx="6">
                  <c:v>12</c:v>
                </c:pt>
                <c:pt idx="7">
                  <c:v>12</c:v>
                </c:pt>
                <c:pt idx="8">
                  <c:v>12</c:v>
                </c:pt>
                <c:pt idx="9">
                  <c:v>10</c:v>
                </c:pt>
                <c:pt idx="10">
                  <c:v>9</c:v>
                </c:pt>
                <c:pt idx="11">
                  <c:v>2</c:v>
                </c:pt>
              </c:numCache>
            </c:numRef>
          </c:val>
          <c:smooth val="0"/>
          <c:extLst>
            <c:ext xmlns:c16="http://schemas.microsoft.com/office/drawing/2014/chart" uri="{C3380CC4-5D6E-409C-BE32-E72D297353CC}">
              <c16:uniqueId val="{00000083-A99C-404F-8688-411B11963090}"/>
            </c:ext>
          </c:extLst>
        </c:ser>
        <c:ser>
          <c:idx val="11"/>
          <c:order val="11"/>
          <c:tx>
            <c:strRef>
              <c:f>'Ch4. Applications leading Tech'!$AV$161</c:f>
              <c:strCache>
                <c:ptCount val="1"/>
                <c:pt idx="0">
                  <c:v>Electrical machinery, apparatus, energy</c:v>
                </c:pt>
              </c:strCache>
            </c:strRef>
          </c:tx>
          <c:spPr>
            <a:ln w="28575" cap="rnd">
              <a:solidFill>
                <a:schemeClr val="accent6">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4-A99C-404F-8688-411B11963090}"/>
                </c:ext>
              </c:extLst>
            </c:dLbl>
            <c:dLbl>
              <c:idx val="1"/>
              <c:delete val="1"/>
              <c:extLst>
                <c:ext xmlns:c15="http://schemas.microsoft.com/office/drawing/2012/chart" uri="{CE6537A1-D6FC-4f65-9D91-7224C49458BB}"/>
                <c:ext xmlns:c16="http://schemas.microsoft.com/office/drawing/2014/chart" uri="{C3380CC4-5D6E-409C-BE32-E72D297353CC}">
                  <c16:uniqueId val="{00000085-A99C-404F-8688-411B11963090}"/>
                </c:ext>
              </c:extLst>
            </c:dLbl>
            <c:dLbl>
              <c:idx val="2"/>
              <c:delete val="1"/>
              <c:extLst>
                <c:ext xmlns:c15="http://schemas.microsoft.com/office/drawing/2012/chart" uri="{CE6537A1-D6FC-4f65-9D91-7224C49458BB}"/>
                <c:ext xmlns:c16="http://schemas.microsoft.com/office/drawing/2014/chart" uri="{C3380CC4-5D6E-409C-BE32-E72D297353CC}">
                  <c16:uniqueId val="{00000086-A99C-404F-8688-411B11963090}"/>
                </c:ext>
              </c:extLst>
            </c:dLbl>
            <c:dLbl>
              <c:idx val="3"/>
              <c:delete val="1"/>
              <c:extLst>
                <c:ext xmlns:c15="http://schemas.microsoft.com/office/drawing/2012/chart" uri="{CE6537A1-D6FC-4f65-9D91-7224C49458BB}"/>
                <c:ext xmlns:c16="http://schemas.microsoft.com/office/drawing/2014/chart" uri="{C3380CC4-5D6E-409C-BE32-E72D297353CC}">
                  <c16:uniqueId val="{00000087-A99C-404F-8688-411B11963090}"/>
                </c:ext>
              </c:extLst>
            </c:dLbl>
            <c:dLbl>
              <c:idx val="4"/>
              <c:delete val="1"/>
              <c:extLst>
                <c:ext xmlns:c15="http://schemas.microsoft.com/office/drawing/2012/chart" uri="{CE6537A1-D6FC-4f65-9D91-7224C49458BB}"/>
                <c:ext xmlns:c16="http://schemas.microsoft.com/office/drawing/2014/chart" uri="{C3380CC4-5D6E-409C-BE32-E72D297353CC}">
                  <c16:uniqueId val="{00000088-A99C-404F-8688-411B11963090}"/>
                </c:ext>
              </c:extLst>
            </c:dLbl>
            <c:dLbl>
              <c:idx val="5"/>
              <c:delete val="1"/>
              <c:extLst>
                <c:ext xmlns:c15="http://schemas.microsoft.com/office/drawing/2012/chart" uri="{CE6537A1-D6FC-4f65-9D91-7224C49458BB}"/>
                <c:ext xmlns:c16="http://schemas.microsoft.com/office/drawing/2014/chart" uri="{C3380CC4-5D6E-409C-BE32-E72D297353CC}">
                  <c16:uniqueId val="{00000089-A99C-404F-8688-411B11963090}"/>
                </c:ext>
              </c:extLst>
            </c:dLbl>
            <c:dLbl>
              <c:idx val="6"/>
              <c:delete val="1"/>
              <c:extLst>
                <c:ext xmlns:c15="http://schemas.microsoft.com/office/drawing/2012/chart" uri="{CE6537A1-D6FC-4f65-9D91-7224C49458BB}"/>
                <c:ext xmlns:c16="http://schemas.microsoft.com/office/drawing/2014/chart" uri="{C3380CC4-5D6E-409C-BE32-E72D297353CC}">
                  <c16:uniqueId val="{0000008A-A99C-404F-8688-411B11963090}"/>
                </c:ext>
              </c:extLst>
            </c:dLbl>
            <c:dLbl>
              <c:idx val="7"/>
              <c:delete val="1"/>
              <c:extLst>
                <c:ext xmlns:c15="http://schemas.microsoft.com/office/drawing/2012/chart" uri="{CE6537A1-D6FC-4f65-9D91-7224C49458BB}"/>
                <c:ext xmlns:c16="http://schemas.microsoft.com/office/drawing/2014/chart" uri="{C3380CC4-5D6E-409C-BE32-E72D297353CC}">
                  <c16:uniqueId val="{0000008B-A99C-404F-8688-411B11963090}"/>
                </c:ext>
              </c:extLst>
            </c:dLbl>
            <c:dLbl>
              <c:idx val="8"/>
              <c:delete val="1"/>
              <c:extLst>
                <c:ext xmlns:c15="http://schemas.microsoft.com/office/drawing/2012/chart" uri="{CE6537A1-D6FC-4f65-9D91-7224C49458BB}"/>
                <c:ext xmlns:c16="http://schemas.microsoft.com/office/drawing/2014/chart" uri="{C3380CC4-5D6E-409C-BE32-E72D297353CC}">
                  <c16:uniqueId val="{0000008C-A99C-404F-8688-411B11963090}"/>
                </c:ext>
              </c:extLst>
            </c:dLbl>
            <c:dLbl>
              <c:idx val="9"/>
              <c:delete val="1"/>
              <c:extLst>
                <c:ext xmlns:c15="http://schemas.microsoft.com/office/drawing/2012/chart" uri="{CE6537A1-D6FC-4f65-9D91-7224C49458BB}"/>
                <c:ext xmlns:c16="http://schemas.microsoft.com/office/drawing/2014/chart" uri="{C3380CC4-5D6E-409C-BE32-E72D297353CC}">
                  <c16:uniqueId val="{0000008D-A99C-404F-8688-411B11963090}"/>
                </c:ext>
              </c:extLst>
            </c:dLbl>
            <c:dLbl>
              <c:idx val="10"/>
              <c:layout>
                <c:manualLayout>
                  <c:x val="8.6055776892430283E-2"/>
                  <c:y val="-2.095238776105592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E-A99C-404F-8688-411B1196309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Tech'!$AW$149:$BH$149</c:f>
              <c:numCache>
                <c:formatCode>General</c:formatCode>
                <c:ptCount val="12"/>
                <c:pt idx="0">
                  <c:v>2012</c:v>
                </c:pt>
                <c:pt idx="1">
                  <c:v>2013</c:v>
                </c:pt>
                <c:pt idx="2">
                  <c:v>2014</c:v>
                </c:pt>
                <c:pt idx="3">
                  <c:v>2015</c:v>
                </c:pt>
                <c:pt idx="4">
                  <c:v>2016</c:v>
                </c:pt>
                <c:pt idx="5">
                  <c:v>2017</c:v>
                </c:pt>
                <c:pt idx="6">
                  <c:v>2018</c:v>
                </c:pt>
                <c:pt idx="7">
                  <c:v>2019</c:v>
                </c:pt>
                <c:pt idx="8">
                  <c:v>2020</c:v>
                </c:pt>
                <c:pt idx="9">
                  <c:v>2021</c:v>
                </c:pt>
                <c:pt idx="10">
                  <c:v>2022</c:v>
                </c:pt>
                <c:pt idx="11">
                  <c:v>2023</c:v>
                </c:pt>
              </c:numCache>
            </c:numRef>
          </c:cat>
          <c:val>
            <c:numRef>
              <c:f>'Ch4. Applications leading Tech'!$AW$161:$BH$161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smooth val="0"/>
          <c:extLst>
            <c:ext xmlns:c16="http://schemas.microsoft.com/office/drawing/2014/chart" uri="{C3380CC4-5D6E-409C-BE32-E72D297353CC}">
              <c16:uniqueId val="{0000008F-A99C-404F-8688-411B11963090}"/>
            </c:ext>
          </c:extLst>
        </c:ser>
        <c:dLbls>
          <c:showLegendKey val="0"/>
          <c:showVal val="0"/>
          <c:showCatName val="0"/>
          <c:showSerName val="0"/>
          <c:showPercent val="0"/>
          <c:showBubbleSize val="0"/>
        </c:dLbls>
        <c:smooth val="0"/>
        <c:axId val="1801079280"/>
        <c:axId val="1801078736"/>
      </c:lineChart>
      <c:catAx>
        <c:axId val="1801079280"/>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1078736"/>
        <c:crosses val="autoZero"/>
        <c:auto val="1"/>
        <c:lblAlgn val="ctr"/>
        <c:lblOffset val="100"/>
        <c:noMultiLvlLbl val="0"/>
      </c:catAx>
      <c:valAx>
        <c:axId val="1801078736"/>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1079280"/>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24ad37ac-f849-4885-a558-feba366bb966}"/>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MOIP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298E-2"/>
          <c:y val="0.18008873548340701"/>
          <c:w val="0.72913381348441697"/>
          <c:h val="0.81297258675998796"/>
        </c:manualLayout>
      </c:layout>
      <c:lineChart>
        <c:grouping val="standard"/>
        <c:varyColors val="0"/>
        <c:ser>
          <c:idx val="0"/>
          <c:order val="0"/>
          <c:tx>
            <c:strRef>
              <c:f>'Ch4. Applications leading Tech'!$BM$150</c:f>
              <c:strCache>
                <c:ptCount val="1"/>
                <c:pt idx="0">
                  <c:v>Measurement</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01-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02-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03-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04-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05-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06-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07-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08-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09-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0A-9047-4C11-A8AB-36329DB78E10}"/>
                </c:ext>
              </c:extLst>
            </c:dLbl>
            <c:dLbl>
              <c:idx val="11"/>
              <c:layout>
                <c:manualLayout>
                  <c:x val="7.3404291208022554E-2"/>
                  <c:y val="-6.26398070911999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Tech'!$BN$150:$BZ$150</c:f>
              <c:numCache>
                <c:formatCode>General</c:formatCode>
                <c:ptCount val="13"/>
                <c:pt idx="0">
                  <c:v>9</c:v>
                </c:pt>
                <c:pt idx="1">
                  <c:v>7</c:v>
                </c:pt>
                <c:pt idx="2">
                  <c:v>7</c:v>
                </c:pt>
                <c:pt idx="3">
                  <c:v>8</c:v>
                </c:pt>
                <c:pt idx="4">
                  <c:v>8</c:v>
                </c:pt>
                <c:pt idx="5">
                  <c:v>10</c:v>
                </c:pt>
                <c:pt idx="6">
                  <c:v>10</c:v>
                </c:pt>
                <c:pt idx="7">
                  <c:v>10</c:v>
                </c:pt>
                <c:pt idx="8">
                  <c:v>10</c:v>
                </c:pt>
                <c:pt idx="9">
                  <c:v>7</c:v>
                </c:pt>
                <c:pt idx="10">
                  <c:v>8</c:v>
                </c:pt>
                <c:pt idx="11">
                  <c:v>7</c:v>
                </c:pt>
                <c:pt idx="12">
                  <c:v>6</c:v>
                </c:pt>
              </c:numCache>
            </c:numRef>
          </c:val>
          <c:smooth val="0"/>
          <c:extLst>
            <c:ext xmlns:c16="http://schemas.microsoft.com/office/drawing/2014/chart" uri="{C3380CC4-5D6E-409C-BE32-E72D297353CC}">
              <c16:uniqueId val="{0000000C-9047-4C11-A8AB-36329DB78E10}"/>
            </c:ext>
          </c:extLst>
        </c:ser>
        <c:ser>
          <c:idx val="1"/>
          <c:order val="1"/>
          <c:tx>
            <c:strRef>
              <c:f>'Ch4. Applications leading Tech'!$BM$151</c:f>
              <c:strCache>
                <c:ptCount val="1"/>
                <c:pt idx="0">
                  <c:v>Other special machines</c:v>
                </c:pt>
              </c:strCache>
            </c:strRef>
          </c:tx>
          <c:spPr>
            <a:ln w="38100" cap="rnd">
              <a:solidFill>
                <a:schemeClr val="accent2"/>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0E-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0F-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10-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11-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12-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13-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14-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15-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16-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17-9047-4C11-A8AB-36329DB78E10}"/>
                </c:ext>
              </c:extLst>
            </c:dLbl>
            <c:dLbl>
              <c:idx val="11"/>
              <c:layout>
                <c:manualLayout>
                  <c:x val="7.7898431486064748E-2"/>
                  <c:y val="0.1072763437277248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Tech'!$BN$151:$BZ$151</c:f>
              <c:numCache>
                <c:formatCode>General</c:formatCode>
                <c:ptCount val="13"/>
                <c:pt idx="0">
                  <c:v>12</c:v>
                </c:pt>
                <c:pt idx="1">
                  <c:v>10</c:v>
                </c:pt>
                <c:pt idx="2">
                  <c:v>10</c:v>
                </c:pt>
                <c:pt idx="3">
                  <c:v>12</c:v>
                </c:pt>
                <c:pt idx="4">
                  <c:v>10</c:v>
                </c:pt>
                <c:pt idx="5">
                  <c:v>9</c:v>
                </c:pt>
                <c:pt idx="6">
                  <c:v>9</c:v>
                </c:pt>
                <c:pt idx="7">
                  <c:v>9</c:v>
                </c:pt>
                <c:pt idx="8">
                  <c:v>9</c:v>
                </c:pt>
                <c:pt idx="9">
                  <c:v>10</c:v>
                </c:pt>
                <c:pt idx="10">
                  <c:v>12</c:v>
                </c:pt>
                <c:pt idx="11">
                  <c:v>10</c:v>
                </c:pt>
                <c:pt idx="12">
                  <c:v>12</c:v>
                </c:pt>
              </c:numCache>
            </c:numRef>
          </c:val>
          <c:smooth val="0"/>
          <c:extLst>
            <c:ext xmlns:c16="http://schemas.microsoft.com/office/drawing/2014/chart" uri="{C3380CC4-5D6E-409C-BE32-E72D297353CC}">
              <c16:uniqueId val="{00000019-9047-4C11-A8AB-36329DB78E10}"/>
            </c:ext>
          </c:extLst>
        </c:ser>
        <c:ser>
          <c:idx val="2"/>
          <c:order val="2"/>
          <c:tx>
            <c:strRef>
              <c:f>'Ch4. Applications leading Tech'!$BM$152</c:f>
              <c:strCache>
                <c:ptCount val="1"/>
                <c:pt idx="0">
                  <c:v>Civil engineering</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1B-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1C-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1D-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1E-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1F-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20-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21-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22-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23-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24-9047-4C11-A8AB-36329DB78E10}"/>
                </c:ext>
              </c:extLst>
            </c:dLbl>
            <c:dLbl>
              <c:idx val="11"/>
              <c:layout>
                <c:manualLayout>
                  <c:x val="7.4902337967369947E-2"/>
                  <c:y val="5.604603338412435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5-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Tech'!$BN$152:$BZ$152</c:f>
              <c:numCache>
                <c:formatCode>General</c:formatCode>
                <c:ptCount val="13"/>
                <c:pt idx="0">
                  <c:v>5</c:v>
                </c:pt>
                <c:pt idx="1">
                  <c:v>5</c:v>
                </c:pt>
                <c:pt idx="2">
                  <c:v>6</c:v>
                </c:pt>
                <c:pt idx="3">
                  <c:v>5</c:v>
                </c:pt>
                <c:pt idx="4">
                  <c:v>6</c:v>
                </c:pt>
                <c:pt idx="5">
                  <c:v>6</c:v>
                </c:pt>
                <c:pt idx="6">
                  <c:v>7</c:v>
                </c:pt>
                <c:pt idx="7">
                  <c:v>8</c:v>
                </c:pt>
                <c:pt idx="8">
                  <c:v>7</c:v>
                </c:pt>
                <c:pt idx="9">
                  <c:v>9</c:v>
                </c:pt>
                <c:pt idx="10">
                  <c:v>10</c:v>
                </c:pt>
                <c:pt idx="11">
                  <c:v>9</c:v>
                </c:pt>
                <c:pt idx="12">
                  <c:v>10</c:v>
                </c:pt>
              </c:numCache>
            </c:numRef>
          </c:val>
          <c:smooth val="0"/>
          <c:extLst>
            <c:ext xmlns:c16="http://schemas.microsoft.com/office/drawing/2014/chart" uri="{C3380CC4-5D6E-409C-BE32-E72D297353CC}">
              <c16:uniqueId val="{00000026-9047-4C11-A8AB-36329DB78E10}"/>
            </c:ext>
          </c:extLst>
        </c:ser>
        <c:ser>
          <c:idx val="3"/>
          <c:order val="3"/>
          <c:tx>
            <c:strRef>
              <c:f>'Ch4. Applications leading Tech'!$BM$153</c:f>
              <c:strCache>
                <c:ptCount val="1"/>
                <c:pt idx="0">
                  <c:v>Digital communication</c:v>
                </c:pt>
              </c:strCache>
            </c:strRef>
          </c:tx>
          <c:spPr>
            <a:ln w="38100"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28-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29-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2A-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2B-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2C-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2D-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2E-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2F-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30-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31-9047-4C11-A8AB-36329DB78E10}"/>
                </c:ext>
              </c:extLst>
            </c:dLbl>
            <c:dLbl>
              <c:idx val="11"/>
              <c:layout>
                <c:manualLayout>
                  <c:x val="7.3404291208022554E-2"/>
                  <c:y val="0.1285764461345683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2-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Tech'!$BN$153:$BZ$153</c:f>
              <c:numCache>
                <c:formatCode>General</c:formatCode>
                <c:ptCount val="13"/>
                <c:pt idx="0">
                  <c:v>6</c:v>
                </c:pt>
                <c:pt idx="1">
                  <c:v>6</c:v>
                </c:pt>
                <c:pt idx="2">
                  <c:v>5</c:v>
                </c:pt>
                <c:pt idx="3">
                  <c:v>7</c:v>
                </c:pt>
                <c:pt idx="4">
                  <c:v>7</c:v>
                </c:pt>
                <c:pt idx="5">
                  <c:v>7</c:v>
                </c:pt>
                <c:pt idx="6">
                  <c:v>8</c:v>
                </c:pt>
                <c:pt idx="7">
                  <c:v>5</c:v>
                </c:pt>
                <c:pt idx="8">
                  <c:v>8</c:v>
                </c:pt>
                <c:pt idx="9">
                  <c:v>8</c:v>
                </c:pt>
                <c:pt idx="10">
                  <c:v>7</c:v>
                </c:pt>
                <c:pt idx="11">
                  <c:v>6</c:v>
                </c:pt>
                <c:pt idx="12">
                  <c:v>8</c:v>
                </c:pt>
              </c:numCache>
            </c:numRef>
          </c:val>
          <c:smooth val="0"/>
          <c:extLst>
            <c:ext xmlns:c16="http://schemas.microsoft.com/office/drawing/2014/chart" uri="{C3380CC4-5D6E-409C-BE32-E72D297353CC}">
              <c16:uniqueId val="{00000033-9047-4C11-A8AB-36329DB78E10}"/>
            </c:ext>
          </c:extLst>
        </c:ser>
        <c:ser>
          <c:idx val="4"/>
          <c:order val="4"/>
          <c:tx>
            <c:strRef>
              <c:f>'Ch4. Applications leading Tech'!$BM$154</c:f>
              <c:strCache>
                <c:ptCount val="1"/>
                <c:pt idx="0">
                  <c:v>Medical technology</c:v>
                </c:pt>
              </c:strCache>
            </c:strRef>
          </c:tx>
          <c:spPr>
            <a:ln w="38100" cap="rnd">
              <a:solidFill>
                <a:schemeClr val="accent5"/>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4-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35-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36-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37-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38-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39-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3A-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3B-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3C-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3D-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3E-9047-4C11-A8AB-36329DB78E10}"/>
                </c:ext>
              </c:extLst>
            </c:dLbl>
            <c:dLbl>
              <c:idx val="11"/>
              <c:layout>
                <c:manualLayout>
                  <c:x val="7.1906244448675147E-2"/>
                  <c:y val="-6.0441220900946199E-1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F-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Tech'!$BN$154:$BZ$154</c:f>
              <c:numCache>
                <c:formatCode>General</c:formatCode>
                <c:ptCount val="13"/>
                <c:pt idx="0">
                  <c:v>12</c:v>
                </c:pt>
                <c:pt idx="1">
                  <c:v>12</c:v>
                </c:pt>
                <c:pt idx="2">
                  <c:v>9</c:v>
                </c:pt>
                <c:pt idx="3">
                  <c:v>9</c:v>
                </c:pt>
                <c:pt idx="4">
                  <c:v>9</c:v>
                </c:pt>
                <c:pt idx="5">
                  <c:v>8</c:v>
                </c:pt>
                <c:pt idx="6">
                  <c:v>6</c:v>
                </c:pt>
                <c:pt idx="7">
                  <c:v>7</c:v>
                </c:pt>
                <c:pt idx="8">
                  <c:v>4</c:v>
                </c:pt>
                <c:pt idx="9">
                  <c:v>4</c:v>
                </c:pt>
                <c:pt idx="10">
                  <c:v>5</c:v>
                </c:pt>
                <c:pt idx="11">
                  <c:v>5</c:v>
                </c:pt>
                <c:pt idx="12">
                  <c:v>5</c:v>
                </c:pt>
              </c:numCache>
            </c:numRef>
          </c:val>
          <c:smooth val="0"/>
          <c:extLst>
            <c:ext xmlns:c16="http://schemas.microsoft.com/office/drawing/2014/chart" uri="{C3380CC4-5D6E-409C-BE32-E72D297353CC}">
              <c16:uniqueId val="{00000040-9047-4C11-A8AB-36329DB78E10}"/>
            </c:ext>
          </c:extLst>
        </c:ser>
        <c:ser>
          <c:idx val="5"/>
          <c:order val="5"/>
          <c:tx>
            <c:strRef>
              <c:f>'Ch4. Applications leading Tech'!$BM$155</c:f>
              <c:strCache>
                <c:ptCount val="1"/>
                <c:pt idx="0">
                  <c:v>IT methods for management</c:v>
                </c:pt>
              </c:strCache>
            </c:strRef>
          </c:tx>
          <c:spPr>
            <a:ln w="38100"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1-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42-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43-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44-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45-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46-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47-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48-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49-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4A-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4B-9047-4C11-A8AB-36329DB78E10}"/>
                </c:ext>
              </c:extLst>
            </c:dLbl>
            <c:dLbl>
              <c:idx val="11"/>
              <c:layout>
                <c:manualLayout>
                  <c:x val="3.9570256387753952E-2"/>
                  <c:y val="5.0112364859094184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59304358865528"/>
                      <c:h val="9.4908376239297806E-2"/>
                    </c:manualLayout>
                  </c15:layout>
                </c:ext>
                <c:ext xmlns:c16="http://schemas.microsoft.com/office/drawing/2014/chart" uri="{C3380CC4-5D6E-409C-BE32-E72D297353CC}">
                  <c16:uniqueId val="{0000004C-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Tech'!$BN$155:$BZ$155</c:f>
              <c:numCache>
                <c:formatCode>General</c:formatCode>
                <c:ptCount val="13"/>
                <c:pt idx="0">
                  <c:v>7</c:v>
                </c:pt>
                <c:pt idx="1">
                  <c:v>9</c:v>
                </c:pt>
                <c:pt idx="2">
                  <c:v>8</c:v>
                </c:pt>
                <c:pt idx="3">
                  <c:v>6</c:v>
                </c:pt>
                <c:pt idx="4">
                  <c:v>5</c:v>
                </c:pt>
                <c:pt idx="5">
                  <c:v>5</c:v>
                </c:pt>
                <c:pt idx="6">
                  <c:v>4</c:v>
                </c:pt>
                <c:pt idx="7">
                  <c:v>4</c:v>
                </c:pt>
                <c:pt idx="8">
                  <c:v>3</c:v>
                </c:pt>
                <c:pt idx="9">
                  <c:v>3</c:v>
                </c:pt>
                <c:pt idx="10">
                  <c:v>3</c:v>
                </c:pt>
                <c:pt idx="11">
                  <c:v>3</c:v>
                </c:pt>
                <c:pt idx="12">
                  <c:v>4</c:v>
                </c:pt>
              </c:numCache>
            </c:numRef>
          </c:val>
          <c:smooth val="0"/>
          <c:extLst>
            <c:ext xmlns:c16="http://schemas.microsoft.com/office/drawing/2014/chart" uri="{C3380CC4-5D6E-409C-BE32-E72D297353CC}">
              <c16:uniqueId val="{0000004D-9047-4C11-A8AB-36329DB78E10}"/>
            </c:ext>
          </c:extLst>
        </c:ser>
        <c:ser>
          <c:idx val="6"/>
          <c:order val="6"/>
          <c:tx>
            <c:strRef>
              <c:f>'Ch4. Applications leading Tech'!$BM$156</c:f>
              <c:strCache>
                <c:ptCount val="1"/>
                <c:pt idx="0">
                  <c:v>Transport</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4F-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50-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51-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52-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53-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54-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55-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56-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57-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58-9047-4C11-A8AB-36329DB78E10}"/>
                </c:ext>
              </c:extLst>
            </c:dLbl>
            <c:dLbl>
              <c:idx val="11"/>
              <c:layout>
                <c:manualLayout>
                  <c:x val="7.3404291208022554E-2"/>
                  <c:y val="-6.593663904336852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9-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Tech'!$BN$156:$BZ$156</c:f>
              <c:numCache>
                <c:formatCode>General</c:formatCode>
                <c:ptCount val="13"/>
                <c:pt idx="0">
                  <c:v>4</c:v>
                </c:pt>
                <c:pt idx="1">
                  <c:v>4</c:v>
                </c:pt>
                <c:pt idx="2">
                  <c:v>3</c:v>
                </c:pt>
                <c:pt idx="3">
                  <c:v>3</c:v>
                </c:pt>
                <c:pt idx="4">
                  <c:v>3</c:v>
                </c:pt>
                <c:pt idx="5">
                  <c:v>3</c:v>
                </c:pt>
                <c:pt idx="6">
                  <c:v>5</c:v>
                </c:pt>
                <c:pt idx="7">
                  <c:v>6</c:v>
                </c:pt>
                <c:pt idx="8">
                  <c:v>6</c:v>
                </c:pt>
                <c:pt idx="9">
                  <c:v>6</c:v>
                </c:pt>
                <c:pt idx="10">
                  <c:v>6</c:v>
                </c:pt>
                <c:pt idx="11">
                  <c:v>8</c:v>
                </c:pt>
                <c:pt idx="12">
                  <c:v>7</c:v>
                </c:pt>
              </c:numCache>
            </c:numRef>
          </c:val>
          <c:smooth val="0"/>
          <c:extLst>
            <c:ext xmlns:c16="http://schemas.microsoft.com/office/drawing/2014/chart" uri="{C3380CC4-5D6E-409C-BE32-E72D297353CC}">
              <c16:uniqueId val="{0000005A-9047-4C11-A8AB-36329DB78E10}"/>
            </c:ext>
          </c:extLst>
        </c:ser>
        <c:ser>
          <c:idx val="7"/>
          <c:order val="7"/>
          <c:tx>
            <c:strRef>
              <c:f>'Ch4. Applications leading Tech'!$BM$157</c:f>
              <c:strCache>
                <c:ptCount val="1"/>
                <c:pt idx="0">
                  <c:v>Semiconductors</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B-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5C-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5D-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5E-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5F-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60-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61-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62-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63-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64-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65-9047-4C11-A8AB-36329DB78E10}"/>
                </c:ext>
              </c:extLst>
            </c:dLbl>
            <c:dLbl>
              <c:idx val="11"/>
              <c:layout>
                <c:manualLayout>
                  <c:x val="7.3404291208022554E-2"/>
                  <c:y val="-6.5936639043368453E-2"/>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6-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Tech'!$BN$157:$BZ$157</c:f>
              <c:numCache>
                <c:formatCode>General</c:formatCode>
                <c:ptCount val="13"/>
                <c:pt idx="0">
                  <c:v>2</c:v>
                </c:pt>
                <c:pt idx="1">
                  <c:v>3</c:v>
                </c:pt>
                <c:pt idx="2">
                  <c:v>4</c:v>
                </c:pt>
                <c:pt idx="3">
                  <c:v>4</c:v>
                </c:pt>
                <c:pt idx="4">
                  <c:v>4</c:v>
                </c:pt>
                <c:pt idx="5">
                  <c:v>4</c:v>
                </c:pt>
                <c:pt idx="6">
                  <c:v>3</c:v>
                </c:pt>
                <c:pt idx="7">
                  <c:v>3</c:v>
                </c:pt>
                <c:pt idx="8">
                  <c:v>5</c:v>
                </c:pt>
                <c:pt idx="9">
                  <c:v>5</c:v>
                </c:pt>
                <c:pt idx="10">
                  <c:v>4</c:v>
                </c:pt>
                <c:pt idx="11">
                  <c:v>4</c:v>
                </c:pt>
                <c:pt idx="12">
                  <c:v>3</c:v>
                </c:pt>
              </c:numCache>
            </c:numRef>
          </c:val>
          <c:smooth val="0"/>
          <c:extLst>
            <c:ext xmlns:c16="http://schemas.microsoft.com/office/drawing/2014/chart" uri="{C3380CC4-5D6E-409C-BE32-E72D297353CC}">
              <c16:uniqueId val="{00000067-9047-4C11-A8AB-36329DB78E10}"/>
            </c:ext>
          </c:extLst>
        </c:ser>
        <c:ser>
          <c:idx val="8"/>
          <c:order val="8"/>
          <c:tx>
            <c:strRef>
              <c:f>'Ch4. Applications leading Tech'!$BM$158</c:f>
              <c:strCache>
                <c:ptCount val="1"/>
                <c:pt idx="0">
                  <c:v>Audio-visual technology</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8-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69-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6A-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6B-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6C-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6D-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6E-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6F-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70-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71-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72-9047-4C11-A8AB-36329DB78E10}"/>
                </c:ext>
              </c:extLst>
            </c:dLbl>
            <c:dLbl>
              <c:idx val="11"/>
              <c:layout>
                <c:manualLayout>
                  <c:x val="7.4902337967369947E-2"/>
                  <c:y val="-0.19163736200930212"/>
                </c:manualLayout>
              </c:layout>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3-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00" b="0" i="1"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Tech'!$BN$158:$BZ$158</c:f>
              <c:numCache>
                <c:formatCode>General</c:formatCode>
                <c:ptCount val="13"/>
                <c:pt idx="0">
                  <c:v>8</c:v>
                </c:pt>
                <c:pt idx="1">
                  <c:v>8</c:v>
                </c:pt>
                <c:pt idx="2">
                  <c:v>12</c:v>
                </c:pt>
                <c:pt idx="3">
                  <c:v>10</c:v>
                </c:pt>
                <c:pt idx="4">
                  <c:v>12</c:v>
                </c:pt>
                <c:pt idx="5">
                  <c:v>12</c:v>
                </c:pt>
                <c:pt idx="6">
                  <c:v>12</c:v>
                </c:pt>
                <c:pt idx="7">
                  <c:v>12</c:v>
                </c:pt>
                <c:pt idx="8">
                  <c:v>12</c:v>
                </c:pt>
                <c:pt idx="9">
                  <c:v>12</c:v>
                </c:pt>
                <c:pt idx="10">
                  <c:v>9</c:v>
                </c:pt>
                <c:pt idx="11">
                  <c:v>12</c:v>
                </c:pt>
                <c:pt idx="12">
                  <c:v>9</c:v>
                </c:pt>
              </c:numCache>
            </c:numRef>
          </c:val>
          <c:smooth val="0"/>
          <c:extLst>
            <c:ext xmlns:c16="http://schemas.microsoft.com/office/drawing/2014/chart" uri="{C3380CC4-5D6E-409C-BE32-E72D297353CC}">
              <c16:uniqueId val="{00000074-9047-4C11-A8AB-36329DB78E10}"/>
            </c:ext>
          </c:extLst>
        </c:ser>
        <c:ser>
          <c:idx val="9"/>
          <c:order val="9"/>
          <c:tx>
            <c:strRef>
              <c:f>'Ch4. Applications leading Tech'!$BM$159</c:f>
              <c:strCache>
                <c:ptCount val="1"/>
                <c:pt idx="0">
                  <c:v>Computer technology</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5-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76-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77-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78-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79-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7A-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7B-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7C-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7D-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7E-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7F-9047-4C11-A8AB-36329DB78E10}"/>
                </c:ext>
              </c:extLst>
            </c:dLbl>
            <c:dLbl>
              <c:idx val="11"/>
              <c:layout>
                <c:manualLayout>
                  <c:x val="7.2102874246596158E-2"/>
                  <c:y val="3.4519991416621775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0-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Tech'!$BN$159:$BZ$159</c:f>
              <c:numCache>
                <c:formatCode>General</c:formatCode>
                <c:ptCount val="13"/>
                <c:pt idx="0">
                  <c:v>3</c:v>
                </c:pt>
                <c:pt idx="1">
                  <c:v>2</c:v>
                </c:pt>
                <c:pt idx="2">
                  <c:v>2</c:v>
                </c:pt>
                <c:pt idx="3">
                  <c:v>2</c:v>
                </c:pt>
                <c:pt idx="4">
                  <c:v>2</c:v>
                </c:pt>
                <c:pt idx="5">
                  <c:v>2</c:v>
                </c:pt>
                <c:pt idx="6">
                  <c:v>2</c:v>
                </c:pt>
                <c:pt idx="7">
                  <c:v>2</c:v>
                </c:pt>
                <c:pt idx="8">
                  <c:v>2</c:v>
                </c:pt>
                <c:pt idx="9">
                  <c:v>2</c:v>
                </c:pt>
                <c:pt idx="10">
                  <c:v>2</c:v>
                </c:pt>
                <c:pt idx="11">
                  <c:v>2</c:v>
                </c:pt>
                <c:pt idx="12">
                  <c:v>2</c:v>
                </c:pt>
              </c:numCache>
            </c:numRef>
          </c:val>
          <c:smooth val="0"/>
          <c:extLst>
            <c:ext xmlns:c16="http://schemas.microsoft.com/office/drawing/2014/chart" uri="{C3380CC4-5D6E-409C-BE32-E72D297353CC}">
              <c16:uniqueId val="{00000081-9047-4C11-A8AB-36329DB78E10}"/>
            </c:ext>
          </c:extLst>
        </c:ser>
        <c:ser>
          <c:idx val="11"/>
          <c:order val="10"/>
          <c:tx>
            <c:strRef>
              <c:f>'Ch4. Applications leading Tech'!$BM$160</c:f>
              <c:strCache>
                <c:ptCount val="1"/>
                <c:pt idx="0">
                  <c:v>Electrical machinery, apparatus, energy</c:v>
                </c:pt>
              </c:strCache>
            </c:strRef>
          </c:tx>
          <c:spPr>
            <a:ln w="38100" cap="rnd">
              <a:solidFill>
                <a:schemeClr val="accent6">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2-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83-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84-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85-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86-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87-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88-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89-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8A-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8B-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8C-9047-4C11-A8AB-36329DB78E10}"/>
                </c:ext>
              </c:extLst>
            </c:dLbl>
            <c:dLbl>
              <c:idx val="11"/>
              <c:layout>
                <c:manualLayout>
                  <c:x val="7.2102632704150335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D-9047-4C11-A8AB-36329DB78E10}"/>
                </c:ext>
              </c:extLst>
            </c:dLbl>
            <c:spPr>
              <a:noFill/>
              <a:ln>
                <a:noFill/>
              </a:ln>
              <a:effectLst/>
            </c:spPr>
            <c:txPr>
              <a:bodyPr rot="0" spcFirstLastPara="1" vertOverflow="ellipsis" vert="horz" wrap="square" lIns="38100" tIns="19050" rIns="38100" bIns="19050" anchor="ctr" anchorCtr="0">
                <a:spAutoFit/>
              </a:bodyPr>
              <a:lstStyle/>
              <a:p>
                <a:pPr algn="l">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Tech'!$BN$160:$BZ$160</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8E-9047-4C11-A8AB-36329DB78E10}"/>
            </c:ext>
          </c:extLst>
        </c:ser>
        <c:ser>
          <c:idx val="10"/>
          <c:order val="11"/>
          <c:tx>
            <c:strRef>
              <c:f>'Ch4. Applications leading Tech'!$BM$161</c:f>
              <c:strCache>
                <c:ptCount val="1"/>
                <c:pt idx="0">
                  <c:v>Optics</c:v>
                </c:pt>
              </c:strCache>
            </c:strRef>
          </c:tx>
          <c:spPr>
            <a:ln w="38100"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F-9047-4C11-A8AB-36329DB78E10}"/>
                </c:ext>
              </c:extLst>
            </c:dLbl>
            <c:dLbl>
              <c:idx val="1"/>
              <c:delete val="1"/>
              <c:extLst>
                <c:ext xmlns:c15="http://schemas.microsoft.com/office/drawing/2012/chart" uri="{CE6537A1-D6FC-4f65-9D91-7224C49458BB}"/>
                <c:ext xmlns:c16="http://schemas.microsoft.com/office/drawing/2014/chart" uri="{C3380CC4-5D6E-409C-BE32-E72D297353CC}">
                  <c16:uniqueId val="{00000090-9047-4C11-A8AB-36329DB78E10}"/>
                </c:ext>
              </c:extLst>
            </c:dLbl>
            <c:dLbl>
              <c:idx val="2"/>
              <c:delete val="1"/>
              <c:extLst>
                <c:ext xmlns:c15="http://schemas.microsoft.com/office/drawing/2012/chart" uri="{CE6537A1-D6FC-4f65-9D91-7224C49458BB}"/>
                <c:ext xmlns:c16="http://schemas.microsoft.com/office/drawing/2014/chart" uri="{C3380CC4-5D6E-409C-BE32-E72D297353CC}">
                  <c16:uniqueId val="{00000091-9047-4C11-A8AB-36329DB78E10}"/>
                </c:ext>
              </c:extLst>
            </c:dLbl>
            <c:dLbl>
              <c:idx val="3"/>
              <c:delete val="1"/>
              <c:extLst>
                <c:ext xmlns:c15="http://schemas.microsoft.com/office/drawing/2012/chart" uri="{CE6537A1-D6FC-4f65-9D91-7224C49458BB}"/>
                <c:ext xmlns:c16="http://schemas.microsoft.com/office/drawing/2014/chart" uri="{C3380CC4-5D6E-409C-BE32-E72D297353CC}">
                  <c16:uniqueId val="{00000092-9047-4C11-A8AB-36329DB78E10}"/>
                </c:ext>
              </c:extLst>
            </c:dLbl>
            <c:dLbl>
              <c:idx val="4"/>
              <c:delete val="1"/>
              <c:extLst>
                <c:ext xmlns:c15="http://schemas.microsoft.com/office/drawing/2012/chart" uri="{CE6537A1-D6FC-4f65-9D91-7224C49458BB}"/>
                <c:ext xmlns:c16="http://schemas.microsoft.com/office/drawing/2014/chart" uri="{C3380CC4-5D6E-409C-BE32-E72D297353CC}">
                  <c16:uniqueId val="{00000093-9047-4C11-A8AB-36329DB78E10}"/>
                </c:ext>
              </c:extLst>
            </c:dLbl>
            <c:dLbl>
              <c:idx val="5"/>
              <c:delete val="1"/>
              <c:extLst>
                <c:ext xmlns:c15="http://schemas.microsoft.com/office/drawing/2012/chart" uri="{CE6537A1-D6FC-4f65-9D91-7224C49458BB}"/>
                <c:ext xmlns:c16="http://schemas.microsoft.com/office/drawing/2014/chart" uri="{C3380CC4-5D6E-409C-BE32-E72D297353CC}">
                  <c16:uniqueId val="{00000094-9047-4C11-A8AB-36329DB78E10}"/>
                </c:ext>
              </c:extLst>
            </c:dLbl>
            <c:dLbl>
              <c:idx val="6"/>
              <c:delete val="1"/>
              <c:extLst>
                <c:ext xmlns:c15="http://schemas.microsoft.com/office/drawing/2012/chart" uri="{CE6537A1-D6FC-4f65-9D91-7224C49458BB}"/>
                <c:ext xmlns:c16="http://schemas.microsoft.com/office/drawing/2014/chart" uri="{C3380CC4-5D6E-409C-BE32-E72D297353CC}">
                  <c16:uniqueId val="{00000095-9047-4C11-A8AB-36329DB78E10}"/>
                </c:ext>
              </c:extLst>
            </c:dLbl>
            <c:dLbl>
              <c:idx val="7"/>
              <c:delete val="1"/>
              <c:extLst>
                <c:ext xmlns:c15="http://schemas.microsoft.com/office/drawing/2012/chart" uri="{CE6537A1-D6FC-4f65-9D91-7224C49458BB}"/>
                <c:ext xmlns:c16="http://schemas.microsoft.com/office/drawing/2014/chart" uri="{C3380CC4-5D6E-409C-BE32-E72D297353CC}">
                  <c16:uniqueId val="{00000096-9047-4C11-A8AB-36329DB78E10}"/>
                </c:ext>
              </c:extLst>
            </c:dLbl>
            <c:dLbl>
              <c:idx val="8"/>
              <c:delete val="1"/>
              <c:extLst>
                <c:ext xmlns:c15="http://schemas.microsoft.com/office/drawing/2012/chart" uri="{CE6537A1-D6FC-4f65-9D91-7224C49458BB}"/>
                <c:ext xmlns:c16="http://schemas.microsoft.com/office/drawing/2014/chart" uri="{C3380CC4-5D6E-409C-BE32-E72D297353CC}">
                  <c16:uniqueId val="{00000097-9047-4C11-A8AB-36329DB78E10}"/>
                </c:ext>
              </c:extLst>
            </c:dLbl>
            <c:dLbl>
              <c:idx val="9"/>
              <c:delete val="1"/>
              <c:extLst>
                <c:ext xmlns:c15="http://schemas.microsoft.com/office/drawing/2012/chart" uri="{CE6537A1-D6FC-4f65-9D91-7224C49458BB}"/>
                <c:ext xmlns:c16="http://schemas.microsoft.com/office/drawing/2014/chart" uri="{C3380CC4-5D6E-409C-BE32-E72D297353CC}">
                  <c16:uniqueId val="{00000098-9047-4C11-A8AB-36329DB78E10}"/>
                </c:ext>
              </c:extLst>
            </c:dLbl>
            <c:dLbl>
              <c:idx val="10"/>
              <c:delete val="1"/>
              <c:extLst>
                <c:ext xmlns:c15="http://schemas.microsoft.com/office/drawing/2012/chart" uri="{CE6537A1-D6FC-4f65-9D91-7224C49458BB}"/>
                <c:ext xmlns:c16="http://schemas.microsoft.com/office/drawing/2014/chart" uri="{C3380CC4-5D6E-409C-BE32-E72D297353CC}">
                  <c16:uniqueId val="{00000099-9047-4C11-A8AB-36329DB78E10}"/>
                </c:ext>
              </c:extLst>
            </c:dLbl>
            <c:dLbl>
              <c:idx val="11"/>
              <c:layout>
                <c:manualLayout>
                  <c:x val="7.6971647754711006E-2"/>
                  <c:y val="2.647286232364622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9A-9047-4C11-A8AB-36329DB78E10}"/>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Tech'!$BN$149:$BZ$149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Tech'!$BN$161:$BZ$161</c:f>
              <c:numCache>
                <c:formatCode>General</c:formatCode>
                <c:ptCount val="13"/>
                <c:pt idx="0">
                  <c:v>10</c:v>
                </c:pt>
                <c:pt idx="1">
                  <c:v>12</c:v>
                </c:pt>
                <c:pt idx="2">
                  <c:v>12</c:v>
                </c:pt>
                <c:pt idx="3">
                  <c:v>12</c:v>
                </c:pt>
                <c:pt idx="4">
                  <c:v>12</c:v>
                </c:pt>
                <c:pt idx="5">
                  <c:v>12</c:v>
                </c:pt>
                <c:pt idx="6">
                  <c:v>12</c:v>
                </c:pt>
                <c:pt idx="7">
                  <c:v>12</c:v>
                </c:pt>
                <c:pt idx="8">
                  <c:v>12</c:v>
                </c:pt>
                <c:pt idx="9">
                  <c:v>12</c:v>
                </c:pt>
                <c:pt idx="10">
                  <c:v>12</c:v>
                </c:pt>
                <c:pt idx="11">
                  <c:v>12</c:v>
                </c:pt>
                <c:pt idx="12">
                  <c:v>12</c:v>
                </c:pt>
              </c:numCache>
            </c:numRef>
          </c:val>
          <c:smooth val="0"/>
          <c:extLst>
            <c:ext xmlns:c16="http://schemas.microsoft.com/office/drawing/2014/chart" uri="{C3380CC4-5D6E-409C-BE32-E72D297353CC}">
              <c16:uniqueId val="{0000009B-9047-4C11-A8AB-36329DB78E10}"/>
            </c:ext>
          </c:extLst>
        </c:ser>
        <c:dLbls>
          <c:showLegendKey val="0"/>
          <c:showVal val="0"/>
          <c:showCatName val="0"/>
          <c:showSerName val="0"/>
          <c:showPercent val="0"/>
          <c:showBubbleSize val="0"/>
        </c:dLbls>
        <c:smooth val="0"/>
        <c:axId val="1801075472"/>
        <c:axId val="1801074928"/>
      </c:lineChart>
      <c:catAx>
        <c:axId val="1801075472"/>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1074928"/>
        <c:crosses val="autoZero"/>
        <c:auto val="1"/>
        <c:lblAlgn val="ctr"/>
        <c:lblOffset val="100"/>
        <c:noMultiLvlLbl val="0"/>
      </c:catAx>
      <c:valAx>
        <c:axId val="1801074928"/>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1075472"/>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5be32535-b083-4300-a72a-3046745e1570}"/>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CNIPA - leading fields</a:t>
            </a:r>
          </a:p>
        </c:rich>
      </c:tx>
      <c:overlay val="0"/>
      <c:spPr>
        <a:noFill/>
        <a:ln>
          <a:noFill/>
        </a:ln>
        <a:effectLst/>
      </c:spPr>
    </c:title>
    <c:autoTitleDeleted val="0"/>
    <c:plotArea>
      <c:layout>
        <c:manualLayout>
          <c:layoutTarget val="inner"/>
          <c:xMode val="edge"/>
          <c:yMode val="edge"/>
          <c:x val="3.1496068199486298E-2"/>
          <c:y val="0.18008873548340701"/>
          <c:w val="0.72913381348441697"/>
          <c:h val="0.80932067110845396"/>
        </c:manualLayout>
      </c:layout>
      <c:lineChart>
        <c:grouping val="standard"/>
        <c:varyColors val="0"/>
        <c:ser>
          <c:idx val="0"/>
          <c:order val="0"/>
          <c:tx>
            <c:strRef>
              <c:f>'Ch4. Applications leading Tech'!$CE$150</c:f>
              <c:strCache>
                <c:ptCount val="1"/>
                <c:pt idx="0">
                  <c:v>Digital communication</c:v>
                </c:pt>
              </c:strCache>
            </c:strRef>
          </c:tx>
          <c:spPr>
            <a:ln w="38100" cap="rnd" cmpd="sng" algn="ctr">
              <a:solidFill>
                <a:schemeClr val="accent1"/>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01-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02-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03-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04-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05-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06-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07-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08-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09-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0A-59C2-45B8-858B-DFE0D2D41885}"/>
                </c:ext>
              </c:extLst>
            </c:dLbl>
            <c:dLbl>
              <c:idx val="11"/>
              <c:layout>
                <c:manualLayout>
                  <c:x val="8.986733579975989E-2"/>
                  <c:y val="6.5040650406503467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59C2-45B8-858B-DFE0D2D41885}"/>
                </c:ext>
              </c:extLst>
            </c:dLbl>
            <c:spPr>
              <a:noFill/>
              <a:ln>
                <a:noFill/>
              </a:ln>
              <a:effectLst/>
            </c:spPr>
            <c:txPr>
              <a:bodyPr rot="0" spcFirstLastPara="1" vertOverflow="ellipsis" vert="horz" wrap="square" lIns="38100" tIns="19050" rIns="38100" bIns="19050" anchor="ctr" anchorCtr="0">
                <a:spAutoFit/>
              </a:bodyPr>
              <a:lstStyle/>
              <a:p>
                <a:pPr algn="l">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Tech'!$CF$150:$CR$150</c:f>
              <c:numCache>
                <c:formatCode>General</c:formatCode>
                <c:ptCount val="13"/>
                <c:pt idx="0">
                  <c:v>4</c:v>
                </c:pt>
                <c:pt idx="1">
                  <c:v>4</c:v>
                </c:pt>
                <c:pt idx="2">
                  <c:v>9</c:v>
                </c:pt>
                <c:pt idx="3">
                  <c:v>11</c:v>
                </c:pt>
                <c:pt idx="4">
                  <c:v>9</c:v>
                </c:pt>
                <c:pt idx="5">
                  <c:v>9</c:v>
                </c:pt>
                <c:pt idx="6">
                  <c:v>9</c:v>
                </c:pt>
                <c:pt idx="7">
                  <c:v>7</c:v>
                </c:pt>
                <c:pt idx="8">
                  <c:v>8</c:v>
                </c:pt>
                <c:pt idx="9">
                  <c:v>6</c:v>
                </c:pt>
                <c:pt idx="10">
                  <c:v>4</c:v>
                </c:pt>
                <c:pt idx="11">
                  <c:v>4</c:v>
                </c:pt>
                <c:pt idx="12">
                  <c:v>4</c:v>
                </c:pt>
              </c:numCache>
            </c:numRef>
          </c:val>
          <c:smooth val="0"/>
          <c:extLst>
            <c:ext xmlns:c16="http://schemas.microsoft.com/office/drawing/2014/chart" uri="{C3380CC4-5D6E-409C-BE32-E72D297353CC}">
              <c16:uniqueId val="{0000000C-59C2-45B8-858B-DFE0D2D41885}"/>
            </c:ext>
          </c:extLst>
        </c:ser>
        <c:ser>
          <c:idx val="1"/>
          <c:order val="1"/>
          <c:tx>
            <c:strRef>
              <c:f>'Ch4. Applications leading Tech'!$CE$151</c:f>
              <c:strCache>
                <c:ptCount val="1"/>
                <c:pt idx="0">
                  <c:v>Other special machines</c:v>
                </c:pt>
              </c:strCache>
            </c:strRef>
          </c:tx>
          <c:spPr>
            <a:ln w="38100" cap="rnd" cmpd="sng" algn="ctr">
              <a:solidFill>
                <a:schemeClr val="accent2"/>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0E-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0F-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10-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11-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12-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13-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14-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15-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16-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17-59C2-45B8-858B-DFE0D2D41885}"/>
                </c:ext>
              </c:extLst>
            </c:dLbl>
            <c:dLbl>
              <c:idx val="11"/>
              <c:layout>
                <c:manualLayout>
                  <c:x val="8.7335861551879432E-2"/>
                  <c:y val="2.92682926829267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59C2-45B8-858B-DFE0D2D41885}"/>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Tech'!$CF$151:$CR$151</c:f>
              <c:numCache>
                <c:formatCode>General</c:formatCode>
                <c:ptCount val="13"/>
                <c:pt idx="0">
                  <c:v>11</c:v>
                </c:pt>
                <c:pt idx="1">
                  <c:v>9</c:v>
                </c:pt>
                <c:pt idx="2">
                  <c:v>8</c:v>
                </c:pt>
                <c:pt idx="3">
                  <c:v>7</c:v>
                </c:pt>
                <c:pt idx="4">
                  <c:v>6</c:v>
                </c:pt>
                <c:pt idx="5">
                  <c:v>5</c:v>
                </c:pt>
                <c:pt idx="6">
                  <c:v>5</c:v>
                </c:pt>
                <c:pt idx="7">
                  <c:v>6</c:v>
                </c:pt>
                <c:pt idx="8">
                  <c:v>6</c:v>
                </c:pt>
                <c:pt idx="9">
                  <c:v>10</c:v>
                </c:pt>
                <c:pt idx="10">
                  <c:v>11</c:v>
                </c:pt>
                <c:pt idx="11">
                  <c:v>10</c:v>
                </c:pt>
                <c:pt idx="12">
                  <c:v>11</c:v>
                </c:pt>
              </c:numCache>
            </c:numRef>
          </c:val>
          <c:smooth val="0"/>
          <c:extLst>
            <c:ext xmlns:c16="http://schemas.microsoft.com/office/drawing/2014/chart" uri="{C3380CC4-5D6E-409C-BE32-E72D297353CC}">
              <c16:uniqueId val="{00000019-59C2-45B8-858B-DFE0D2D41885}"/>
            </c:ext>
          </c:extLst>
        </c:ser>
        <c:ser>
          <c:idx val="2"/>
          <c:order val="2"/>
          <c:tx>
            <c:strRef>
              <c:f>'Ch4. Applications leading Tech'!$CE$152</c:f>
              <c:strCache>
                <c:ptCount val="1"/>
                <c:pt idx="0">
                  <c:v>Civil engineering</c:v>
                </c:pt>
              </c:strCache>
            </c:strRef>
          </c:tx>
          <c:spPr>
            <a:ln w="38100" cap="rnd" cmpd="sng" algn="ctr">
              <a:solidFill>
                <a:schemeClr val="accent3"/>
              </a:solidFill>
              <a:prstDash val="solid"/>
              <a:round/>
            </a:ln>
            <a:effectLst/>
          </c:spPr>
          <c:marker>
            <c:symbol val="none"/>
          </c:marker>
          <c:dLbls>
            <c:dLbl>
              <c:idx val="0"/>
              <c:tx>
                <c:rich>
                  <a:bodyPr/>
                  <a:lstStyle/>
                  <a:p>
                    <a:fld id="{8FD68F38-B28D-4648-B29F-C481568E94D8}" type="VALUE">
                      <a:rPr lang="en-US" altLang="zh-CN"/>
                      <a:pPr/>
                      <a:t>[VALUE]</a:t>
                    </a:fld>
                    <a:endParaRPr lang="de-DE"/>
                  </a:p>
                </c:rich>
              </c:tx>
              <c:dLblPos val="l"/>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1B-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1C-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1D-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1E-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1F-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20-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21-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22-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23-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24-59C2-45B8-858B-DFE0D2D41885}"/>
                </c:ext>
              </c:extLst>
            </c:dLbl>
            <c:dLbl>
              <c:idx val="11"/>
              <c:delete val="1"/>
              <c:extLst>
                <c:ext xmlns:c15="http://schemas.microsoft.com/office/drawing/2012/chart" uri="{CE6537A1-D6FC-4f65-9D91-7224C49458BB}"/>
                <c:ext xmlns:c16="http://schemas.microsoft.com/office/drawing/2014/chart" uri="{C3380CC4-5D6E-409C-BE32-E72D297353CC}">
                  <c16:uniqueId val="{00000003-39CC-4388-B09D-A4D59CD1A9FA}"/>
                </c:ext>
              </c:extLst>
            </c:dLbl>
            <c:dLbl>
              <c:idx val="12"/>
              <c:layout>
                <c:manualLayout>
                  <c:x val="3.1643428098507037E-2"/>
                  <c:y val="-1.1923981494340677E-16"/>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2-39CC-4388-B09D-A4D59CD1A9FA}"/>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Tech'!$CF$152:$CR$152</c:f>
              <c:numCache>
                <c:formatCode>General</c:formatCode>
                <c:ptCount val="13"/>
                <c:pt idx="0">
                  <c:v>7</c:v>
                </c:pt>
                <c:pt idx="1">
                  <c:v>8</c:v>
                </c:pt>
                <c:pt idx="2">
                  <c:v>11</c:v>
                </c:pt>
                <c:pt idx="3">
                  <c:v>9</c:v>
                </c:pt>
                <c:pt idx="4">
                  <c:v>7</c:v>
                </c:pt>
                <c:pt idx="5">
                  <c:v>10</c:v>
                </c:pt>
                <c:pt idx="6">
                  <c:v>10</c:v>
                </c:pt>
                <c:pt idx="7">
                  <c:v>4</c:v>
                </c:pt>
                <c:pt idx="8">
                  <c:v>4</c:v>
                </c:pt>
                <c:pt idx="9">
                  <c:v>11</c:v>
                </c:pt>
                <c:pt idx="10">
                  <c:v>6</c:v>
                </c:pt>
                <c:pt idx="11">
                  <c:v>6</c:v>
                </c:pt>
                <c:pt idx="12">
                  <c:v>6</c:v>
                </c:pt>
              </c:numCache>
            </c:numRef>
          </c:val>
          <c:smooth val="0"/>
          <c:extLst>
            <c:ext xmlns:c16="http://schemas.microsoft.com/office/drawing/2014/chart" uri="{C3380CC4-5D6E-409C-BE32-E72D297353CC}">
              <c16:uniqueId val="{00000025-59C2-45B8-858B-DFE0D2D41885}"/>
            </c:ext>
          </c:extLst>
        </c:ser>
        <c:ser>
          <c:idx val="3"/>
          <c:order val="3"/>
          <c:tx>
            <c:strRef>
              <c:f>'Ch4. Applications leading Tech'!$CE$153</c:f>
              <c:strCache>
                <c:ptCount val="1"/>
                <c:pt idx="0">
                  <c:v>Machine tools</c:v>
                </c:pt>
              </c:strCache>
            </c:strRef>
          </c:tx>
          <c:spPr>
            <a:ln w="38100" cap="rnd" cmpd="sng" algn="ctr">
              <a:solidFill>
                <a:schemeClr val="accent4"/>
              </a:solidFill>
              <a:prstDash val="solid"/>
              <a:round/>
            </a:ln>
            <a:effectLst/>
          </c:spPr>
          <c:marker>
            <c:symbol val="none"/>
          </c:marker>
          <c:dLbls>
            <c:dLbl>
              <c:idx val="0"/>
              <c:layout>
                <c:manualLayout>
                  <c:x val="-2.7263379663630856E-2"/>
                  <c:y val="-5.9619907471703387E-17"/>
                </c:manualLayout>
              </c:layout>
              <c:tx>
                <c:rich>
                  <a:bodyPr/>
                  <a:lstStyle/>
                  <a:p>
                    <a:fld id="{001696A8-29C2-42F3-80D1-5D0E7F305A96}" type="VALUE">
                      <a:rPr lang="en-US" altLang="zh-CN"/>
                      <a:pPr/>
                      <a:t>[VALUE]</a:t>
                    </a:fld>
                    <a:endParaRPr lang="de-DE"/>
                  </a:p>
                </c:rich>
              </c:tx>
              <c:dLblPos val="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6-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27-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28-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29-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2A-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2B-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2C-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2D-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2E-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2F-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30-59C2-45B8-858B-DFE0D2D41885}"/>
                </c:ext>
              </c:extLst>
            </c:dLbl>
            <c:dLbl>
              <c:idx val="11"/>
              <c:delete val="1"/>
              <c:extLst>
                <c:ext xmlns:c15="http://schemas.microsoft.com/office/drawing/2012/chart" uri="{CE6537A1-D6FC-4f65-9D91-7224C49458BB}"/>
                <c:ext xmlns:c16="http://schemas.microsoft.com/office/drawing/2014/chart" uri="{C3380CC4-5D6E-409C-BE32-E72D297353CC}">
                  <c16:uniqueId val="{00000001-39CC-4388-B09D-A4D59CD1A9FA}"/>
                </c:ext>
              </c:extLst>
            </c:dLbl>
            <c:dLbl>
              <c:idx val="12"/>
              <c:layout>
                <c:manualLayout>
                  <c:x val="3.4174902346387509E-2"/>
                  <c:y val="-3.2520325203252627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39CC-4388-B09D-A4D59CD1A9FA}"/>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Tech'!$CF$153:$CR$153</c:f>
              <c:numCache>
                <c:formatCode>General</c:formatCode>
                <c:ptCount val="13"/>
                <c:pt idx="0">
                  <c:v>5</c:v>
                </c:pt>
                <c:pt idx="1">
                  <c:v>5</c:v>
                </c:pt>
                <c:pt idx="2">
                  <c:v>7</c:v>
                </c:pt>
                <c:pt idx="3">
                  <c:v>6</c:v>
                </c:pt>
                <c:pt idx="4">
                  <c:v>4</c:v>
                </c:pt>
                <c:pt idx="5">
                  <c:v>6</c:v>
                </c:pt>
                <c:pt idx="6">
                  <c:v>6</c:v>
                </c:pt>
                <c:pt idx="7">
                  <c:v>5</c:v>
                </c:pt>
                <c:pt idx="8">
                  <c:v>5</c:v>
                </c:pt>
                <c:pt idx="9">
                  <c:v>11</c:v>
                </c:pt>
                <c:pt idx="10">
                  <c:v>5</c:v>
                </c:pt>
                <c:pt idx="11">
                  <c:v>5</c:v>
                </c:pt>
                <c:pt idx="12">
                  <c:v>5</c:v>
                </c:pt>
              </c:numCache>
            </c:numRef>
          </c:val>
          <c:smooth val="0"/>
          <c:extLst>
            <c:ext xmlns:c16="http://schemas.microsoft.com/office/drawing/2014/chart" uri="{C3380CC4-5D6E-409C-BE32-E72D297353CC}">
              <c16:uniqueId val="{00000031-59C2-45B8-858B-DFE0D2D41885}"/>
            </c:ext>
          </c:extLst>
        </c:ser>
        <c:ser>
          <c:idx val="4"/>
          <c:order val="4"/>
          <c:tx>
            <c:strRef>
              <c:f>'Ch4. Applications leading Tech'!$CE$154</c:f>
              <c:strCache>
                <c:ptCount val="1"/>
                <c:pt idx="0">
                  <c:v>Basic materials chemistry</c:v>
                </c:pt>
              </c:strCache>
            </c:strRef>
          </c:tx>
          <c:spPr>
            <a:ln w="38100" cap="rnd" cmpd="sng" algn="ctr">
              <a:solidFill>
                <a:schemeClr val="accent5"/>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33-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34-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35-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36-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37-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38-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39-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3A-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3B-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3C-59C2-45B8-858B-DFE0D2D41885}"/>
                </c:ext>
              </c:extLst>
            </c:dLbl>
            <c:dLbl>
              <c:idx val="11"/>
              <c:delete val="1"/>
              <c:extLst>
                <c:ext xmlns:c15="http://schemas.microsoft.com/office/drawing/2012/chart" uri="{CE6537A1-D6FC-4f65-9D91-7224C49458BB}"/>
                <c:ext xmlns:c16="http://schemas.microsoft.com/office/drawing/2014/chart" uri="{C3380CC4-5D6E-409C-BE32-E72D297353CC}">
                  <c16:uniqueId val="{0000003D-59C2-45B8-858B-DFE0D2D41885}"/>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1"/>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Tech'!$CF$154:$CR$154</c:f>
              <c:numCache>
                <c:formatCode>General</c:formatCode>
                <c:ptCount val="13"/>
                <c:pt idx="0">
                  <c:v>9</c:v>
                </c:pt>
                <c:pt idx="1">
                  <c:v>6</c:v>
                </c:pt>
                <c:pt idx="2">
                  <c:v>6</c:v>
                </c:pt>
                <c:pt idx="3">
                  <c:v>8</c:v>
                </c:pt>
                <c:pt idx="4">
                  <c:v>11</c:v>
                </c:pt>
                <c:pt idx="5">
                  <c:v>7</c:v>
                </c:pt>
                <c:pt idx="6">
                  <c:v>7</c:v>
                </c:pt>
                <c:pt idx="7">
                  <c:v>11</c:v>
                </c:pt>
                <c:pt idx="8">
                  <c:v>11</c:v>
                </c:pt>
                <c:pt idx="9">
                  <c:v>5</c:v>
                </c:pt>
                <c:pt idx="10">
                  <c:v>11</c:v>
                </c:pt>
                <c:pt idx="11">
                  <c:v>11</c:v>
                </c:pt>
                <c:pt idx="12">
                  <c:v>11</c:v>
                </c:pt>
              </c:numCache>
            </c:numRef>
          </c:val>
          <c:smooth val="0"/>
          <c:extLst>
            <c:ext xmlns:c16="http://schemas.microsoft.com/office/drawing/2014/chart" uri="{C3380CC4-5D6E-409C-BE32-E72D297353CC}">
              <c16:uniqueId val="{0000003E-59C2-45B8-858B-DFE0D2D41885}"/>
            </c:ext>
          </c:extLst>
        </c:ser>
        <c:ser>
          <c:idx val="5"/>
          <c:order val="5"/>
          <c:tx>
            <c:strRef>
              <c:f>'Ch4. Applications leading Tech'!$CE$155</c:f>
              <c:strCache>
                <c:ptCount val="1"/>
                <c:pt idx="0">
                  <c:v>Food chemistry</c:v>
                </c:pt>
              </c:strCache>
            </c:strRef>
          </c:tx>
          <c:spPr>
            <a:ln w="38100" cap="rnd" cmpd="sng" algn="ctr">
              <a:solidFill>
                <a:schemeClr val="accent6"/>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40-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41-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42-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43-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44-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45-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46-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47-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48-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49-59C2-45B8-858B-DFE0D2D41885}"/>
                </c:ext>
              </c:extLst>
            </c:dLbl>
            <c:dLbl>
              <c:idx val="11"/>
              <c:layout>
                <c:manualLayout>
                  <c:x val="8.8601598675819515E-2"/>
                  <c:y val="1.951219512195110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A-59C2-45B8-858B-DFE0D2D41885}"/>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Tech'!$CF$155:$CR$155</c:f>
              <c:numCache>
                <c:formatCode>General</c:formatCode>
                <c:ptCount val="13"/>
                <c:pt idx="0">
                  <c:v>10</c:v>
                </c:pt>
                <c:pt idx="1">
                  <c:v>7</c:v>
                </c:pt>
                <c:pt idx="2">
                  <c:v>4</c:v>
                </c:pt>
                <c:pt idx="3">
                  <c:v>5</c:v>
                </c:pt>
                <c:pt idx="4">
                  <c:v>5</c:v>
                </c:pt>
                <c:pt idx="5">
                  <c:v>8</c:v>
                </c:pt>
                <c:pt idx="6">
                  <c:v>8</c:v>
                </c:pt>
                <c:pt idx="7">
                  <c:v>11</c:v>
                </c:pt>
                <c:pt idx="8">
                  <c:v>11</c:v>
                </c:pt>
                <c:pt idx="9">
                  <c:v>11</c:v>
                </c:pt>
                <c:pt idx="10">
                  <c:v>11</c:v>
                </c:pt>
                <c:pt idx="11">
                  <c:v>11</c:v>
                </c:pt>
                <c:pt idx="12">
                  <c:v>11</c:v>
                </c:pt>
              </c:numCache>
            </c:numRef>
          </c:val>
          <c:smooth val="0"/>
          <c:extLst>
            <c:ext xmlns:c16="http://schemas.microsoft.com/office/drawing/2014/chart" uri="{C3380CC4-5D6E-409C-BE32-E72D297353CC}">
              <c16:uniqueId val="{0000004B-59C2-45B8-858B-DFE0D2D41885}"/>
            </c:ext>
          </c:extLst>
        </c:ser>
        <c:ser>
          <c:idx val="7"/>
          <c:order val="6"/>
          <c:tx>
            <c:strRef>
              <c:f>'Ch4. Applications leading Tech'!$CE$157</c:f>
              <c:strCache>
                <c:ptCount val="1"/>
                <c:pt idx="0">
                  <c:v>Measurement</c:v>
                </c:pt>
              </c:strCache>
            </c:strRef>
          </c:tx>
          <c:spPr>
            <a:ln w="38100" cap="rnd" cmpd="sng" algn="ctr">
              <a:solidFill>
                <a:schemeClr val="accent2">
                  <a:lumMod val="60000"/>
                </a:schemeClr>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C-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4D-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4E-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4F-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50-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51-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52-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53-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54-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55-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56-59C2-45B8-858B-DFE0D2D41885}"/>
                </c:ext>
              </c:extLst>
            </c:dLbl>
            <c:dLbl>
              <c:idx val="11"/>
              <c:layout>
                <c:manualLayout>
                  <c:x val="9.2398810047640459E-2"/>
                  <c:y val="-5.9619907471703387E-1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7-59C2-45B8-858B-DFE0D2D41885}"/>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Tech'!$CF$157:$CR$157</c:f>
              <c:numCache>
                <c:formatCode>General</c:formatCode>
                <c:ptCount val="13"/>
                <c:pt idx="0">
                  <c:v>2</c:v>
                </c:pt>
                <c:pt idx="1">
                  <c:v>3</c:v>
                </c:pt>
                <c:pt idx="2">
                  <c:v>3</c:v>
                </c:pt>
                <c:pt idx="3">
                  <c:v>3</c:v>
                </c:pt>
                <c:pt idx="4">
                  <c:v>3</c:v>
                </c:pt>
                <c:pt idx="5">
                  <c:v>3</c:v>
                </c:pt>
                <c:pt idx="6">
                  <c:v>3</c:v>
                </c:pt>
                <c:pt idx="7">
                  <c:v>2</c:v>
                </c:pt>
                <c:pt idx="8">
                  <c:v>2</c:v>
                </c:pt>
                <c:pt idx="9">
                  <c:v>8</c:v>
                </c:pt>
                <c:pt idx="10">
                  <c:v>2</c:v>
                </c:pt>
                <c:pt idx="11">
                  <c:v>2</c:v>
                </c:pt>
                <c:pt idx="12">
                  <c:v>2</c:v>
                </c:pt>
              </c:numCache>
            </c:numRef>
          </c:val>
          <c:smooth val="0"/>
          <c:extLst>
            <c:ext xmlns:c16="http://schemas.microsoft.com/office/drawing/2014/chart" uri="{C3380CC4-5D6E-409C-BE32-E72D297353CC}">
              <c16:uniqueId val="{00000058-59C2-45B8-858B-DFE0D2D41885}"/>
            </c:ext>
          </c:extLst>
        </c:ser>
        <c:ser>
          <c:idx val="8"/>
          <c:order val="7"/>
          <c:tx>
            <c:strRef>
              <c:f>'Ch4. Applications leading Tech'!$CE$158</c:f>
              <c:strCache>
                <c:ptCount val="1"/>
                <c:pt idx="0">
                  <c:v>Transport</c:v>
                </c:pt>
              </c:strCache>
            </c:strRef>
          </c:tx>
          <c:spPr>
            <a:ln w="38100" cap="rnd" cmpd="sng" algn="ctr">
              <a:solidFill>
                <a:schemeClr val="accent3">
                  <a:lumMod val="60000"/>
                </a:schemeClr>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9-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5A-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5B-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5C-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5D-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5E-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5F-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60-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61-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62-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63-59C2-45B8-858B-DFE0D2D41885}"/>
                </c:ext>
              </c:extLst>
            </c:dLbl>
            <c:dLbl>
              <c:idx val="11"/>
              <c:layout>
                <c:manualLayout>
                  <c:x val="8.986733579975989E-2"/>
                  <c:y val="4.227642276422764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4-59C2-45B8-858B-DFE0D2D41885}"/>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Tech'!$CF$158:$CR$158</c:f>
              <c:numCache>
                <c:formatCode>General</c:formatCode>
                <c:ptCount val="13"/>
                <c:pt idx="0">
                  <c:v>11</c:v>
                </c:pt>
                <c:pt idx="1">
                  <c:v>11</c:v>
                </c:pt>
                <c:pt idx="2">
                  <c:v>11</c:v>
                </c:pt>
                <c:pt idx="3">
                  <c:v>11</c:v>
                </c:pt>
                <c:pt idx="4">
                  <c:v>11</c:v>
                </c:pt>
                <c:pt idx="5">
                  <c:v>11</c:v>
                </c:pt>
                <c:pt idx="6">
                  <c:v>11</c:v>
                </c:pt>
                <c:pt idx="7">
                  <c:v>8</c:v>
                </c:pt>
                <c:pt idx="8">
                  <c:v>10</c:v>
                </c:pt>
                <c:pt idx="9">
                  <c:v>11</c:v>
                </c:pt>
                <c:pt idx="10">
                  <c:v>9</c:v>
                </c:pt>
                <c:pt idx="11">
                  <c:v>8</c:v>
                </c:pt>
                <c:pt idx="12">
                  <c:v>9</c:v>
                </c:pt>
              </c:numCache>
            </c:numRef>
          </c:val>
          <c:smooth val="0"/>
          <c:extLst>
            <c:ext xmlns:c16="http://schemas.microsoft.com/office/drawing/2014/chart" uri="{C3380CC4-5D6E-409C-BE32-E72D297353CC}">
              <c16:uniqueId val="{00000065-59C2-45B8-858B-DFE0D2D41885}"/>
            </c:ext>
          </c:extLst>
        </c:ser>
        <c:ser>
          <c:idx val="9"/>
          <c:order val="8"/>
          <c:tx>
            <c:strRef>
              <c:f>'Ch4. Applications leading Tech'!$CE$159</c:f>
              <c:strCache>
                <c:ptCount val="1"/>
                <c:pt idx="0">
                  <c:v>Chemical engineering</c:v>
                </c:pt>
              </c:strCache>
            </c:strRef>
          </c:tx>
          <c:spPr>
            <a:ln w="38100" cap="rnd" cmpd="sng" algn="ctr">
              <a:solidFill>
                <a:schemeClr val="accent4">
                  <a:lumMod val="60000"/>
                </a:schemeClr>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66-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67-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68-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69-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6A-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6B-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6C-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6D-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6E-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6F-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70-59C2-45B8-858B-DFE0D2D41885}"/>
                </c:ext>
              </c:extLst>
            </c:dLbl>
            <c:dLbl>
              <c:idx val="11"/>
              <c:layout>
                <c:manualLayout>
                  <c:x val="9.2398810047640459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1-59C2-45B8-858B-DFE0D2D41885}"/>
                </c:ext>
              </c:extLst>
            </c:dLbl>
            <c:dLbl>
              <c:idx val="12"/>
              <c:delete val="1"/>
              <c:extLst>
                <c:ext xmlns:c15="http://schemas.microsoft.com/office/drawing/2012/chart" uri="{CE6537A1-D6FC-4f65-9D91-7224C49458BB}"/>
                <c:ext xmlns:c16="http://schemas.microsoft.com/office/drawing/2014/chart" uri="{C3380CC4-5D6E-409C-BE32-E72D297353CC}">
                  <c16:uniqueId val="{00000004-39CC-4388-B09D-A4D59CD1A9FA}"/>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Tech'!$CF$159:$CR$159</c:f>
              <c:numCache>
                <c:formatCode>General</c:formatCode>
                <c:ptCount val="13"/>
                <c:pt idx="0">
                  <c:v>11</c:v>
                </c:pt>
                <c:pt idx="1">
                  <c:v>11</c:v>
                </c:pt>
                <c:pt idx="2">
                  <c:v>11</c:v>
                </c:pt>
                <c:pt idx="3">
                  <c:v>11</c:v>
                </c:pt>
                <c:pt idx="4">
                  <c:v>11</c:v>
                </c:pt>
                <c:pt idx="5">
                  <c:v>11</c:v>
                </c:pt>
                <c:pt idx="6">
                  <c:v>11</c:v>
                </c:pt>
                <c:pt idx="7">
                  <c:v>9</c:v>
                </c:pt>
                <c:pt idx="8">
                  <c:v>7</c:v>
                </c:pt>
                <c:pt idx="9">
                  <c:v>11</c:v>
                </c:pt>
                <c:pt idx="10">
                  <c:v>7</c:v>
                </c:pt>
                <c:pt idx="11">
                  <c:v>7</c:v>
                </c:pt>
                <c:pt idx="12">
                  <c:v>7</c:v>
                </c:pt>
              </c:numCache>
            </c:numRef>
          </c:val>
          <c:smooth val="0"/>
          <c:extLst>
            <c:ext xmlns:c16="http://schemas.microsoft.com/office/drawing/2014/chart" uri="{C3380CC4-5D6E-409C-BE32-E72D297353CC}">
              <c16:uniqueId val="{00000072-59C2-45B8-858B-DFE0D2D41885}"/>
            </c:ext>
          </c:extLst>
        </c:ser>
        <c:ser>
          <c:idx val="10"/>
          <c:order val="9"/>
          <c:tx>
            <c:strRef>
              <c:f>'Ch4. Applications leading Tech'!$CE$160</c:f>
              <c:strCache>
                <c:ptCount val="1"/>
                <c:pt idx="0">
                  <c:v>Materials, metallurgy</c:v>
                </c:pt>
              </c:strCache>
            </c:strRef>
          </c:tx>
          <c:spPr>
            <a:ln w="38100" cap="rnd" cmpd="sng" algn="ctr">
              <a:solidFill>
                <a:schemeClr val="accent5">
                  <a:lumMod val="60000"/>
                </a:schemeClr>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3-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74-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75-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76-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77-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78-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79-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7A-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7B-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7C-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7D-59C2-45B8-858B-DFE0D2D41885}"/>
                </c:ext>
              </c:extLst>
            </c:dLbl>
            <c:dLbl>
              <c:idx val="11"/>
              <c:layout>
                <c:manualLayout>
                  <c:x val="8.986733579975989E-2"/>
                  <c:y val="-9.105691056910569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E-59C2-45B8-858B-DFE0D2D41885}"/>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Tech'!$CF$160:$CR$160</c:f>
              <c:numCache>
                <c:formatCode>General</c:formatCode>
                <c:ptCount val="13"/>
                <c:pt idx="0">
                  <c:v>6</c:v>
                </c:pt>
                <c:pt idx="1">
                  <c:v>11</c:v>
                </c:pt>
                <c:pt idx="2">
                  <c:v>10</c:v>
                </c:pt>
                <c:pt idx="3">
                  <c:v>10</c:v>
                </c:pt>
                <c:pt idx="4">
                  <c:v>11</c:v>
                </c:pt>
                <c:pt idx="5">
                  <c:v>11</c:v>
                </c:pt>
                <c:pt idx="6">
                  <c:v>11</c:v>
                </c:pt>
                <c:pt idx="7">
                  <c:v>11</c:v>
                </c:pt>
                <c:pt idx="8">
                  <c:v>11</c:v>
                </c:pt>
                <c:pt idx="9">
                  <c:v>11</c:v>
                </c:pt>
                <c:pt idx="10">
                  <c:v>11</c:v>
                </c:pt>
                <c:pt idx="11">
                  <c:v>11</c:v>
                </c:pt>
                <c:pt idx="12">
                  <c:v>10</c:v>
                </c:pt>
              </c:numCache>
            </c:numRef>
          </c:val>
          <c:smooth val="0"/>
          <c:extLst>
            <c:ext xmlns:c16="http://schemas.microsoft.com/office/drawing/2014/chart" uri="{C3380CC4-5D6E-409C-BE32-E72D297353CC}">
              <c16:uniqueId val="{0000007F-59C2-45B8-858B-DFE0D2D41885}"/>
            </c:ext>
          </c:extLst>
        </c:ser>
        <c:ser>
          <c:idx val="11"/>
          <c:order val="10"/>
          <c:tx>
            <c:strRef>
              <c:f>'Ch4. Applications leading Tech'!$CE$161</c:f>
              <c:strCache>
                <c:ptCount val="1"/>
                <c:pt idx="0">
                  <c:v>Electrical machinery, apparatus, energy</c:v>
                </c:pt>
              </c:strCache>
            </c:strRef>
          </c:tx>
          <c:spPr>
            <a:ln w="38100" cap="rnd" cmpd="sng" algn="ctr">
              <a:solidFill>
                <a:schemeClr val="accent6">
                  <a:lumMod val="60000"/>
                </a:schemeClr>
              </a:solidFill>
              <a:prstDash val="solid"/>
              <a:round/>
            </a:ln>
            <a:effectLst/>
          </c:spPr>
          <c:marker>
            <c:symbol val="none"/>
          </c:marker>
          <c:dLbls>
            <c:dLbl>
              <c:idx val="0"/>
              <c:spPr>
                <a:noFill/>
                <a:ln>
                  <a:noFill/>
                </a:ln>
                <a:effectLst/>
              </c:spPr>
              <c:txPr>
                <a:bodyPr rot="0" spcFirstLastPara="0"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0-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81-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82-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83-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84-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85-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86-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87-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88-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89-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8A-59C2-45B8-858B-DFE0D2D41885}"/>
                </c:ext>
              </c:extLst>
            </c:dLbl>
            <c:dLbl>
              <c:idx val="11"/>
              <c:layout>
                <c:manualLayout>
                  <c:x val="8.9234417405619701E-2"/>
                  <c:y val="6.5040650406504065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2027034151680553"/>
                      <c:h val="8.9138211382113822E-2"/>
                    </c:manualLayout>
                  </c15:layout>
                </c:ext>
                <c:ext xmlns:c16="http://schemas.microsoft.com/office/drawing/2014/chart" uri="{C3380CC4-5D6E-409C-BE32-E72D297353CC}">
                  <c16:uniqueId val="{0000008B-59C2-45B8-858B-DFE0D2D41885}"/>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Tech'!$CF$161:$CR$161</c:f>
              <c:numCache>
                <c:formatCode>General</c:formatCode>
                <c:ptCount val="13"/>
                <c:pt idx="0">
                  <c:v>1</c:v>
                </c:pt>
                <c:pt idx="1">
                  <c:v>1</c:v>
                </c:pt>
                <c:pt idx="2">
                  <c:v>1</c:v>
                </c:pt>
                <c:pt idx="3">
                  <c:v>1</c:v>
                </c:pt>
                <c:pt idx="4">
                  <c:v>1</c:v>
                </c:pt>
                <c:pt idx="5">
                  <c:v>2</c:v>
                </c:pt>
                <c:pt idx="6">
                  <c:v>2</c:v>
                </c:pt>
                <c:pt idx="7">
                  <c:v>3</c:v>
                </c:pt>
                <c:pt idx="8">
                  <c:v>3</c:v>
                </c:pt>
                <c:pt idx="9">
                  <c:v>3</c:v>
                </c:pt>
                <c:pt idx="10">
                  <c:v>3</c:v>
                </c:pt>
                <c:pt idx="11">
                  <c:v>3</c:v>
                </c:pt>
                <c:pt idx="12">
                  <c:v>3</c:v>
                </c:pt>
              </c:numCache>
            </c:numRef>
          </c:val>
          <c:smooth val="0"/>
          <c:extLst>
            <c:ext xmlns:c16="http://schemas.microsoft.com/office/drawing/2014/chart" uri="{C3380CC4-5D6E-409C-BE32-E72D297353CC}">
              <c16:uniqueId val="{0000008C-59C2-45B8-858B-DFE0D2D41885}"/>
            </c:ext>
          </c:extLst>
        </c:ser>
        <c:ser>
          <c:idx val="12"/>
          <c:order val="11"/>
          <c:tx>
            <c:strRef>
              <c:f>'Ch4. Applications leading Tech'!$CE$162</c:f>
              <c:strCache>
                <c:ptCount val="1"/>
                <c:pt idx="0">
                  <c:v>IT methods for management</c:v>
                </c:pt>
              </c:strCache>
            </c:strRef>
          </c:tx>
          <c:spPr>
            <a:ln w="38100" cap="rnd" cmpd="sng" algn="ctr">
              <a:solidFill>
                <a:schemeClr val="accent1">
                  <a:lumMod val="80000"/>
                  <a:lumOff val="20000"/>
                </a:schemeClr>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8D-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8E-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8F-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90-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91-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92-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93-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94-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95-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96-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97-59C2-45B8-858B-DFE0D2D41885}"/>
                </c:ext>
              </c:extLst>
            </c:dLbl>
            <c:dLbl>
              <c:idx val="11"/>
              <c:layout>
                <c:manualLayout>
                  <c:x val="9.2398810047640459E-2"/>
                  <c:y val="-7.4796747967479676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98-59C2-45B8-858B-DFE0D2D41885}"/>
                </c:ext>
              </c:extLst>
            </c:dLbl>
            <c:dLbl>
              <c:idx val="12"/>
              <c:delete val="1"/>
              <c:extLst>
                <c:ext xmlns:c15="http://schemas.microsoft.com/office/drawing/2012/chart" uri="{CE6537A1-D6FC-4f65-9D91-7224C49458BB}"/>
                <c:ext xmlns:c16="http://schemas.microsoft.com/office/drawing/2014/chart" uri="{C3380CC4-5D6E-409C-BE32-E72D297353CC}">
                  <c16:uniqueId val="{00000005-39CC-4388-B09D-A4D59CD1A9FA}"/>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Tech'!$CF$162:$CR$162</c:f>
              <c:numCache>
                <c:formatCode>General</c:formatCode>
                <c:ptCount val="13"/>
                <c:pt idx="0">
                  <c:v>11</c:v>
                </c:pt>
                <c:pt idx="1">
                  <c:v>11</c:v>
                </c:pt>
                <c:pt idx="2">
                  <c:v>11</c:v>
                </c:pt>
                <c:pt idx="3">
                  <c:v>11</c:v>
                </c:pt>
                <c:pt idx="4">
                  <c:v>11</c:v>
                </c:pt>
                <c:pt idx="5">
                  <c:v>11</c:v>
                </c:pt>
                <c:pt idx="6">
                  <c:v>11</c:v>
                </c:pt>
                <c:pt idx="7">
                  <c:v>11</c:v>
                </c:pt>
                <c:pt idx="8">
                  <c:v>11</c:v>
                </c:pt>
                <c:pt idx="9">
                  <c:v>11</c:v>
                </c:pt>
                <c:pt idx="10">
                  <c:v>10</c:v>
                </c:pt>
                <c:pt idx="11">
                  <c:v>9</c:v>
                </c:pt>
                <c:pt idx="12">
                  <c:v>8</c:v>
                </c:pt>
              </c:numCache>
            </c:numRef>
          </c:val>
          <c:smooth val="0"/>
          <c:extLst>
            <c:ext xmlns:c16="http://schemas.microsoft.com/office/drawing/2014/chart" uri="{C3380CC4-5D6E-409C-BE32-E72D297353CC}">
              <c16:uniqueId val="{00000099-59C2-45B8-858B-DFE0D2D41885}"/>
            </c:ext>
          </c:extLst>
        </c:ser>
        <c:ser>
          <c:idx val="13"/>
          <c:order val="12"/>
          <c:tx>
            <c:strRef>
              <c:f>'Ch4. Applications leading Tech'!$CE$163</c:f>
              <c:strCache>
                <c:ptCount val="1"/>
                <c:pt idx="0">
                  <c:v>Handling</c:v>
                </c:pt>
              </c:strCache>
            </c:strRef>
          </c:tx>
          <c:spPr>
            <a:ln w="38100" cap="rnd" cmpd="sng" algn="ctr">
              <a:solidFill>
                <a:schemeClr val="accent2">
                  <a:lumMod val="80000"/>
                  <a:lumOff val="20000"/>
                </a:schemeClr>
              </a:solidFill>
              <a:prstDash val="solid"/>
              <a:round/>
            </a:ln>
            <a:effectLst/>
          </c:spPr>
          <c:marker>
            <c:symbol val="none"/>
          </c:marker>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Tech'!$CF$163:$CR$163</c:f>
              <c:numCache>
                <c:formatCode>General</c:formatCode>
                <c:ptCount val="13"/>
                <c:pt idx="0">
                  <c:v>11</c:v>
                </c:pt>
                <c:pt idx="1">
                  <c:v>11</c:v>
                </c:pt>
                <c:pt idx="2">
                  <c:v>11</c:v>
                </c:pt>
                <c:pt idx="3">
                  <c:v>11</c:v>
                </c:pt>
                <c:pt idx="4">
                  <c:v>11</c:v>
                </c:pt>
                <c:pt idx="5">
                  <c:v>11</c:v>
                </c:pt>
                <c:pt idx="6">
                  <c:v>11</c:v>
                </c:pt>
                <c:pt idx="7">
                  <c:v>10</c:v>
                </c:pt>
                <c:pt idx="8">
                  <c:v>9</c:v>
                </c:pt>
                <c:pt idx="9">
                  <c:v>11</c:v>
                </c:pt>
                <c:pt idx="10">
                  <c:v>11</c:v>
                </c:pt>
                <c:pt idx="11">
                  <c:v>11</c:v>
                </c:pt>
                <c:pt idx="12">
                  <c:v>11</c:v>
                </c:pt>
              </c:numCache>
            </c:numRef>
          </c:val>
          <c:smooth val="0"/>
          <c:extLst>
            <c:ext xmlns:c16="http://schemas.microsoft.com/office/drawing/2014/chart" uri="{C3380CC4-5D6E-409C-BE32-E72D297353CC}">
              <c16:uniqueId val="{000000A6-59C2-45B8-858B-DFE0D2D41885}"/>
            </c:ext>
          </c:extLst>
        </c:ser>
        <c:ser>
          <c:idx val="14"/>
          <c:order val="13"/>
          <c:tx>
            <c:strRef>
              <c:f>'Ch4. Applications leading Tech'!$CE$164</c:f>
              <c:strCache>
                <c:ptCount val="1"/>
                <c:pt idx="0">
                  <c:v>Computer technology</c:v>
                </c:pt>
              </c:strCache>
            </c:strRef>
          </c:tx>
          <c:spPr>
            <a:ln w="38100" cap="rnd" cmpd="sng" algn="ctr">
              <a:solidFill>
                <a:schemeClr val="accent3">
                  <a:lumMod val="80000"/>
                  <a:lumOff val="20000"/>
                </a:schemeClr>
              </a:solidFill>
              <a:prstDash val="solid"/>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A7-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A8-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A9-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AA-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AB-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AC-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AD-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AE-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AF-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B0-59C2-45B8-858B-DFE0D2D41885}"/>
                </c:ext>
              </c:extLst>
            </c:dLbl>
            <c:dLbl>
              <c:idx val="11"/>
              <c:layout>
                <c:manualLayout>
                  <c:x val="8.986733579975989E-2"/>
                  <c:y val="-2.9809953735851693E-1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B1-59C2-45B8-858B-DFE0D2D41885}"/>
                </c:ext>
              </c:extLst>
            </c:dLbl>
            <c:spPr>
              <a:noFill/>
              <a:ln>
                <a:noFill/>
              </a:ln>
              <a:effectLst/>
            </c:spPr>
            <c:txPr>
              <a:bodyPr rot="0" spcFirstLastPara="0"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Tech'!$CF$164:$CR$164</c:f>
              <c:numCache>
                <c:formatCode>General</c:formatCode>
                <c:ptCount val="13"/>
                <c:pt idx="0">
                  <c:v>3</c:v>
                </c:pt>
                <c:pt idx="1">
                  <c:v>2</c:v>
                </c:pt>
                <c:pt idx="2">
                  <c:v>2</c:v>
                </c:pt>
                <c:pt idx="3">
                  <c:v>2</c:v>
                </c:pt>
                <c:pt idx="4">
                  <c:v>2</c:v>
                </c:pt>
                <c:pt idx="5">
                  <c:v>1</c:v>
                </c:pt>
                <c:pt idx="6">
                  <c:v>1</c:v>
                </c:pt>
                <c:pt idx="7">
                  <c:v>1</c:v>
                </c:pt>
                <c:pt idx="8">
                  <c:v>1</c:v>
                </c:pt>
                <c:pt idx="9">
                  <c:v>11</c:v>
                </c:pt>
                <c:pt idx="10">
                  <c:v>1</c:v>
                </c:pt>
                <c:pt idx="11">
                  <c:v>1</c:v>
                </c:pt>
                <c:pt idx="12">
                  <c:v>1</c:v>
                </c:pt>
              </c:numCache>
            </c:numRef>
          </c:val>
          <c:smooth val="0"/>
          <c:extLst>
            <c:ext xmlns:c16="http://schemas.microsoft.com/office/drawing/2014/chart" uri="{C3380CC4-5D6E-409C-BE32-E72D297353CC}">
              <c16:uniqueId val="{000000B2-59C2-45B8-858B-DFE0D2D41885}"/>
            </c:ext>
          </c:extLst>
        </c:ser>
        <c:ser>
          <c:idx val="15"/>
          <c:order val="14"/>
          <c:tx>
            <c:strRef>
              <c:f>'Ch4. Applications leading Tech'!$CE$165</c:f>
              <c:strCache>
                <c:ptCount val="1"/>
                <c:pt idx="0">
                  <c:v>Medical technology</c:v>
                </c:pt>
              </c:strCache>
            </c:strRef>
          </c:tx>
          <c:spPr>
            <a:ln w="38100" cap="rnd" cmpd="sng" algn="ctr">
              <a:solidFill>
                <a:schemeClr val="accent4">
                  <a:lumMod val="80000"/>
                  <a:lumOff val="20000"/>
                </a:schemeClr>
              </a:solidFill>
              <a:prstDash val="solid"/>
              <a:round/>
            </a:ln>
            <a:effectLst/>
          </c:spPr>
          <c:marker>
            <c:symbol val="none"/>
          </c:marker>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Tech'!$CF$165:$CR$165</c:f>
              <c:numCache>
                <c:formatCode>General</c:formatCode>
                <c:ptCount val="13"/>
                <c:pt idx="0">
                  <c:v>11</c:v>
                </c:pt>
                <c:pt idx="1">
                  <c:v>11</c:v>
                </c:pt>
                <c:pt idx="2">
                  <c:v>11</c:v>
                </c:pt>
                <c:pt idx="3">
                  <c:v>11</c:v>
                </c:pt>
                <c:pt idx="4">
                  <c:v>11</c:v>
                </c:pt>
                <c:pt idx="5">
                  <c:v>11</c:v>
                </c:pt>
                <c:pt idx="6">
                  <c:v>11</c:v>
                </c:pt>
                <c:pt idx="7">
                  <c:v>11</c:v>
                </c:pt>
                <c:pt idx="8">
                  <c:v>11</c:v>
                </c:pt>
                <c:pt idx="9">
                  <c:v>7</c:v>
                </c:pt>
                <c:pt idx="10">
                  <c:v>8</c:v>
                </c:pt>
                <c:pt idx="11">
                  <c:v>11</c:v>
                </c:pt>
                <c:pt idx="12">
                  <c:v>11</c:v>
                </c:pt>
              </c:numCache>
            </c:numRef>
          </c:val>
          <c:smooth val="0"/>
          <c:extLst>
            <c:ext xmlns:c16="http://schemas.microsoft.com/office/drawing/2014/chart" uri="{C3380CC4-5D6E-409C-BE32-E72D297353CC}">
              <c16:uniqueId val="{000000BF-59C2-45B8-858B-DFE0D2D41885}"/>
            </c:ext>
          </c:extLst>
        </c:ser>
        <c:ser>
          <c:idx val="16"/>
          <c:order val="15"/>
          <c:tx>
            <c:strRef>
              <c:f>'Ch4. Applications leading Tech'!$CE$166</c:f>
              <c:strCache>
                <c:ptCount val="1"/>
                <c:pt idx="0">
                  <c:v>Other consumer goods</c:v>
                </c:pt>
              </c:strCache>
            </c:strRef>
          </c:tx>
          <c:spPr>
            <a:ln w="28575" cap="rnd" cmpd="sng" algn="ctr">
              <a:solidFill>
                <a:schemeClr val="accent5">
                  <a:lumMod val="80000"/>
                  <a:lumOff val="20000"/>
                </a:schemeClr>
              </a:solidFill>
              <a:prstDash val="solid"/>
              <a:round/>
            </a:ln>
            <a:effectLst/>
          </c:spPr>
          <c:marker>
            <c:symbol val="none"/>
          </c:marker>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Tech'!$CF$166:$CR$166</c:f>
              <c:numCache>
                <c:formatCode>General</c:formatCode>
                <c:ptCount val="13"/>
                <c:pt idx="0">
                  <c:v>11</c:v>
                </c:pt>
                <c:pt idx="1">
                  <c:v>11</c:v>
                </c:pt>
                <c:pt idx="2">
                  <c:v>11</c:v>
                </c:pt>
                <c:pt idx="3">
                  <c:v>11</c:v>
                </c:pt>
                <c:pt idx="4">
                  <c:v>11</c:v>
                </c:pt>
                <c:pt idx="5">
                  <c:v>4</c:v>
                </c:pt>
                <c:pt idx="6">
                  <c:v>4</c:v>
                </c:pt>
                <c:pt idx="7">
                  <c:v>11</c:v>
                </c:pt>
                <c:pt idx="8">
                  <c:v>11</c:v>
                </c:pt>
                <c:pt idx="9">
                  <c:v>11</c:v>
                </c:pt>
                <c:pt idx="10">
                  <c:v>11</c:v>
                </c:pt>
                <c:pt idx="11">
                  <c:v>11</c:v>
                </c:pt>
                <c:pt idx="12">
                  <c:v>11</c:v>
                </c:pt>
              </c:numCache>
            </c:numRef>
          </c:val>
          <c:smooth val="0"/>
          <c:extLst>
            <c:ext xmlns:c16="http://schemas.microsoft.com/office/drawing/2014/chart" uri="{C3380CC4-5D6E-409C-BE32-E72D297353CC}">
              <c16:uniqueId val="{000000C0-59C2-45B8-858B-DFE0D2D41885}"/>
            </c:ext>
          </c:extLst>
        </c:ser>
        <c:ser>
          <c:idx val="17"/>
          <c:order val="16"/>
          <c:tx>
            <c:strRef>
              <c:f>'Ch4. Applications leading Tech'!$CE$167</c:f>
              <c:strCache>
                <c:ptCount val="1"/>
                <c:pt idx="0">
                  <c:v>Biotechnology</c:v>
                </c:pt>
              </c:strCache>
            </c:strRef>
          </c:tx>
          <c:spPr>
            <a:ln w="38100" cap="rnd" cmpd="sng" algn="ctr">
              <a:solidFill>
                <a:schemeClr val="accent6">
                  <a:lumMod val="80000"/>
                  <a:lumOff val="20000"/>
                </a:schemeClr>
              </a:solidFill>
              <a:prstDash val="solid"/>
              <a:round/>
            </a:ln>
            <a:effectLst/>
          </c:spPr>
          <c:marker>
            <c:symbol val="none"/>
          </c:marker>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Tech'!$CF$167:$CR$167</c:f>
              <c:numCache>
                <c:formatCode>General</c:formatCode>
                <c:ptCount val="13"/>
                <c:pt idx="0">
                  <c:v>11</c:v>
                </c:pt>
                <c:pt idx="1">
                  <c:v>11</c:v>
                </c:pt>
                <c:pt idx="2">
                  <c:v>11</c:v>
                </c:pt>
                <c:pt idx="3">
                  <c:v>11</c:v>
                </c:pt>
                <c:pt idx="4">
                  <c:v>11</c:v>
                </c:pt>
                <c:pt idx="5">
                  <c:v>11</c:v>
                </c:pt>
                <c:pt idx="6">
                  <c:v>11</c:v>
                </c:pt>
                <c:pt idx="7">
                  <c:v>11</c:v>
                </c:pt>
                <c:pt idx="8">
                  <c:v>11</c:v>
                </c:pt>
                <c:pt idx="9">
                  <c:v>4</c:v>
                </c:pt>
                <c:pt idx="10">
                  <c:v>11</c:v>
                </c:pt>
                <c:pt idx="11">
                  <c:v>11</c:v>
                </c:pt>
                <c:pt idx="12">
                  <c:v>11</c:v>
                </c:pt>
              </c:numCache>
            </c:numRef>
          </c:val>
          <c:smooth val="0"/>
          <c:extLst>
            <c:ext xmlns:c16="http://schemas.microsoft.com/office/drawing/2014/chart" uri="{C3380CC4-5D6E-409C-BE32-E72D297353CC}">
              <c16:uniqueId val="{000000CD-59C2-45B8-858B-DFE0D2D41885}"/>
            </c:ext>
          </c:extLst>
        </c:ser>
        <c:ser>
          <c:idx val="6"/>
          <c:order val="17"/>
          <c:tx>
            <c:strRef>
              <c:f>'Ch4. Applications leading Tech'!$CE$168</c:f>
              <c:strCache>
                <c:ptCount val="1"/>
                <c:pt idx="0">
                  <c:v>Semiconductors</c:v>
                </c:pt>
              </c:strCache>
            </c:strRef>
          </c:tx>
          <c:spPr>
            <a:ln w="38100" cap="rnd" cmpd="sng" algn="ctr">
              <a:solidFill>
                <a:schemeClr val="accent1">
                  <a:shade val="86000"/>
                </a:schemeClr>
              </a:solidFill>
              <a:prstDash val="solid"/>
              <a:round/>
            </a:ln>
          </c:spPr>
          <c:marker>
            <c:symbol val="none"/>
          </c:marker>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Tech'!$CF$168:$CR$168</c:f>
              <c:numCache>
                <c:formatCode>General</c:formatCode>
                <c:ptCount val="13"/>
                <c:pt idx="0">
                  <c:v>11</c:v>
                </c:pt>
                <c:pt idx="1">
                  <c:v>11</c:v>
                </c:pt>
                <c:pt idx="2">
                  <c:v>11</c:v>
                </c:pt>
                <c:pt idx="3">
                  <c:v>11</c:v>
                </c:pt>
                <c:pt idx="4">
                  <c:v>11</c:v>
                </c:pt>
                <c:pt idx="5">
                  <c:v>11</c:v>
                </c:pt>
                <c:pt idx="6">
                  <c:v>11</c:v>
                </c:pt>
                <c:pt idx="7">
                  <c:v>11</c:v>
                </c:pt>
                <c:pt idx="8">
                  <c:v>11</c:v>
                </c:pt>
                <c:pt idx="9">
                  <c:v>2</c:v>
                </c:pt>
                <c:pt idx="10">
                  <c:v>11</c:v>
                </c:pt>
                <c:pt idx="11">
                  <c:v>11</c:v>
                </c:pt>
                <c:pt idx="12">
                  <c:v>11</c:v>
                </c:pt>
              </c:numCache>
            </c:numRef>
          </c:val>
          <c:smooth val="0"/>
          <c:extLst>
            <c:ext xmlns:c16="http://schemas.microsoft.com/office/drawing/2014/chart" uri="{C3380CC4-5D6E-409C-BE32-E72D297353CC}">
              <c16:uniqueId val="{000000DA-59C2-45B8-858B-DFE0D2D41885}"/>
            </c:ext>
          </c:extLst>
        </c:ser>
        <c:ser>
          <c:idx val="18"/>
          <c:order val="18"/>
          <c:tx>
            <c:strRef>
              <c:f>'Ch4. Applications leading Tech'!$CE$169</c:f>
              <c:strCache>
                <c:ptCount val="1"/>
                <c:pt idx="0">
                  <c:v>Basic communication processes</c:v>
                </c:pt>
              </c:strCache>
            </c:strRef>
          </c:tx>
          <c:spPr>
            <a:ln w="38100" cap="rnd" cmpd="sng" algn="ctr">
              <a:solidFill>
                <a:schemeClr val="accent1">
                  <a:tint val="58000"/>
                </a:schemeClr>
              </a:solidFill>
              <a:prstDash val="solid"/>
              <a:round/>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DB-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DC-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DD-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DE-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DF-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E0-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E1-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E2-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E3-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E4-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E5-59C2-45B8-858B-DFE0D2D41885}"/>
                </c:ext>
              </c:extLst>
            </c:dLbl>
            <c:dLbl>
              <c:idx val="11"/>
              <c:layout>
                <c:manualLayout>
                  <c:x val="8.986733579975989E-2"/>
                  <c:y val="-1.300813008130093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E6-59C2-45B8-858B-DFE0D2D41885}"/>
                </c:ext>
              </c:extLst>
            </c:dLbl>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Tech'!$CF$169:$CR$169</c:f>
              <c:numCache>
                <c:formatCode>General</c:formatCode>
                <c:ptCount val="13"/>
                <c:pt idx="0">
                  <c:v>11</c:v>
                </c:pt>
                <c:pt idx="1">
                  <c:v>11</c:v>
                </c:pt>
                <c:pt idx="2">
                  <c:v>11</c:v>
                </c:pt>
                <c:pt idx="3">
                  <c:v>11</c:v>
                </c:pt>
                <c:pt idx="4">
                  <c:v>11</c:v>
                </c:pt>
                <c:pt idx="5">
                  <c:v>11</c:v>
                </c:pt>
                <c:pt idx="6">
                  <c:v>11</c:v>
                </c:pt>
                <c:pt idx="7">
                  <c:v>11</c:v>
                </c:pt>
                <c:pt idx="8">
                  <c:v>11</c:v>
                </c:pt>
                <c:pt idx="9">
                  <c:v>1</c:v>
                </c:pt>
                <c:pt idx="10">
                  <c:v>11</c:v>
                </c:pt>
                <c:pt idx="11">
                  <c:v>11</c:v>
                </c:pt>
                <c:pt idx="12">
                  <c:v>11</c:v>
                </c:pt>
              </c:numCache>
            </c:numRef>
          </c:val>
          <c:smooth val="0"/>
          <c:extLst>
            <c:ext xmlns:c16="http://schemas.microsoft.com/office/drawing/2014/chart" uri="{C3380CC4-5D6E-409C-BE32-E72D297353CC}">
              <c16:uniqueId val="{000000E7-59C2-45B8-858B-DFE0D2D41885}"/>
            </c:ext>
          </c:extLst>
        </c:ser>
        <c:ser>
          <c:idx val="19"/>
          <c:order val="19"/>
          <c:tx>
            <c:strRef>
              <c:f>'Ch4. Applications leading Tech'!$CE$156</c:f>
              <c:strCache>
                <c:ptCount val="1"/>
                <c:pt idx="0">
                  <c:v>Pharmaceuticals</c:v>
                </c:pt>
              </c:strCache>
            </c:strRef>
          </c:tx>
          <c:spPr>
            <a:ln w="38100" cap="rnd" cmpd="sng" algn="ctr">
              <a:solidFill>
                <a:schemeClr val="accent2">
                  <a:tint val="58000"/>
                </a:schemeClr>
              </a:solidFill>
              <a:prstDash val="solid"/>
              <a:round/>
            </a:ln>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E8-59C2-45B8-858B-DFE0D2D41885}"/>
                </c:ext>
              </c:extLst>
            </c:dLbl>
            <c:dLbl>
              <c:idx val="1"/>
              <c:delete val="1"/>
              <c:extLst>
                <c:ext xmlns:c15="http://schemas.microsoft.com/office/drawing/2012/chart" uri="{CE6537A1-D6FC-4f65-9D91-7224C49458BB}"/>
                <c:ext xmlns:c16="http://schemas.microsoft.com/office/drawing/2014/chart" uri="{C3380CC4-5D6E-409C-BE32-E72D297353CC}">
                  <c16:uniqueId val="{000000E9-59C2-45B8-858B-DFE0D2D41885}"/>
                </c:ext>
              </c:extLst>
            </c:dLbl>
            <c:dLbl>
              <c:idx val="2"/>
              <c:delete val="1"/>
              <c:extLst>
                <c:ext xmlns:c15="http://schemas.microsoft.com/office/drawing/2012/chart" uri="{CE6537A1-D6FC-4f65-9D91-7224C49458BB}"/>
                <c:ext xmlns:c16="http://schemas.microsoft.com/office/drawing/2014/chart" uri="{C3380CC4-5D6E-409C-BE32-E72D297353CC}">
                  <c16:uniqueId val="{000000EA-59C2-45B8-858B-DFE0D2D41885}"/>
                </c:ext>
              </c:extLst>
            </c:dLbl>
            <c:dLbl>
              <c:idx val="3"/>
              <c:delete val="1"/>
              <c:extLst>
                <c:ext xmlns:c15="http://schemas.microsoft.com/office/drawing/2012/chart" uri="{CE6537A1-D6FC-4f65-9D91-7224C49458BB}"/>
                <c:ext xmlns:c16="http://schemas.microsoft.com/office/drawing/2014/chart" uri="{C3380CC4-5D6E-409C-BE32-E72D297353CC}">
                  <c16:uniqueId val="{000000EB-59C2-45B8-858B-DFE0D2D41885}"/>
                </c:ext>
              </c:extLst>
            </c:dLbl>
            <c:dLbl>
              <c:idx val="4"/>
              <c:delete val="1"/>
              <c:extLst>
                <c:ext xmlns:c15="http://schemas.microsoft.com/office/drawing/2012/chart" uri="{CE6537A1-D6FC-4f65-9D91-7224C49458BB}"/>
                <c:ext xmlns:c16="http://schemas.microsoft.com/office/drawing/2014/chart" uri="{C3380CC4-5D6E-409C-BE32-E72D297353CC}">
                  <c16:uniqueId val="{000000EC-59C2-45B8-858B-DFE0D2D41885}"/>
                </c:ext>
              </c:extLst>
            </c:dLbl>
            <c:dLbl>
              <c:idx val="5"/>
              <c:delete val="1"/>
              <c:extLst>
                <c:ext xmlns:c15="http://schemas.microsoft.com/office/drawing/2012/chart" uri="{CE6537A1-D6FC-4f65-9D91-7224C49458BB}"/>
                <c:ext xmlns:c16="http://schemas.microsoft.com/office/drawing/2014/chart" uri="{C3380CC4-5D6E-409C-BE32-E72D297353CC}">
                  <c16:uniqueId val="{000000ED-59C2-45B8-858B-DFE0D2D41885}"/>
                </c:ext>
              </c:extLst>
            </c:dLbl>
            <c:dLbl>
              <c:idx val="6"/>
              <c:delete val="1"/>
              <c:extLst>
                <c:ext xmlns:c15="http://schemas.microsoft.com/office/drawing/2012/chart" uri="{CE6537A1-D6FC-4f65-9D91-7224C49458BB}"/>
                <c:ext xmlns:c16="http://schemas.microsoft.com/office/drawing/2014/chart" uri="{C3380CC4-5D6E-409C-BE32-E72D297353CC}">
                  <c16:uniqueId val="{000000EE-59C2-45B8-858B-DFE0D2D41885}"/>
                </c:ext>
              </c:extLst>
            </c:dLbl>
            <c:dLbl>
              <c:idx val="7"/>
              <c:delete val="1"/>
              <c:extLst>
                <c:ext xmlns:c15="http://schemas.microsoft.com/office/drawing/2012/chart" uri="{CE6537A1-D6FC-4f65-9D91-7224C49458BB}"/>
                <c:ext xmlns:c16="http://schemas.microsoft.com/office/drawing/2014/chart" uri="{C3380CC4-5D6E-409C-BE32-E72D297353CC}">
                  <c16:uniqueId val="{000000EF-59C2-45B8-858B-DFE0D2D41885}"/>
                </c:ext>
              </c:extLst>
            </c:dLbl>
            <c:dLbl>
              <c:idx val="8"/>
              <c:delete val="1"/>
              <c:extLst>
                <c:ext xmlns:c15="http://schemas.microsoft.com/office/drawing/2012/chart" uri="{CE6537A1-D6FC-4f65-9D91-7224C49458BB}"/>
                <c:ext xmlns:c16="http://schemas.microsoft.com/office/drawing/2014/chart" uri="{C3380CC4-5D6E-409C-BE32-E72D297353CC}">
                  <c16:uniqueId val="{000000F0-59C2-45B8-858B-DFE0D2D41885}"/>
                </c:ext>
              </c:extLst>
            </c:dLbl>
            <c:dLbl>
              <c:idx val="9"/>
              <c:delete val="1"/>
              <c:extLst>
                <c:ext xmlns:c15="http://schemas.microsoft.com/office/drawing/2012/chart" uri="{CE6537A1-D6FC-4f65-9D91-7224C49458BB}"/>
                <c:ext xmlns:c16="http://schemas.microsoft.com/office/drawing/2014/chart" uri="{C3380CC4-5D6E-409C-BE32-E72D297353CC}">
                  <c16:uniqueId val="{000000F1-59C2-45B8-858B-DFE0D2D41885}"/>
                </c:ext>
              </c:extLst>
            </c:dLbl>
            <c:dLbl>
              <c:idx val="10"/>
              <c:delete val="1"/>
              <c:extLst>
                <c:ext xmlns:c15="http://schemas.microsoft.com/office/drawing/2012/chart" uri="{CE6537A1-D6FC-4f65-9D91-7224C49458BB}"/>
                <c:ext xmlns:c16="http://schemas.microsoft.com/office/drawing/2014/chart" uri="{C3380CC4-5D6E-409C-BE32-E72D297353CC}">
                  <c16:uniqueId val="{000000F2-59C2-45B8-858B-DFE0D2D41885}"/>
                </c:ext>
              </c:extLst>
            </c:dLbl>
            <c:dLbl>
              <c:idx val="11"/>
              <c:layout>
                <c:manualLayout>
                  <c:x val="8.6070124427939057E-2"/>
                  <c:y val="4.878048780487793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F3-59C2-45B8-858B-DFE0D2D41885}"/>
                </c:ext>
              </c:extLst>
            </c:dLbl>
            <c:spPr>
              <a:noFill/>
              <a:ln>
                <a:noFill/>
              </a:ln>
              <a:effectLst/>
            </c:spPr>
            <c:txPr>
              <a:bodyPr rot="0" spcFirstLastPara="0"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Tech'!$CF$149:$CR$149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Tech'!$CF$156:$CR$156</c:f>
              <c:numCache>
                <c:formatCode>General</c:formatCode>
                <c:ptCount val="13"/>
                <c:pt idx="0">
                  <c:v>8</c:v>
                </c:pt>
                <c:pt idx="1">
                  <c:v>10</c:v>
                </c:pt>
                <c:pt idx="2">
                  <c:v>5</c:v>
                </c:pt>
                <c:pt idx="3">
                  <c:v>4</c:v>
                </c:pt>
                <c:pt idx="4">
                  <c:v>10</c:v>
                </c:pt>
                <c:pt idx="5">
                  <c:v>11</c:v>
                </c:pt>
                <c:pt idx="6">
                  <c:v>11</c:v>
                </c:pt>
                <c:pt idx="7">
                  <c:v>11</c:v>
                </c:pt>
                <c:pt idx="8">
                  <c:v>11</c:v>
                </c:pt>
                <c:pt idx="9">
                  <c:v>9</c:v>
                </c:pt>
                <c:pt idx="10">
                  <c:v>11</c:v>
                </c:pt>
                <c:pt idx="11">
                  <c:v>11</c:v>
                </c:pt>
                <c:pt idx="12">
                  <c:v>11</c:v>
                </c:pt>
              </c:numCache>
            </c:numRef>
          </c:val>
          <c:smooth val="0"/>
          <c:extLst>
            <c:ext xmlns:c16="http://schemas.microsoft.com/office/drawing/2014/chart" uri="{C3380CC4-5D6E-409C-BE32-E72D297353CC}">
              <c16:uniqueId val="{000000F4-59C2-45B8-858B-DFE0D2D41885}"/>
            </c:ext>
          </c:extLst>
        </c:ser>
        <c:dLbls>
          <c:showLegendKey val="0"/>
          <c:showVal val="0"/>
          <c:showCatName val="0"/>
          <c:showSerName val="0"/>
          <c:showPercent val="0"/>
          <c:showBubbleSize val="0"/>
        </c:dLbls>
        <c:smooth val="0"/>
        <c:axId val="1801076016"/>
        <c:axId val="1801087440"/>
      </c:lineChart>
      <c:catAx>
        <c:axId val="1801076016"/>
        <c:scaling>
          <c:orientation val="minMax"/>
        </c:scaling>
        <c:delete val="0"/>
        <c:axPos val="t"/>
        <c:numFmt formatCode="General" sourceLinked="1"/>
        <c:majorTickMark val="none"/>
        <c:minorTickMark val="none"/>
        <c:tickLblPos val="low"/>
        <c:spPr>
          <a:noFill/>
          <a:ln w="9525" cap="flat" cmpd="sng" algn="ctr">
            <a:noFill/>
            <a:prstDash val="solid"/>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1087440"/>
        <c:crosses val="autoZero"/>
        <c:auto val="1"/>
        <c:lblAlgn val="ctr"/>
        <c:lblOffset val="100"/>
        <c:noMultiLvlLbl val="0"/>
      </c:catAx>
      <c:valAx>
        <c:axId val="1801087440"/>
        <c:scaling>
          <c:orientation val="maxMin"/>
          <c:min val="0"/>
        </c:scaling>
        <c:delete val="1"/>
        <c:axPos val="l"/>
        <c:numFmt formatCode="General" sourceLinked="1"/>
        <c:majorTickMark val="out"/>
        <c:minorTickMark val="none"/>
        <c:tickLblPos val="none"/>
        <c:crossAx val="1801076016"/>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7873629b-04d3-458d-9304-9cf98279e91c}"/>
      </c:ext>
    </c:extLst>
  </c:chart>
  <c:spPr>
    <a:solidFill>
      <a:schemeClr val="bg1"/>
    </a:solidFill>
    <a:ln w="9525" cap="flat" cmpd="sng" algn="ctr">
      <a:solidFill>
        <a:schemeClr val="tx1"/>
      </a:solidFill>
      <a:prstDash val="solid"/>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1"/>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USPTO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8.4521737672420521E-4"/>
          <c:y val="0.18008883078255286"/>
          <c:w val="0.72913381348441697"/>
          <c:h val="0.80932067110845396"/>
        </c:manualLayout>
      </c:layout>
      <c:lineChart>
        <c:grouping val="standard"/>
        <c:varyColors val="0"/>
        <c:ser>
          <c:idx val="0"/>
          <c:order val="0"/>
          <c:tx>
            <c:strRef>
              <c:f>'Ch4. Applications leading Tech'!$CW$150</c:f>
              <c:strCache>
                <c:ptCount val="1"/>
                <c:pt idx="0">
                  <c:v>IT methods for management</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01-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02-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03-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04-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05-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06-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07-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08-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09-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0A-893B-4A55-BA21-FF9143AEC690}"/>
                </c:ext>
              </c:extLst>
            </c:dLbl>
            <c:dLbl>
              <c:idx val="11"/>
              <c:layout>
                <c:manualLayout>
                  <c:x val="5.0448578735352072E-2"/>
                  <c:y val="2.4969300245348343E-7"/>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4909987213975501"/>
                      <c:h val="9.7352885205508E-2"/>
                    </c:manualLayout>
                  </c15:layout>
                </c:ext>
                <c:ext xmlns:c16="http://schemas.microsoft.com/office/drawing/2014/chart" uri="{C3380CC4-5D6E-409C-BE32-E72D297353CC}">
                  <c16:uniqueId val="{0000000B-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Tech'!$CX$150:$DJ$150</c:f>
              <c:numCache>
                <c:formatCode>General</c:formatCode>
                <c:ptCount val="13"/>
                <c:pt idx="0">
                  <c:v>8</c:v>
                </c:pt>
                <c:pt idx="1">
                  <c:v>7</c:v>
                </c:pt>
                <c:pt idx="2">
                  <c:v>8</c:v>
                </c:pt>
                <c:pt idx="3">
                  <c:v>7</c:v>
                </c:pt>
                <c:pt idx="4">
                  <c:v>9</c:v>
                </c:pt>
                <c:pt idx="5">
                  <c:v>9</c:v>
                </c:pt>
                <c:pt idx="6">
                  <c:v>9</c:v>
                </c:pt>
                <c:pt idx="7">
                  <c:v>9</c:v>
                </c:pt>
                <c:pt idx="8">
                  <c:v>8</c:v>
                </c:pt>
                <c:pt idx="9">
                  <c:v>8</c:v>
                </c:pt>
                <c:pt idx="10">
                  <c:v>9</c:v>
                </c:pt>
                <c:pt idx="11">
                  <c:v>9</c:v>
                </c:pt>
                <c:pt idx="12">
                  <c:v>9</c:v>
                </c:pt>
              </c:numCache>
            </c:numRef>
          </c:val>
          <c:smooth val="0"/>
          <c:extLst>
            <c:ext xmlns:c16="http://schemas.microsoft.com/office/drawing/2014/chart" uri="{C3380CC4-5D6E-409C-BE32-E72D297353CC}">
              <c16:uniqueId val="{0000000C-893B-4A55-BA21-FF9143AEC690}"/>
            </c:ext>
          </c:extLst>
        </c:ser>
        <c:ser>
          <c:idx val="1"/>
          <c:order val="1"/>
          <c:tx>
            <c:strRef>
              <c:f>'Ch4. Applications leading Tech'!$CW$151</c:f>
              <c:strCache>
                <c:ptCount val="1"/>
                <c:pt idx="0">
                  <c:v>Measurement</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0E-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0F-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10-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11-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12-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13-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14-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15-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16-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17-893B-4A55-BA21-FF9143AEC690}"/>
                </c:ext>
              </c:extLst>
            </c:dLbl>
            <c:dLbl>
              <c:idx val="11"/>
              <c:layout>
                <c:manualLayout>
                  <c:x val="7.2594188577980834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Tech'!$CX$151:$DJ$151</c:f>
              <c:numCache>
                <c:formatCode>General</c:formatCode>
                <c:ptCount val="13"/>
                <c:pt idx="0">
                  <c:v>10</c:v>
                </c:pt>
                <c:pt idx="1">
                  <c:v>8</c:v>
                </c:pt>
                <c:pt idx="2">
                  <c:v>7</c:v>
                </c:pt>
                <c:pt idx="3">
                  <c:v>8</c:v>
                </c:pt>
                <c:pt idx="4">
                  <c:v>8</c:v>
                </c:pt>
                <c:pt idx="5">
                  <c:v>8</c:v>
                </c:pt>
                <c:pt idx="6">
                  <c:v>8</c:v>
                </c:pt>
                <c:pt idx="7">
                  <c:v>8</c:v>
                </c:pt>
                <c:pt idx="8">
                  <c:v>9</c:v>
                </c:pt>
                <c:pt idx="9">
                  <c:v>9</c:v>
                </c:pt>
                <c:pt idx="10">
                  <c:v>7</c:v>
                </c:pt>
                <c:pt idx="11">
                  <c:v>7</c:v>
                </c:pt>
                <c:pt idx="12">
                  <c:v>7</c:v>
                </c:pt>
              </c:numCache>
            </c:numRef>
          </c:val>
          <c:smooth val="0"/>
          <c:extLst>
            <c:ext xmlns:c16="http://schemas.microsoft.com/office/drawing/2014/chart" uri="{C3380CC4-5D6E-409C-BE32-E72D297353CC}">
              <c16:uniqueId val="{00000019-893B-4A55-BA21-FF9143AEC690}"/>
            </c:ext>
          </c:extLst>
        </c:ser>
        <c:ser>
          <c:idx val="2"/>
          <c:order val="2"/>
          <c:tx>
            <c:strRef>
              <c:f>'Ch4. Applications leading Tech'!$CW$152</c:f>
              <c:strCache>
                <c:ptCount val="1"/>
                <c:pt idx="0">
                  <c:v>Audio-visual technology</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1B-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1C-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1D-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1E-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1F-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20-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21-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22-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23-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24-893B-4A55-BA21-FF9143AEC690}"/>
                </c:ext>
              </c:extLst>
            </c:dLbl>
            <c:dLbl>
              <c:idx val="11"/>
              <c:layout>
                <c:manualLayout>
                  <c:x val="7.0980984387359031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5-893B-4A55-BA21-FF9143AEC690}"/>
                </c:ext>
              </c:extLst>
            </c:dLbl>
            <c:dLbl>
              <c:idx val="12"/>
              <c:delete val="1"/>
              <c:extLst>
                <c:ext xmlns:c15="http://schemas.microsoft.com/office/drawing/2012/chart" uri="{CE6537A1-D6FC-4f65-9D91-7224C49458BB}"/>
                <c:ext xmlns:c16="http://schemas.microsoft.com/office/drawing/2014/chart" uri="{C3380CC4-5D6E-409C-BE32-E72D297353CC}">
                  <c16:uniqueId val="{00000001-5804-4915-8C7F-1F8BA59B4688}"/>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Tech'!$CX$152:$DJ$152</c:f>
              <c:numCache>
                <c:formatCode>General</c:formatCode>
                <c:ptCount val="13"/>
                <c:pt idx="0">
                  <c:v>3</c:v>
                </c:pt>
                <c:pt idx="1">
                  <c:v>5</c:v>
                </c:pt>
                <c:pt idx="2">
                  <c:v>6</c:v>
                </c:pt>
                <c:pt idx="3">
                  <c:v>6</c:v>
                </c:pt>
                <c:pt idx="4">
                  <c:v>6</c:v>
                </c:pt>
                <c:pt idx="5">
                  <c:v>6</c:v>
                </c:pt>
                <c:pt idx="6">
                  <c:v>6</c:v>
                </c:pt>
                <c:pt idx="7">
                  <c:v>6</c:v>
                </c:pt>
                <c:pt idx="8">
                  <c:v>7</c:v>
                </c:pt>
                <c:pt idx="9">
                  <c:v>7</c:v>
                </c:pt>
                <c:pt idx="10">
                  <c:v>8</c:v>
                </c:pt>
                <c:pt idx="11">
                  <c:v>8</c:v>
                </c:pt>
                <c:pt idx="12">
                  <c:v>8</c:v>
                </c:pt>
              </c:numCache>
            </c:numRef>
          </c:val>
          <c:smooth val="0"/>
          <c:extLst>
            <c:ext xmlns:c16="http://schemas.microsoft.com/office/drawing/2014/chart" uri="{C3380CC4-5D6E-409C-BE32-E72D297353CC}">
              <c16:uniqueId val="{00000026-893B-4A55-BA21-FF9143AEC690}"/>
            </c:ext>
          </c:extLst>
        </c:ser>
        <c:ser>
          <c:idx val="3"/>
          <c:order val="3"/>
          <c:tx>
            <c:strRef>
              <c:f>'Ch4. Applications leading Tech'!$CW$153</c:f>
              <c:strCache>
                <c:ptCount val="1"/>
                <c:pt idx="0">
                  <c:v>Transport</c:v>
                </c:pt>
              </c:strCache>
            </c:strRef>
          </c:tx>
          <c:spPr>
            <a:ln w="38100" cap="rnd">
              <a:solidFill>
                <a:schemeClr val="accent4"/>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7-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28-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29-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2A-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2B-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2C-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2D-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2E-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2F-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30-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31-893B-4A55-BA21-FF9143AEC690}"/>
                </c:ext>
              </c:extLst>
            </c:dLbl>
            <c:dLbl>
              <c:idx val="11"/>
              <c:layout>
                <c:manualLayout>
                  <c:x val="6.9367780196737241E-2"/>
                  <c:y val="6.025092149202555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2-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Tech'!$CX$153:$DJ$153</c:f>
              <c:numCache>
                <c:formatCode>General</c:formatCode>
                <c:ptCount val="13"/>
                <c:pt idx="0">
                  <c:v>12</c:v>
                </c:pt>
                <c:pt idx="1">
                  <c:v>12</c:v>
                </c:pt>
                <c:pt idx="2">
                  <c:v>9</c:v>
                </c:pt>
                <c:pt idx="3">
                  <c:v>9</c:v>
                </c:pt>
                <c:pt idx="4">
                  <c:v>7</c:v>
                </c:pt>
                <c:pt idx="5">
                  <c:v>7</c:v>
                </c:pt>
                <c:pt idx="6">
                  <c:v>7</c:v>
                </c:pt>
                <c:pt idx="7">
                  <c:v>7</c:v>
                </c:pt>
                <c:pt idx="8">
                  <c:v>6</c:v>
                </c:pt>
                <c:pt idx="9">
                  <c:v>6</c:v>
                </c:pt>
                <c:pt idx="10">
                  <c:v>6</c:v>
                </c:pt>
                <c:pt idx="11">
                  <c:v>5</c:v>
                </c:pt>
                <c:pt idx="12">
                  <c:v>6</c:v>
                </c:pt>
              </c:numCache>
            </c:numRef>
          </c:val>
          <c:smooth val="0"/>
          <c:extLst>
            <c:ext xmlns:c16="http://schemas.microsoft.com/office/drawing/2014/chart" uri="{C3380CC4-5D6E-409C-BE32-E72D297353CC}">
              <c16:uniqueId val="{00000033-893B-4A55-BA21-FF9143AEC690}"/>
            </c:ext>
          </c:extLst>
        </c:ser>
        <c:ser>
          <c:idx val="4"/>
          <c:order val="4"/>
          <c:tx>
            <c:strRef>
              <c:f>'Ch4. Applications leading Tech'!$CW$154</c:f>
              <c:strCache>
                <c:ptCount val="1"/>
                <c:pt idx="0">
                  <c:v>Pharmaceuticals</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35-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36-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37-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38-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39-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3A-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3B-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3C-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3D-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3E-893B-4A55-BA21-FF9143AEC690}"/>
                </c:ext>
              </c:extLst>
            </c:dLbl>
            <c:dLbl>
              <c:idx val="11"/>
              <c:layout>
                <c:manualLayout>
                  <c:x val="7.2594188577980834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F-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Tech'!$CX$154:$DJ$154</c:f>
              <c:numCache>
                <c:formatCode>General</c:formatCode>
                <c:ptCount val="13"/>
                <c:pt idx="0">
                  <c:v>7</c:v>
                </c:pt>
                <c:pt idx="1">
                  <c:v>9</c:v>
                </c:pt>
                <c:pt idx="2">
                  <c:v>10</c:v>
                </c:pt>
                <c:pt idx="3">
                  <c:v>10</c:v>
                </c:pt>
                <c:pt idx="4">
                  <c:v>12</c:v>
                </c:pt>
                <c:pt idx="5">
                  <c:v>12</c:v>
                </c:pt>
                <c:pt idx="6">
                  <c:v>12</c:v>
                </c:pt>
                <c:pt idx="7">
                  <c:v>12</c:v>
                </c:pt>
                <c:pt idx="8">
                  <c:v>12</c:v>
                </c:pt>
                <c:pt idx="9">
                  <c:v>10</c:v>
                </c:pt>
                <c:pt idx="10">
                  <c:v>10</c:v>
                </c:pt>
                <c:pt idx="11">
                  <c:v>10</c:v>
                </c:pt>
                <c:pt idx="12">
                  <c:v>10</c:v>
                </c:pt>
              </c:numCache>
            </c:numRef>
          </c:val>
          <c:smooth val="0"/>
          <c:extLst>
            <c:ext xmlns:c16="http://schemas.microsoft.com/office/drawing/2014/chart" uri="{C3380CC4-5D6E-409C-BE32-E72D297353CC}">
              <c16:uniqueId val="{00000040-893B-4A55-BA21-FF9143AEC690}"/>
            </c:ext>
          </c:extLst>
        </c:ser>
        <c:ser>
          <c:idx val="5"/>
          <c:order val="5"/>
          <c:tx>
            <c:strRef>
              <c:f>'Ch4. Applications leading Tech'!$CW$155</c:f>
              <c:strCache>
                <c:ptCount val="1"/>
                <c:pt idx="0">
                  <c:v>Semiconductors</c:v>
                </c:pt>
              </c:strCache>
            </c:strRef>
          </c:tx>
          <c:spPr>
            <a:ln w="38100" cap="rnd">
              <a:solidFill>
                <a:schemeClr val="accent6"/>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41-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42-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43-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44-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45-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46-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47-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48-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49-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4A-893B-4A55-BA21-FF9143AEC690}"/>
                </c:ext>
              </c:extLst>
            </c:dLbl>
            <c:dLbl>
              <c:idx val="11"/>
              <c:layout>
                <c:manualLayout>
                  <c:x val="7.0980984387359031E-2"/>
                  <c:y val="-5.7079820360866312E-2"/>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B-893B-4A55-BA21-FF9143AEC690}"/>
                </c:ext>
              </c:extLst>
            </c:dLbl>
            <c:dLbl>
              <c:idx val="12"/>
              <c:delete val="1"/>
              <c:extLst>
                <c:ext xmlns:c15="http://schemas.microsoft.com/office/drawing/2012/chart" uri="{CE6537A1-D6FC-4f65-9D91-7224C49458BB}"/>
                <c:ext xmlns:c16="http://schemas.microsoft.com/office/drawing/2014/chart" uri="{C3380CC4-5D6E-409C-BE32-E72D297353CC}">
                  <c16:uniqueId val="{00000000-5804-4915-8C7F-1F8BA59B4688}"/>
                </c:ext>
              </c:extLst>
            </c:dLbl>
            <c:spPr>
              <a:noFill/>
              <a:ln>
                <a:noFill/>
              </a:ln>
              <a:effectLst/>
            </c:spPr>
            <c:txPr>
              <a:bodyPr rot="0" spcFirstLastPara="1" vertOverflow="ellipsis" vert="horz" wrap="square" lIns="38100" tIns="19050" rIns="38100" bIns="19050" anchor="ctr" anchorCtr="1">
                <a:spAutoFit/>
              </a:bodyPr>
              <a:lstStyle/>
              <a:p>
                <a:pPr>
                  <a:defRPr lang="zh-CN" sz="1050" b="0" i="1" u="none" strike="noStrike" kern="1200" baseline="0">
                    <a:solidFill>
                      <a:schemeClr val="tx1"/>
                    </a:solidFill>
                    <a:latin typeface="+mn-lt"/>
                    <a:ea typeface="+mn-ea"/>
                    <a:cs typeface="+mn-cs"/>
                  </a:defRPr>
                </a:pPr>
                <a:endParaRPr lang="zh-CN"/>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Tech'!$CX$155:$DJ$155</c:f>
              <c:numCache>
                <c:formatCode>General</c:formatCode>
                <c:ptCount val="13"/>
                <c:pt idx="0">
                  <c:v>6</c:v>
                </c:pt>
                <c:pt idx="1">
                  <c:v>6</c:v>
                </c:pt>
                <c:pt idx="2">
                  <c:v>5</c:v>
                </c:pt>
                <c:pt idx="3">
                  <c:v>5</c:v>
                </c:pt>
                <c:pt idx="4">
                  <c:v>5</c:v>
                </c:pt>
                <c:pt idx="5">
                  <c:v>5</c:v>
                </c:pt>
                <c:pt idx="6">
                  <c:v>5</c:v>
                </c:pt>
                <c:pt idx="7">
                  <c:v>5</c:v>
                </c:pt>
                <c:pt idx="8">
                  <c:v>5</c:v>
                </c:pt>
                <c:pt idx="9">
                  <c:v>5</c:v>
                </c:pt>
                <c:pt idx="10">
                  <c:v>5</c:v>
                </c:pt>
                <c:pt idx="11">
                  <c:v>6</c:v>
                </c:pt>
                <c:pt idx="12">
                  <c:v>5</c:v>
                </c:pt>
              </c:numCache>
            </c:numRef>
          </c:val>
          <c:smooth val="0"/>
          <c:extLst>
            <c:ext xmlns:c16="http://schemas.microsoft.com/office/drawing/2014/chart" uri="{C3380CC4-5D6E-409C-BE32-E72D297353CC}">
              <c16:uniqueId val="{0000004C-893B-4A55-BA21-FF9143AEC690}"/>
            </c:ext>
          </c:extLst>
        </c:ser>
        <c:ser>
          <c:idx val="6"/>
          <c:order val="6"/>
          <c:tx>
            <c:strRef>
              <c:f>'Ch4. Applications leading Tech'!$CW$156</c:f>
              <c:strCache>
                <c:ptCount val="1"/>
                <c:pt idx="0">
                  <c:v>Optics</c:v>
                </c:pt>
              </c:strCache>
            </c:strRef>
          </c:tx>
          <c:spPr>
            <a:ln w="38100" cap="rnd">
              <a:solidFill>
                <a:schemeClr val="accent1">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4D-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4E-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4F-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50-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51-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52-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53-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54-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55-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56-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57-893B-4A55-BA21-FF9143AEC690}"/>
                </c:ext>
              </c:extLst>
            </c:dLbl>
            <c:dLbl>
              <c:idx val="11"/>
              <c:layout>
                <c:manualLayout>
                  <c:x val="8.4268197864193872E-2"/>
                  <c:y val="-1.304595999218960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8-893B-4A55-BA21-FF9143AEC690}"/>
                </c:ext>
              </c:extLst>
            </c:dLbl>
            <c:dLbl>
              <c:idx val="12"/>
              <c:delete val="1"/>
              <c:extLst>
                <c:ext xmlns:c15="http://schemas.microsoft.com/office/drawing/2012/chart" uri="{CE6537A1-D6FC-4f65-9D91-7224C49458BB}"/>
                <c:ext xmlns:c16="http://schemas.microsoft.com/office/drawing/2014/chart" uri="{C3380CC4-5D6E-409C-BE32-E72D297353CC}">
                  <c16:uniqueId val="{00000002-5804-4915-8C7F-1F8BA59B4688}"/>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Tech'!$CX$156:$DJ$156</c:f>
              <c:numCache>
                <c:formatCode>General</c:formatCode>
                <c:ptCount val="13"/>
                <c:pt idx="0">
                  <c:v>12</c:v>
                </c:pt>
                <c:pt idx="1">
                  <c:v>12</c:v>
                </c:pt>
                <c:pt idx="2">
                  <c:v>12</c:v>
                </c:pt>
                <c:pt idx="3">
                  <c:v>12</c:v>
                </c:pt>
                <c:pt idx="4">
                  <c:v>10</c:v>
                </c:pt>
                <c:pt idx="5">
                  <c:v>10</c:v>
                </c:pt>
                <c:pt idx="6">
                  <c:v>10</c:v>
                </c:pt>
                <c:pt idx="7">
                  <c:v>10</c:v>
                </c:pt>
                <c:pt idx="8">
                  <c:v>10</c:v>
                </c:pt>
                <c:pt idx="9">
                  <c:v>12</c:v>
                </c:pt>
                <c:pt idx="10">
                  <c:v>12</c:v>
                </c:pt>
                <c:pt idx="11">
                  <c:v>12</c:v>
                </c:pt>
                <c:pt idx="12">
                  <c:v>12</c:v>
                </c:pt>
              </c:numCache>
            </c:numRef>
          </c:val>
          <c:smooth val="0"/>
          <c:extLst>
            <c:ext xmlns:c16="http://schemas.microsoft.com/office/drawing/2014/chart" uri="{C3380CC4-5D6E-409C-BE32-E72D297353CC}">
              <c16:uniqueId val="{00000059-893B-4A55-BA21-FF9143AEC690}"/>
            </c:ext>
          </c:extLst>
        </c:ser>
        <c:ser>
          <c:idx val="7"/>
          <c:order val="7"/>
          <c:tx>
            <c:strRef>
              <c:f>'Ch4. Applications leading Tech'!$CW$157</c:f>
              <c:strCache>
                <c:ptCount val="1"/>
                <c:pt idx="0">
                  <c:v>Electrical machinery, apparatus, energy</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5B-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5C-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5D-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5E-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5F-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60-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61-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62-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63-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64-893B-4A55-BA21-FF9143AEC690}"/>
                </c:ext>
              </c:extLst>
            </c:dLbl>
            <c:dLbl>
              <c:idx val="11"/>
              <c:layout>
                <c:manualLayout>
                  <c:x val="6.1301759243628254E-2"/>
                  <c:y val="-5.8136182477111796E-17"/>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16620029822683455"/>
                      <c:h val="7.9182395245046222E-2"/>
                    </c:manualLayout>
                  </c15:layout>
                </c:ext>
                <c:ext xmlns:c16="http://schemas.microsoft.com/office/drawing/2014/chart" uri="{C3380CC4-5D6E-409C-BE32-E72D297353CC}">
                  <c16:uniqueId val="{00000065-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Tech'!$CX$157:$DJ$157</c:f>
              <c:numCache>
                <c:formatCode>General</c:formatCode>
                <c:ptCount val="13"/>
                <c:pt idx="0">
                  <c:v>5</c:v>
                </c:pt>
                <c:pt idx="1">
                  <c:v>4</c:v>
                </c:pt>
                <c:pt idx="2">
                  <c:v>4</c:v>
                </c:pt>
                <c:pt idx="3">
                  <c:v>4</c:v>
                </c:pt>
                <c:pt idx="4">
                  <c:v>4</c:v>
                </c:pt>
                <c:pt idx="5">
                  <c:v>4</c:v>
                </c:pt>
                <c:pt idx="6">
                  <c:v>4</c:v>
                </c:pt>
                <c:pt idx="7">
                  <c:v>4</c:v>
                </c:pt>
                <c:pt idx="8">
                  <c:v>4</c:v>
                </c:pt>
                <c:pt idx="9">
                  <c:v>4</c:v>
                </c:pt>
                <c:pt idx="10">
                  <c:v>4</c:v>
                </c:pt>
                <c:pt idx="11">
                  <c:v>4</c:v>
                </c:pt>
                <c:pt idx="12">
                  <c:v>4</c:v>
                </c:pt>
              </c:numCache>
            </c:numRef>
          </c:val>
          <c:smooth val="0"/>
          <c:extLst>
            <c:ext xmlns:c16="http://schemas.microsoft.com/office/drawing/2014/chart" uri="{C3380CC4-5D6E-409C-BE32-E72D297353CC}">
              <c16:uniqueId val="{00000066-893B-4A55-BA21-FF9143AEC690}"/>
            </c:ext>
          </c:extLst>
        </c:ser>
        <c:ser>
          <c:idx val="8"/>
          <c:order val="8"/>
          <c:tx>
            <c:strRef>
              <c:f>'Ch4. Applications leading Tech'!$CW$158</c:f>
              <c:strCache>
                <c:ptCount val="1"/>
                <c:pt idx="0">
                  <c:v>Medical technology</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7-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68-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69-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6A-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6B-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6C-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6D-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6E-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6F-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70-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71-893B-4A55-BA21-FF9143AEC690}"/>
                </c:ext>
              </c:extLst>
            </c:dLbl>
            <c:dLbl>
              <c:idx val="11"/>
              <c:layout>
                <c:manualLayout>
                  <c:x val="7.5820596959224426E-2"/>
                  <c:y val="-5.8136182477111796E-1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2-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Tech'!$CX$158:$DJ$158</c:f>
              <c:numCache>
                <c:formatCode>General</c:formatCode>
                <c:ptCount val="13"/>
                <c:pt idx="0">
                  <c:v>2</c:v>
                </c:pt>
                <c:pt idx="1">
                  <c:v>3</c:v>
                </c:pt>
                <c:pt idx="2">
                  <c:v>3</c:v>
                </c:pt>
                <c:pt idx="3">
                  <c:v>3</c:v>
                </c:pt>
                <c:pt idx="4">
                  <c:v>3</c:v>
                </c:pt>
                <c:pt idx="5">
                  <c:v>3</c:v>
                </c:pt>
                <c:pt idx="6">
                  <c:v>3</c:v>
                </c:pt>
                <c:pt idx="7">
                  <c:v>3</c:v>
                </c:pt>
                <c:pt idx="8">
                  <c:v>3</c:v>
                </c:pt>
                <c:pt idx="9">
                  <c:v>3</c:v>
                </c:pt>
                <c:pt idx="10">
                  <c:v>3</c:v>
                </c:pt>
                <c:pt idx="11">
                  <c:v>3</c:v>
                </c:pt>
                <c:pt idx="12">
                  <c:v>3</c:v>
                </c:pt>
              </c:numCache>
            </c:numRef>
          </c:val>
          <c:smooth val="0"/>
          <c:extLst>
            <c:ext xmlns:c16="http://schemas.microsoft.com/office/drawing/2014/chart" uri="{C3380CC4-5D6E-409C-BE32-E72D297353CC}">
              <c16:uniqueId val="{00000073-893B-4A55-BA21-FF9143AEC690}"/>
            </c:ext>
          </c:extLst>
        </c:ser>
        <c:ser>
          <c:idx val="9"/>
          <c:order val="9"/>
          <c:tx>
            <c:strRef>
              <c:f>'Ch4. Applications leading Tech'!$CW$159</c:f>
              <c:strCache>
                <c:ptCount val="1"/>
                <c:pt idx="0">
                  <c:v>Digital communication</c:v>
                </c:pt>
              </c:strCache>
            </c:strRef>
          </c:tx>
          <c:spPr>
            <a:ln w="38100"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4-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75-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76-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77-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78-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79-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7A-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7B-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7C-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7D-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7E-893B-4A55-BA21-FF9143AEC690}"/>
                </c:ext>
              </c:extLst>
            </c:dLbl>
            <c:dLbl>
              <c:idx val="11"/>
              <c:layout>
                <c:manualLayout>
                  <c:x val="7.5820596959224426E-2"/>
                  <c:y val="3.1711011311592397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F-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Tech'!$CX$159:$DJ$159</c:f>
              <c:numCache>
                <c:formatCode>General</c:formatCode>
                <c:ptCount val="13"/>
                <c:pt idx="0">
                  <c:v>4</c:v>
                </c:pt>
                <c:pt idx="1">
                  <c:v>2</c:v>
                </c:pt>
                <c:pt idx="2">
                  <c:v>2</c:v>
                </c:pt>
                <c:pt idx="3">
                  <c:v>2</c:v>
                </c:pt>
                <c:pt idx="4">
                  <c:v>2</c:v>
                </c:pt>
                <c:pt idx="5">
                  <c:v>2</c:v>
                </c:pt>
                <c:pt idx="6">
                  <c:v>2</c:v>
                </c:pt>
                <c:pt idx="7">
                  <c:v>2</c:v>
                </c:pt>
                <c:pt idx="8">
                  <c:v>2</c:v>
                </c:pt>
                <c:pt idx="9">
                  <c:v>2</c:v>
                </c:pt>
                <c:pt idx="10">
                  <c:v>2</c:v>
                </c:pt>
                <c:pt idx="11">
                  <c:v>2</c:v>
                </c:pt>
                <c:pt idx="12">
                  <c:v>2</c:v>
                </c:pt>
              </c:numCache>
            </c:numRef>
          </c:val>
          <c:smooth val="0"/>
          <c:extLst>
            <c:ext xmlns:c16="http://schemas.microsoft.com/office/drawing/2014/chart" uri="{C3380CC4-5D6E-409C-BE32-E72D297353CC}">
              <c16:uniqueId val="{00000080-893B-4A55-BA21-FF9143AEC690}"/>
            </c:ext>
          </c:extLst>
        </c:ser>
        <c:ser>
          <c:idx val="11"/>
          <c:order val="10"/>
          <c:tx>
            <c:strRef>
              <c:f>'Ch4. Applications leading Tech'!$CW$161</c:f>
              <c:strCache>
                <c:ptCount val="1"/>
                <c:pt idx="0">
                  <c:v>Computer technology</c:v>
                </c:pt>
              </c:strCache>
            </c:strRef>
          </c:tx>
          <c:spPr>
            <a:ln w="38100" cap="rnd">
              <a:solidFill>
                <a:schemeClr val="accent6">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1-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82-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83-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84-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85-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86-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87-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88-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89-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8A-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8B-893B-4A55-BA21-FF9143AEC690}"/>
                </c:ext>
              </c:extLst>
            </c:dLbl>
            <c:dLbl>
              <c:idx val="11"/>
              <c:layout>
                <c:manualLayout>
                  <c:x val="7.2594188577980834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8C-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Tech'!$CX$161:$DJ$161</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8D-893B-4A55-BA21-FF9143AEC690}"/>
            </c:ext>
          </c:extLst>
        </c:ser>
        <c:ser>
          <c:idx val="10"/>
          <c:order val="11"/>
          <c:tx>
            <c:strRef>
              <c:f>'Ch4. Applications leading Tech'!$CW$160</c:f>
              <c:strCache>
                <c:ptCount val="1"/>
                <c:pt idx="0">
                  <c:v>Telecommunications</c:v>
                </c:pt>
              </c:strCache>
            </c:strRef>
          </c:tx>
          <c:spPr>
            <a:ln w="38100" cap="rnd">
              <a:solidFill>
                <a:schemeClr val="accent5">
                  <a:lumMod val="60000"/>
                </a:schemeClr>
              </a:solidFill>
              <a:round/>
            </a:ln>
            <a:effectLst/>
          </c:spPr>
          <c:marker>
            <c:symbol val="none"/>
          </c:marker>
          <c:dLbls>
            <c:dLbl>
              <c:idx val="0"/>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8E-893B-4A55-BA21-FF9143AEC690}"/>
                </c:ext>
              </c:extLst>
            </c:dLbl>
            <c:dLbl>
              <c:idx val="1"/>
              <c:delete val="1"/>
              <c:extLst>
                <c:ext xmlns:c15="http://schemas.microsoft.com/office/drawing/2012/chart" uri="{CE6537A1-D6FC-4f65-9D91-7224C49458BB}"/>
                <c:ext xmlns:c16="http://schemas.microsoft.com/office/drawing/2014/chart" uri="{C3380CC4-5D6E-409C-BE32-E72D297353CC}">
                  <c16:uniqueId val="{0000008F-893B-4A55-BA21-FF9143AEC690}"/>
                </c:ext>
              </c:extLst>
            </c:dLbl>
            <c:dLbl>
              <c:idx val="2"/>
              <c:delete val="1"/>
              <c:extLst>
                <c:ext xmlns:c15="http://schemas.microsoft.com/office/drawing/2012/chart" uri="{CE6537A1-D6FC-4f65-9D91-7224C49458BB}"/>
                <c:ext xmlns:c16="http://schemas.microsoft.com/office/drawing/2014/chart" uri="{C3380CC4-5D6E-409C-BE32-E72D297353CC}">
                  <c16:uniqueId val="{00000090-893B-4A55-BA21-FF9143AEC690}"/>
                </c:ext>
              </c:extLst>
            </c:dLbl>
            <c:dLbl>
              <c:idx val="3"/>
              <c:delete val="1"/>
              <c:extLst>
                <c:ext xmlns:c15="http://schemas.microsoft.com/office/drawing/2012/chart" uri="{CE6537A1-D6FC-4f65-9D91-7224C49458BB}"/>
                <c:ext xmlns:c16="http://schemas.microsoft.com/office/drawing/2014/chart" uri="{C3380CC4-5D6E-409C-BE32-E72D297353CC}">
                  <c16:uniqueId val="{00000091-893B-4A55-BA21-FF9143AEC690}"/>
                </c:ext>
              </c:extLst>
            </c:dLbl>
            <c:dLbl>
              <c:idx val="4"/>
              <c:delete val="1"/>
              <c:extLst>
                <c:ext xmlns:c15="http://schemas.microsoft.com/office/drawing/2012/chart" uri="{CE6537A1-D6FC-4f65-9D91-7224C49458BB}"/>
                <c:ext xmlns:c16="http://schemas.microsoft.com/office/drawing/2014/chart" uri="{C3380CC4-5D6E-409C-BE32-E72D297353CC}">
                  <c16:uniqueId val="{00000092-893B-4A55-BA21-FF9143AEC690}"/>
                </c:ext>
              </c:extLst>
            </c:dLbl>
            <c:dLbl>
              <c:idx val="5"/>
              <c:delete val="1"/>
              <c:extLst>
                <c:ext xmlns:c15="http://schemas.microsoft.com/office/drawing/2012/chart" uri="{CE6537A1-D6FC-4f65-9D91-7224C49458BB}"/>
                <c:ext xmlns:c16="http://schemas.microsoft.com/office/drawing/2014/chart" uri="{C3380CC4-5D6E-409C-BE32-E72D297353CC}">
                  <c16:uniqueId val="{00000093-893B-4A55-BA21-FF9143AEC690}"/>
                </c:ext>
              </c:extLst>
            </c:dLbl>
            <c:dLbl>
              <c:idx val="6"/>
              <c:delete val="1"/>
              <c:extLst>
                <c:ext xmlns:c15="http://schemas.microsoft.com/office/drawing/2012/chart" uri="{CE6537A1-D6FC-4f65-9D91-7224C49458BB}"/>
                <c:ext xmlns:c16="http://schemas.microsoft.com/office/drawing/2014/chart" uri="{C3380CC4-5D6E-409C-BE32-E72D297353CC}">
                  <c16:uniqueId val="{00000094-893B-4A55-BA21-FF9143AEC690}"/>
                </c:ext>
              </c:extLst>
            </c:dLbl>
            <c:dLbl>
              <c:idx val="7"/>
              <c:delete val="1"/>
              <c:extLst>
                <c:ext xmlns:c15="http://schemas.microsoft.com/office/drawing/2012/chart" uri="{CE6537A1-D6FC-4f65-9D91-7224C49458BB}"/>
                <c:ext xmlns:c16="http://schemas.microsoft.com/office/drawing/2014/chart" uri="{C3380CC4-5D6E-409C-BE32-E72D297353CC}">
                  <c16:uniqueId val="{00000095-893B-4A55-BA21-FF9143AEC690}"/>
                </c:ext>
              </c:extLst>
            </c:dLbl>
            <c:dLbl>
              <c:idx val="8"/>
              <c:delete val="1"/>
              <c:extLst>
                <c:ext xmlns:c15="http://schemas.microsoft.com/office/drawing/2012/chart" uri="{CE6537A1-D6FC-4f65-9D91-7224C49458BB}"/>
                <c:ext xmlns:c16="http://schemas.microsoft.com/office/drawing/2014/chart" uri="{C3380CC4-5D6E-409C-BE32-E72D297353CC}">
                  <c16:uniqueId val="{00000096-893B-4A55-BA21-FF9143AEC690}"/>
                </c:ext>
              </c:extLst>
            </c:dLbl>
            <c:dLbl>
              <c:idx val="9"/>
              <c:delete val="1"/>
              <c:extLst>
                <c:ext xmlns:c15="http://schemas.microsoft.com/office/drawing/2012/chart" uri="{CE6537A1-D6FC-4f65-9D91-7224C49458BB}"/>
                <c:ext xmlns:c16="http://schemas.microsoft.com/office/drawing/2014/chart" uri="{C3380CC4-5D6E-409C-BE32-E72D297353CC}">
                  <c16:uniqueId val="{00000097-893B-4A55-BA21-FF9143AEC690}"/>
                </c:ext>
              </c:extLst>
            </c:dLbl>
            <c:dLbl>
              <c:idx val="10"/>
              <c:delete val="1"/>
              <c:extLst>
                <c:ext xmlns:c15="http://schemas.microsoft.com/office/drawing/2012/chart" uri="{CE6537A1-D6FC-4f65-9D91-7224C49458BB}"/>
                <c:ext xmlns:c16="http://schemas.microsoft.com/office/drawing/2014/chart" uri="{C3380CC4-5D6E-409C-BE32-E72D297353CC}">
                  <c16:uniqueId val="{00000098-893B-4A55-BA21-FF9143AEC690}"/>
                </c:ext>
              </c:extLst>
            </c:dLbl>
            <c:dLbl>
              <c:idx val="11"/>
              <c:layout>
                <c:manualLayout>
                  <c:x val="7.8856215364537671E-2"/>
                  <c:y val="3.3660614274749083E-2"/>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99-893B-4A55-BA21-FF9143AEC690}"/>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Applications leading Tech'!$CX$149:$DJ$149</c:f>
              <c:numCache>
                <c:formatCode>General</c:formatCode>
                <c:ptCount val="13"/>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numCache>
            </c:numRef>
          </c:cat>
          <c:val>
            <c:numRef>
              <c:f>'Ch4. Applications leading Tech'!$CX$160:$DJ$160</c:f>
              <c:numCache>
                <c:formatCode>General</c:formatCode>
                <c:ptCount val="13"/>
                <c:pt idx="0">
                  <c:v>9</c:v>
                </c:pt>
                <c:pt idx="1">
                  <c:v>10</c:v>
                </c:pt>
                <c:pt idx="2">
                  <c:v>12</c:v>
                </c:pt>
                <c:pt idx="3">
                  <c:v>12</c:v>
                </c:pt>
                <c:pt idx="4">
                  <c:v>12</c:v>
                </c:pt>
                <c:pt idx="5">
                  <c:v>12</c:v>
                </c:pt>
                <c:pt idx="6">
                  <c:v>12</c:v>
                </c:pt>
                <c:pt idx="7">
                  <c:v>12</c:v>
                </c:pt>
                <c:pt idx="8">
                  <c:v>12</c:v>
                </c:pt>
                <c:pt idx="9">
                  <c:v>12</c:v>
                </c:pt>
                <c:pt idx="10">
                  <c:v>12</c:v>
                </c:pt>
                <c:pt idx="11">
                  <c:v>12</c:v>
                </c:pt>
                <c:pt idx="12">
                  <c:v>12</c:v>
                </c:pt>
              </c:numCache>
            </c:numRef>
          </c:val>
          <c:smooth val="0"/>
          <c:extLst>
            <c:ext xmlns:c16="http://schemas.microsoft.com/office/drawing/2014/chart" uri="{C3380CC4-5D6E-409C-BE32-E72D297353CC}">
              <c16:uniqueId val="{0000009A-893B-4A55-BA21-FF9143AEC690}"/>
            </c:ext>
          </c:extLst>
        </c:ser>
        <c:dLbls>
          <c:showLegendKey val="0"/>
          <c:showVal val="0"/>
          <c:showCatName val="0"/>
          <c:showSerName val="0"/>
          <c:showPercent val="0"/>
          <c:showBubbleSize val="0"/>
        </c:dLbls>
        <c:smooth val="0"/>
        <c:axId val="1801077104"/>
        <c:axId val="1801072752"/>
      </c:lineChart>
      <c:catAx>
        <c:axId val="1801077104"/>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1072752"/>
        <c:crosses val="autoZero"/>
        <c:auto val="1"/>
        <c:lblAlgn val="ctr"/>
        <c:lblOffset val="100"/>
        <c:noMultiLvlLbl val="0"/>
      </c:catAx>
      <c:valAx>
        <c:axId val="1801072752"/>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1077104"/>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65bfcc9b-cf25-4bce-a701-3bd5fcf9944f}"/>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4.5: GRANTED PATENTS - DOMESTIC AND FOREIGN</a:t>
            </a:r>
            <a:r>
              <a:rPr lang="en-GB" b="1" baseline="0"/>
              <a:t> ORIGIN (THOUSAND)</a:t>
            </a:r>
            <a:endParaRPr lang="en-GB" b="1"/>
          </a:p>
        </c:rich>
      </c:tx>
      <c:layout>
        <c:manualLayout>
          <c:xMode val="edge"/>
          <c:yMode val="edge"/>
          <c:x val="7.0866612525452297E-3"/>
          <c:y val="1.3333333333333299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4.8793667913350101E-3"/>
          <c:y val="0.24468777455989099"/>
          <c:w val="0.98684603886397604"/>
          <c:h val="0.67263765051122604"/>
        </c:manualLayout>
      </c:layout>
      <c:barChart>
        <c:barDir val="col"/>
        <c:grouping val="stacked"/>
        <c:varyColors val="0"/>
        <c:ser>
          <c:idx val="0"/>
          <c:order val="0"/>
          <c:tx>
            <c:strRef>
              <c:f>'Ch4. Granted Patents'!$B$45</c:f>
              <c:strCache>
                <c:ptCount val="1"/>
                <c:pt idx="0">
                  <c:v>Domestic</c:v>
                </c:pt>
              </c:strCache>
            </c:strRef>
          </c:tx>
          <c:spPr>
            <a:solidFill>
              <a:schemeClr val="accent1"/>
            </a:solidFill>
            <a:ln>
              <a:noFill/>
            </a:ln>
            <a:effectLst/>
          </c:spPr>
          <c:invertIfNegative val="0"/>
          <c:dPt>
            <c:idx val="15"/>
            <c:invertIfNegative val="0"/>
            <c:bubble3D val="0"/>
            <c:spPr>
              <a:solidFill>
                <a:srgbClr val="FF0000"/>
              </a:solidFill>
              <a:ln>
                <a:noFill/>
              </a:ln>
              <a:effectLst/>
            </c:spPr>
            <c:extLst>
              <c:ext xmlns:c16="http://schemas.microsoft.com/office/drawing/2014/chart" uri="{C3380CC4-5D6E-409C-BE32-E72D297353CC}">
                <c16:uniqueId val="{00000001-A59B-4195-8475-C815262392B0}"/>
              </c:ext>
            </c:extLst>
          </c:dPt>
          <c:dPt>
            <c:idx val="16"/>
            <c:invertIfNegative val="0"/>
            <c:bubble3D val="0"/>
            <c:spPr>
              <a:solidFill>
                <a:srgbClr val="FF0000"/>
              </a:solidFill>
              <a:ln>
                <a:noFill/>
              </a:ln>
              <a:effectLst/>
            </c:spPr>
            <c:extLst>
              <c:ext xmlns:c16="http://schemas.microsoft.com/office/drawing/2014/chart" uri="{C3380CC4-5D6E-409C-BE32-E72D297353CC}">
                <c16:uniqueId val="{00000003-A59B-4195-8475-C815262392B0}"/>
              </c:ext>
            </c:extLst>
          </c:dPt>
          <c:dPt>
            <c:idx val="17"/>
            <c:invertIfNegative val="0"/>
            <c:bubble3D val="0"/>
            <c:spPr>
              <a:solidFill>
                <a:srgbClr val="FF0000"/>
              </a:solidFill>
              <a:ln>
                <a:noFill/>
              </a:ln>
              <a:effectLst/>
            </c:spPr>
            <c:extLst>
              <c:ext xmlns:c16="http://schemas.microsoft.com/office/drawing/2014/chart" uri="{C3380CC4-5D6E-409C-BE32-E72D297353CC}">
                <c16:uniqueId val="{00000005-A59B-4195-8475-C815262392B0}"/>
              </c:ext>
            </c:extLst>
          </c:dPt>
          <c:dPt>
            <c:idx val="18"/>
            <c:invertIfNegative val="0"/>
            <c:bubble3D val="0"/>
            <c:spPr>
              <a:solidFill>
                <a:srgbClr val="FF0000"/>
              </a:solidFill>
              <a:ln>
                <a:noFill/>
              </a:ln>
              <a:effectLst/>
            </c:spPr>
            <c:extLst>
              <c:ext xmlns:c16="http://schemas.microsoft.com/office/drawing/2014/chart" uri="{C3380CC4-5D6E-409C-BE32-E72D297353CC}">
                <c16:uniqueId val="{00000007-A59B-4195-8475-C815262392B0}"/>
              </c:ext>
            </c:extLst>
          </c:dPt>
          <c:dPt>
            <c:idx val="19"/>
            <c:invertIfNegative val="0"/>
            <c:bubble3D val="0"/>
            <c:spPr>
              <a:solidFill>
                <a:srgbClr val="FF0000"/>
              </a:solidFill>
              <a:ln>
                <a:noFill/>
              </a:ln>
              <a:effectLst/>
            </c:spPr>
            <c:extLst>
              <c:ext xmlns:c16="http://schemas.microsoft.com/office/drawing/2014/chart" uri="{C3380CC4-5D6E-409C-BE32-E72D297353CC}">
                <c16:uniqueId val="{00000009-A59B-4195-8475-C815262392B0}"/>
              </c:ext>
            </c:extLst>
          </c:dPt>
          <c:dPt>
            <c:idx val="20"/>
            <c:invertIfNegative val="0"/>
            <c:bubble3D val="0"/>
            <c:spPr>
              <a:solidFill>
                <a:srgbClr val="FF0000"/>
              </a:solidFill>
              <a:ln>
                <a:noFill/>
              </a:ln>
              <a:effectLst/>
            </c:spPr>
            <c:extLst>
              <c:ext xmlns:c16="http://schemas.microsoft.com/office/drawing/2014/chart" uri="{C3380CC4-5D6E-409C-BE32-E72D297353CC}">
                <c16:uniqueId val="{0000000B-A59B-4195-8475-C815262392B0}"/>
              </c:ext>
            </c:extLst>
          </c:dPt>
          <c:dPt>
            <c:idx val="21"/>
            <c:invertIfNegative val="0"/>
            <c:bubble3D val="0"/>
            <c:spPr>
              <a:solidFill>
                <a:srgbClr val="FF0000"/>
              </a:solidFill>
              <a:ln>
                <a:noFill/>
              </a:ln>
              <a:effectLst/>
            </c:spPr>
            <c:extLst>
              <c:ext xmlns:c16="http://schemas.microsoft.com/office/drawing/2014/chart" uri="{C3380CC4-5D6E-409C-BE32-E72D297353CC}">
                <c16:uniqueId val="{0000000D-A59B-4195-8475-C815262392B0}"/>
              </c:ext>
            </c:extLst>
          </c:dPt>
          <c:dPt>
            <c:idx val="22"/>
            <c:invertIfNegative val="0"/>
            <c:bubble3D val="0"/>
            <c:spPr>
              <a:solidFill>
                <a:srgbClr val="FF0000"/>
              </a:solidFill>
              <a:ln>
                <a:noFill/>
              </a:ln>
              <a:effectLst/>
            </c:spPr>
            <c:extLst>
              <c:ext xmlns:c16="http://schemas.microsoft.com/office/drawing/2014/chart" uri="{C3380CC4-5D6E-409C-BE32-E72D297353CC}">
                <c16:uniqueId val="{0000000F-A59B-4195-8475-C815262392B0}"/>
              </c:ext>
            </c:extLst>
          </c:dPt>
          <c:dPt>
            <c:idx val="23"/>
            <c:invertIfNegative val="0"/>
            <c:bubble3D val="0"/>
            <c:spPr>
              <a:solidFill>
                <a:srgbClr val="FF0000"/>
              </a:solidFill>
              <a:ln>
                <a:noFill/>
              </a:ln>
              <a:effectLst/>
            </c:spPr>
            <c:extLst>
              <c:ext xmlns:c16="http://schemas.microsoft.com/office/drawing/2014/chart" uri="{C3380CC4-5D6E-409C-BE32-E72D297353CC}">
                <c16:uniqueId val="{00000011-A59B-4195-8475-C815262392B0}"/>
              </c:ext>
            </c:extLst>
          </c:dPt>
          <c:dPt>
            <c:idx val="24"/>
            <c:invertIfNegative val="0"/>
            <c:bubble3D val="0"/>
            <c:spPr>
              <a:solidFill>
                <a:srgbClr val="FF0000"/>
              </a:solidFill>
              <a:ln>
                <a:noFill/>
              </a:ln>
              <a:effectLst/>
            </c:spPr>
            <c:extLst>
              <c:ext xmlns:c16="http://schemas.microsoft.com/office/drawing/2014/chart" uri="{C3380CC4-5D6E-409C-BE32-E72D297353CC}">
                <c16:uniqueId val="{00000013-A59B-4195-8475-C815262392B0}"/>
              </c:ext>
            </c:extLst>
          </c:dPt>
          <c:dPt>
            <c:idx val="25"/>
            <c:invertIfNegative val="0"/>
            <c:bubble3D val="0"/>
            <c:spPr>
              <a:solidFill>
                <a:srgbClr val="FF0000"/>
              </a:solidFill>
              <a:ln>
                <a:noFill/>
              </a:ln>
              <a:effectLst/>
            </c:spPr>
            <c:extLst>
              <c:ext xmlns:c16="http://schemas.microsoft.com/office/drawing/2014/chart" uri="{C3380CC4-5D6E-409C-BE32-E72D297353CC}">
                <c16:uniqueId val="{00000015-A59B-4195-8475-C815262392B0}"/>
              </c:ext>
            </c:extLst>
          </c:dPt>
          <c:dPt>
            <c:idx val="26"/>
            <c:invertIfNegative val="0"/>
            <c:bubble3D val="0"/>
            <c:spPr>
              <a:solidFill>
                <a:srgbClr val="FF0000"/>
              </a:solidFill>
              <a:ln>
                <a:noFill/>
              </a:ln>
              <a:effectLst/>
            </c:spPr>
            <c:extLst>
              <c:ext xmlns:c16="http://schemas.microsoft.com/office/drawing/2014/chart" uri="{C3380CC4-5D6E-409C-BE32-E72D297353CC}">
                <c16:uniqueId val="{00000017-A59B-4195-8475-C815262392B0}"/>
              </c:ext>
            </c:extLst>
          </c:dPt>
          <c:dPt>
            <c:idx val="27"/>
            <c:invertIfNegative val="0"/>
            <c:bubble3D val="0"/>
            <c:spPr>
              <a:solidFill>
                <a:srgbClr val="FF0000"/>
              </a:solidFill>
              <a:ln>
                <a:noFill/>
              </a:ln>
              <a:effectLst/>
            </c:spPr>
            <c:extLst>
              <c:ext xmlns:c16="http://schemas.microsoft.com/office/drawing/2014/chart" uri="{C3380CC4-5D6E-409C-BE32-E72D297353CC}">
                <c16:uniqueId val="{00000019-A59B-4195-8475-C815262392B0}"/>
              </c:ext>
            </c:extLst>
          </c:dPt>
          <c:dPt>
            <c:idx val="28"/>
            <c:invertIfNegative val="0"/>
            <c:bubble3D val="0"/>
            <c:spPr>
              <a:solidFill>
                <a:srgbClr val="FF0000"/>
              </a:solidFill>
              <a:ln>
                <a:noFill/>
              </a:ln>
              <a:effectLst/>
            </c:spPr>
            <c:extLst>
              <c:ext xmlns:c16="http://schemas.microsoft.com/office/drawing/2014/chart" uri="{C3380CC4-5D6E-409C-BE32-E72D297353CC}">
                <c16:uniqueId val="{0000001B-A59B-4195-8475-C815262392B0}"/>
              </c:ext>
            </c:extLst>
          </c:dPt>
          <c:dPt>
            <c:idx val="29"/>
            <c:invertIfNegative val="0"/>
            <c:bubble3D val="0"/>
            <c:spPr>
              <a:solidFill>
                <a:srgbClr val="FF0000"/>
              </a:solidFill>
              <a:ln>
                <a:noFill/>
              </a:ln>
              <a:effectLst/>
            </c:spPr>
            <c:extLst>
              <c:ext xmlns:c16="http://schemas.microsoft.com/office/drawing/2014/chart" uri="{C3380CC4-5D6E-409C-BE32-E72D297353CC}">
                <c16:uniqueId val="{0000001D-A59B-4195-8475-C815262392B0}"/>
              </c:ext>
            </c:extLst>
          </c:dPt>
          <c:dPt>
            <c:idx val="30"/>
            <c:invertIfNegative val="0"/>
            <c:bubble3D val="0"/>
            <c:spPr>
              <a:solidFill>
                <a:srgbClr val="FF0000"/>
              </a:solidFill>
              <a:ln>
                <a:noFill/>
              </a:ln>
              <a:effectLst/>
            </c:spPr>
            <c:extLst>
              <c:ext xmlns:c16="http://schemas.microsoft.com/office/drawing/2014/chart" uri="{C3380CC4-5D6E-409C-BE32-E72D297353CC}">
                <c16:uniqueId val="{0000001F-A59B-4195-8475-C815262392B0}"/>
              </c:ext>
            </c:extLst>
          </c:dPt>
          <c:dPt>
            <c:idx val="31"/>
            <c:invertIfNegative val="0"/>
            <c:bubble3D val="0"/>
            <c:spPr>
              <a:solidFill>
                <a:srgbClr val="7030A0"/>
              </a:solidFill>
              <a:ln>
                <a:noFill/>
              </a:ln>
              <a:effectLst/>
            </c:spPr>
            <c:extLst>
              <c:ext xmlns:c16="http://schemas.microsoft.com/office/drawing/2014/chart" uri="{C3380CC4-5D6E-409C-BE32-E72D297353CC}">
                <c16:uniqueId val="{00000021-A59B-4195-8475-C815262392B0}"/>
              </c:ext>
            </c:extLst>
          </c:dPt>
          <c:dPt>
            <c:idx val="32"/>
            <c:invertIfNegative val="0"/>
            <c:bubble3D val="0"/>
            <c:spPr>
              <a:solidFill>
                <a:srgbClr val="7030A0"/>
              </a:solidFill>
              <a:ln>
                <a:noFill/>
              </a:ln>
              <a:effectLst/>
            </c:spPr>
            <c:extLst>
              <c:ext xmlns:c16="http://schemas.microsoft.com/office/drawing/2014/chart" uri="{C3380CC4-5D6E-409C-BE32-E72D297353CC}">
                <c16:uniqueId val="{00000023-A59B-4195-8475-C815262392B0}"/>
              </c:ext>
            </c:extLst>
          </c:dPt>
          <c:dPt>
            <c:idx val="33"/>
            <c:invertIfNegative val="0"/>
            <c:bubble3D val="0"/>
            <c:spPr>
              <a:solidFill>
                <a:srgbClr val="7030A0"/>
              </a:solidFill>
              <a:ln>
                <a:noFill/>
              </a:ln>
              <a:effectLst/>
            </c:spPr>
            <c:extLst>
              <c:ext xmlns:c16="http://schemas.microsoft.com/office/drawing/2014/chart" uri="{C3380CC4-5D6E-409C-BE32-E72D297353CC}">
                <c16:uniqueId val="{00000025-A59B-4195-8475-C815262392B0}"/>
              </c:ext>
            </c:extLst>
          </c:dPt>
          <c:dPt>
            <c:idx val="34"/>
            <c:invertIfNegative val="0"/>
            <c:bubble3D val="0"/>
            <c:spPr>
              <a:solidFill>
                <a:srgbClr val="7030A0"/>
              </a:solidFill>
              <a:ln>
                <a:noFill/>
              </a:ln>
              <a:effectLst/>
            </c:spPr>
            <c:extLst>
              <c:ext xmlns:c16="http://schemas.microsoft.com/office/drawing/2014/chart" uri="{C3380CC4-5D6E-409C-BE32-E72D297353CC}">
                <c16:uniqueId val="{00000027-A59B-4195-8475-C815262392B0}"/>
              </c:ext>
            </c:extLst>
          </c:dPt>
          <c:dPt>
            <c:idx val="35"/>
            <c:invertIfNegative val="0"/>
            <c:bubble3D val="0"/>
            <c:spPr>
              <a:solidFill>
                <a:srgbClr val="7030A0"/>
              </a:solidFill>
              <a:ln>
                <a:noFill/>
              </a:ln>
              <a:effectLst/>
            </c:spPr>
            <c:extLst>
              <c:ext xmlns:c16="http://schemas.microsoft.com/office/drawing/2014/chart" uri="{C3380CC4-5D6E-409C-BE32-E72D297353CC}">
                <c16:uniqueId val="{00000029-A59B-4195-8475-C815262392B0}"/>
              </c:ext>
            </c:extLst>
          </c:dPt>
          <c:dPt>
            <c:idx val="36"/>
            <c:invertIfNegative val="0"/>
            <c:bubble3D val="0"/>
            <c:spPr>
              <a:solidFill>
                <a:srgbClr val="7030A0"/>
              </a:solidFill>
              <a:ln>
                <a:noFill/>
              </a:ln>
              <a:effectLst/>
            </c:spPr>
            <c:extLst>
              <c:ext xmlns:c16="http://schemas.microsoft.com/office/drawing/2014/chart" uri="{C3380CC4-5D6E-409C-BE32-E72D297353CC}">
                <c16:uniqueId val="{0000002B-A59B-4195-8475-C815262392B0}"/>
              </c:ext>
            </c:extLst>
          </c:dPt>
          <c:dPt>
            <c:idx val="37"/>
            <c:invertIfNegative val="0"/>
            <c:bubble3D val="0"/>
            <c:spPr>
              <a:solidFill>
                <a:srgbClr val="7030A0"/>
              </a:solidFill>
              <a:ln>
                <a:noFill/>
              </a:ln>
              <a:effectLst/>
            </c:spPr>
            <c:extLst>
              <c:ext xmlns:c16="http://schemas.microsoft.com/office/drawing/2014/chart" uri="{C3380CC4-5D6E-409C-BE32-E72D297353CC}">
                <c16:uniqueId val="{0000002D-A59B-4195-8475-C815262392B0}"/>
              </c:ext>
            </c:extLst>
          </c:dPt>
          <c:dPt>
            <c:idx val="38"/>
            <c:invertIfNegative val="0"/>
            <c:bubble3D val="0"/>
            <c:spPr>
              <a:solidFill>
                <a:srgbClr val="7030A0"/>
              </a:solidFill>
              <a:ln>
                <a:noFill/>
              </a:ln>
              <a:effectLst/>
            </c:spPr>
            <c:extLst>
              <c:ext xmlns:c16="http://schemas.microsoft.com/office/drawing/2014/chart" uri="{C3380CC4-5D6E-409C-BE32-E72D297353CC}">
                <c16:uniqueId val="{0000002F-A59B-4195-8475-C815262392B0}"/>
              </c:ext>
            </c:extLst>
          </c:dPt>
          <c:dPt>
            <c:idx val="39"/>
            <c:invertIfNegative val="0"/>
            <c:bubble3D val="0"/>
            <c:spPr>
              <a:solidFill>
                <a:srgbClr val="7030A0"/>
              </a:solidFill>
              <a:ln>
                <a:noFill/>
              </a:ln>
              <a:effectLst/>
            </c:spPr>
            <c:extLst>
              <c:ext xmlns:c16="http://schemas.microsoft.com/office/drawing/2014/chart" uri="{C3380CC4-5D6E-409C-BE32-E72D297353CC}">
                <c16:uniqueId val="{00000031-A59B-4195-8475-C815262392B0}"/>
              </c:ext>
            </c:extLst>
          </c:dPt>
          <c:dPt>
            <c:idx val="40"/>
            <c:invertIfNegative val="0"/>
            <c:bubble3D val="0"/>
            <c:spPr>
              <a:solidFill>
                <a:srgbClr val="7030A0"/>
              </a:solidFill>
              <a:ln>
                <a:noFill/>
              </a:ln>
              <a:effectLst/>
            </c:spPr>
            <c:extLst>
              <c:ext xmlns:c16="http://schemas.microsoft.com/office/drawing/2014/chart" uri="{C3380CC4-5D6E-409C-BE32-E72D297353CC}">
                <c16:uniqueId val="{00000033-A59B-4195-8475-C815262392B0}"/>
              </c:ext>
            </c:extLst>
          </c:dPt>
          <c:dPt>
            <c:idx val="41"/>
            <c:invertIfNegative val="0"/>
            <c:bubble3D val="0"/>
            <c:spPr>
              <a:solidFill>
                <a:srgbClr val="7030A0"/>
              </a:solidFill>
              <a:ln>
                <a:noFill/>
              </a:ln>
              <a:effectLst/>
            </c:spPr>
            <c:extLst>
              <c:ext xmlns:c16="http://schemas.microsoft.com/office/drawing/2014/chart" uri="{C3380CC4-5D6E-409C-BE32-E72D297353CC}">
                <c16:uniqueId val="{00000035-A59B-4195-8475-C815262392B0}"/>
              </c:ext>
            </c:extLst>
          </c:dPt>
          <c:dPt>
            <c:idx val="42"/>
            <c:invertIfNegative val="0"/>
            <c:bubble3D val="0"/>
            <c:spPr>
              <a:solidFill>
                <a:srgbClr val="7030A0"/>
              </a:solidFill>
              <a:ln>
                <a:noFill/>
              </a:ln>
              <a:effectLst/>
            </c:spPr>
            <c:extLst>
              <c:ext xmlns:c16="http://schemas.microsoft.com/office/drawing/2014/chart" uri="{C3380CC4-5D6E-409C-BE32-E72D297353CC}">
                <c16:uniqueId val="{00000037-A59B-4195-8475-C815262392B0}"/>
              </c:ext>
            </c:extLst>
          </c:dPt>
          <c:dPt>
            <c:idx val="43"/>
            <c:invertIfNegative val="0"/>
            <c:bubble3D val="0"/>
            <c:spPr>
              <a:solidFill>
                <a:srgbClr val="7030A0"/>
              </a:solidFill>
              <a:ln>
                <a:noFill/>
              </a:ln>
              <a:effectLst/>
            </c:spPr>
            <c:extLst>
              <c:ext xmlns:c16="http://schemas.microsoft.com/office/drawing/2014/chart" uri="{C3380CC4-5D6E-409C-BE32-E72D297353CC}">
                <c16:uniqueId val="{00000039-A59B-4195-8475-C815262392B0}"/>
              </c:ext>
            </c:extLst>
          </c:dPt>
          <c:dPt>
            <c:idx val="44"/>
            <c:invertIfNegative val="0"/>
            <c:bubble3D val="0"/>
            <c:spPr>
              <a:solidFill>
                <a:srgbClr val="7030A0"/>
              </a:solidFill>
              <a:ln>
                <a:noFill/>
              </a:ln>
              <a:effectLst/>
            </c:spPr>
            <c:extLst>
              <c:ext xmlns:c16="http://schemas.microsoft.com/office/drawing/2014/chart" uri="{C3380CC4-5D6E-409C-BE32-E72D297353CC}">
                <c16:uniqueId val="{0000003B-A59B-4195-8475-C815262392B0}"/>
              </c:ext>
            </c:extLst>
          </c:dPt>
          <c:dPt>
            <c:idx val="45"/>
            <c:invertIfNegative val="0"/>
            <c:bubble3D val="0"/>
            <c:spPr>
              <a:solidFill>
                <a:srgbClr val="7030A0"/>
              </a:solidFill>
              <a:ln>
                <a:noFill/>
              </a:ln>
              <a:effectLst/>
            </c:spPr>
            <c:extLst>
              <c:ext xmlns:c16="http://schemas.microsoft.com/office/drawing/2014/chart" uri="{C3380CC4-5D6E-409C-BE32-E72D297353CC}">
                <c16:uniqueId val="{0000003D-A59B-4195-8475-C815262392B0}"/>
              </c:ext>
            </c:extLst>
          </c:dPt>
          <c:dPt>
            <c:idx val="46"/>
            <c:invertIfNegative val="0"/>
            <c:bubble3D val="0"/>
            <c:spPr>
              <a:solidFill>
                <a:srgbClr val="7030A0"/>
              </a:solidFill>
              <a:ln>
                <a:noFill/>
              </a:ln>
              <a:effectLst/>
            </c:spPr>
            <c:extLst>
              <c:ext xmlns:c16="http://schemas.microsoft.com/office/drawing/2014/chart" uri="{C3380CC4-5D6E-409C-BE32-E72D297353CC}">
                <c16:uniqueId val="{0000003F-A59B-4195-8475-C815262392B0}"/>
              </c:ext>
            </c:extLst>
          </c:dPt>
          <c:dPt>
            <c:idx val="47"/>
            <c:invertIfNegative val="0"/>
            <c:bubble3D val="0"/>
            <c:spPr>
              <a:solidFill>
                <a:srgbClr val="FFC000"/>
              </a:solidFill>
              <a:ln>
                <a:noFill/>
              </a:ln>
              <a:effectLst/>
            </c:spPr>
            <c:extLst>
              <c:ext xmlns:c16="http://schemas.microsoft.com/office/drawing/2014/chart" uri="{C3380CC4-5D6E-409C-BE32-E72D297353CC}">
                <c16:uniqueId val="{00000041-A59B-4195-8475-C815262392B0}"/>
              </c:ext>
            </c:extLst>
          </c:dPt>
          <c:dPt>
            <c:idx val="48"/>
            <c:invertIfNegative val="0"/>
            <c:bubble3D val="0"/>
            <c:spPr>
              <a:solidFill>
                <a:srgbClr val="FFC000"/>
              </a:solidFill>
              <a:ln>
                <a:noFill/>
              </a:ln>
              <a:effectLst/>
            </c:spPr>
            <c:extLst>
              <c:ext xmlns:c16="http://schemas.microsoft.com/office/drawing/2014/chart" uri="{C3380CC4-5D6E-409C-BE32-E72D297353CC}">
                <c16:uniqueId val="{00000043-A59B-4195-8475-C815262392B0}"/>
              </c:ext>
            </c:extLst>
          </c:dPt>
          <c:dPt>
            <c:idx val="49"/>
            <c:invertIfNegative val="0"/>
            <c:bubble3D val="0"/>
            <c:spPr>
              <a:solidFill>
                <a:srgbClr val="FFC000"/>
              </a:solidFill>
              <a:ln>
                <a:noFill/>
              </a:ln>
              <a:effectLst/>
            </c:spPr>
            <c:extLst>
              <c:ext xmlns:c16="http://schemas.microsoft.com/office/drawing/2014/chart" uri="{C3380CC4-5D6E-409C-BE32-E72D297353CC}">
                <c16:uniqueId val="{00000045-A59B-4195-8475-C815262392B0}"/>
              </c:ext>
            </c:extLst>
          </c:dPt>
          <c:dPt>
            <c:idx val="50"/>
            <c:invertIfNegative val="0"/>
            <c:bubble3D val="0"/>
            <c:spPr>
              <a:solidFill>
                <a:srgbClr val="FFC000"/>
              </a:solidFill>
              <a:ln>
                <a:noFill/>
              </a:ln>
              <a:effectLst/>
            </c:spPr>
            <c:extLst>
              <c:ext xmlns:c16="http://schemas.microsoft.com/office/drawing/2014/chart" uri="{C3380CC4-5D6E-409C-BE32-E72D297353CC}">
                <c16:uniqueId val="{00000047-A59B-4195-8475-C815262392B0}"/>
              </c:ext>
            </c:extLst>
          </c:dPt>
          <c:dPt>
            <c:idx val="51"/>
            <c:invertIfNegative val="0"/>
            <c:bubble3D val="0"/>
            <c:spPr>
              <a:solidFill>
                <a:srgbClr val="FFC000"/>
              </a:solidFill>
              <a:ln>
                <a:noFill/>
              </a:ln>
              <a:effectLst/>
            </c:spPr>
            <c:extLst>
              <c:ext xmlns:c16="http://schemas.microsoft.com/office/drawing/2014/chart" uri="{C3380CC4-5D6E-409C-BE32-E72D297353CC}">
                <c16:uniqueId val="{00000049-A59B-4195-8475-C815262392B0}"/>
              </c:ext>
            </c:extLst>
          </c:dPt>
          <c:dPt>
            <c:idx val="52"/>
            <c:invertIfNegative val="0"/>
            <c:bubble3D val="0"/>
            <c:spPr>
              <a:solidFill>
                <a:srgbClr val="FFC000"/>
              </a:solidFill>
              <a:ln>
                <a:noFill/>
              </a:ln>
              <a:effectLst/>
            </c:spPr>
            <c:extLst>
              <c:ext xmlns:c16="http://schemas.microsoft.com/office/drawing/2014/chart" uri="{C3380CC4-5D6E-409C-BE32-E72D297353CC}">
                <c16:uniqueId val="{0000004B-A59B-4195-8475-C815262392B0}"/>
              </c:ext>
            </c:extLst>
          </c:dPt>
          <c:dPt>
            <c:idx val="53"/>
            <c:invertIfNegative val="0"/>
            <c:bubble3D val="0"/>
            <c:spPr>
              <a:solidFill>
                <a:srgbClr val="FFC000"/>
              </a:solidFill>
              <a:ln>
                <a:noFill/>
              </a:ln>
              <a:effectLst/>
            </c:spPr>
            <c:extLst>
              <c:ext xmlns:c16="http://schemas.microsoft.com/office/drawing/2014/chart" uri="{C3380CC4-5D6E-409C-BE32-E72D297353CC}">
                <c16:uniqueId val="{0000004D-A59B-4195-8475-C815262392B0}"/>
              </c:ext>
            </c:extLst>
          </c:dPt>
          <c:dPt>
            <c:idx val="54"/>
            <c:invertIfNegative val="0"/>
            <c:bubble3D val="0"/>
            <c:spPr>
              <a:solidFill>
                <a:srgbClr val="FFC000"/>
              </a:solidFill>
              <a:ln>
                <a:noFill/>
              </a:ln>
              <a:effectLst/>
            </c:spPr>
            <c:extLst>
              <c:ext xmlns:c16="http://schemas.microsoft.com/office/drawing/2014/chart" uri="{C3380CC4-5D6E-409C-BE32-E72D297353CC}">
                <c16:uniqueId val="{0000004F-A59B-4195-8475-C815262392B0}"/>
              </c:ext>
            </c:extLst>
          </c:dPt>
          <c:dPt>
            <c:idx val="55"/>
            <c:invertIfNegative val="0"/>
            <c:bubble3D val="0"/>
            <c:spPr>
              <a:solidFill>
                <a:srgbClr val="FFC000"/>
              </a:solidFill>
              <a:ln>
                <a:noFill/>
              </a:ln>
              <a:effectLst/>
            </c:spPr>
            <c:extLst>
              <c:ext xmlns:c16="http://schemas.microsoft.com/office/drawing/2014/chart" uri="{C3380CC4-5D6E-409C-BE32-E72D297353CC}">
                <c16:uniqueId val="{00000051-A59B-4195-8475-C815262392B0}"/>
              </c:ext>
            </c:extLst>
          </c:dPt>
          <c:dPt>
            <c:idx val="56"/>
            <c:invertIfNegative val="0"/>
            <c:bubble3D val="0"/>
            <c:spPr>
              <a:solidFill>
                <a:srgbClr val="FFC000"/>
              </a:solidFill>
              <a:ln>
                <a:noFill/>
              </a:ln>
              <a:effectLst/>
            </c:spPr>
            <c:extLst>
              <c:ext xmlns:c16="http://schemas.microsoft.com/office/drawing/2014/chart" uri="{C3380CC4-5D6E-409C-BE32-E72D297353CC}">
                <c16:uniqueId val="{00000053-A59B-4195-8475-C815262392B0}"/>
              </c:ext>
            </c:extLst>
          </c:dPt>
          <c:dPt>
            <c:idx val="57"/>
            <c:invertIfNegative val="0"/>
            <c:bubble3D val="0"/>
            <c:spPr>
              <a:solidFill>
                <a:schemeClr val="accent4"/>
              </a:solidFill>
              <a:ln>
                <a:noFill/>
              </a:ln>
              <a:effectLst/>
            </c:spPr>
            <c:extLst>
              <c:ext xmlns:c16="http://schemas.microsoft.com/office/drawing/2014/chart" uri="{C3380CC4-5D6E-409C-BE32-E72D297353CC}">
                <c16:uniqueId val="{00000055-A59B-4195-8475-C815262392B0}"/>
              </c:ext>
            </c:extLst>
          </c:dPt>
          <c:dPt>
            <c:idx val="58"/>
            <c:invertIfNegative val="0"/>
            <c:bubble3D val="0"/>
            <c:spPr>
              <a:solidFill>
                <a:schemeClr val="accent4"/>
              </a:solidFill>
              <a:ln>
                <a:noFill/>
              </a:ln>
              <a:effectLst/>
            </c:spPr>
            <c:extLst>
              <c:ext xmlns:c16="http://schemas.microsoft.com/office/drawing/2014/chart" uri="{C3380CC4-5D6E-409C-BE32-E72D297353CC}">
                <c16:uniqueId val="{00000057-A59B-4195-8475-C815262392B0}"/>
              </c:ext>
            </c:extLst>
          </c:dPt>
          <c:dPt>
            <c:idx val="59"/>
            <c:invertIfNegative val="0"/>
            <c:bubble3D val="0"/>
            <c:spPr>
              <a:solidFill>
                <a:srgbClr val="FFC000"/>
              </a:solidFill>
              <a:ln>
                <a:noFill/>
              </a:ln>
              <a:effectLst/>
            </c:spPr>
            <c:extLst>
              <c:ext xmlns:c16="http://schemas.microsoft.com/office/drawing/2014/chart" uri="{C3380CC4-5D6E-409C-BE32-E72D297353CC}">
                <c16:uniqueId val="{00000059-A59B-4195-8475-C815262392B0}"/>
              </c:ext>
            </c:extLst>
          </c:dPt>
          <c:dPt>
            <c:idx val="60"/>
            <c:invertIfNegative val="0"/>
            <c:bubble3D val="0"/>
            <c:spPr>
              <a:solidFill>
                <a:srgbClr val="FFC000"/>
              </a:solidFill>
              <a:ln>
                <a:noFill/>
              </a:ln>
              <a:effectLst/>
            </c:spPr>
            <c:extLst>
              <c:ext xmlns:c16="http://schemas.microsoft.com/office/drawing/2014/chart" uri="{C3380CC4-5D6E-409C-BE32-E72D297353CC}">
                <c16:uniqueId val="{0000005B-A59B-4195-8475-C815262392B0}"/>
              </c:ext>
            </c:extLst>
          </c:dPt>
          <c:dPt>
            <c:idx val="61"/>
            <c:invertIfNegative val="0"/>
            <c:bubble3D val="0"/>
            <c:spPr>
              <a:solidFill>
                <a:srgbClr val="FFC000"/>
              </a:solidFill>
              <a:ln>
                <a:noFill/>
              </a:ln>
              <a:effectLst/>
            </c:spPr>
            <c:extLst>
              <c:ext xmlns:c16="http://schemas.microsoft.com/office/drawing/2014/chart" uri="{C3380CC4-5D6E-409C-BE32-E72D297353CC}">
                <c16:uniqueId val="{0000005D-A59B-4195-8475-C815262392B0}"/>
              </c:ext>
            </c:extLst>
          </c:dPt>
          <c:dPt>
            <c:idx val="62"/>
            <c:invertIfNegative val="0"/>
            <c:bubble3D val="0"/>
            <c:spPr>
              <a:solidFill>
                <a:srgbClr val="FFC000"/>
              </a:solidFill>
              <a:ln>
                <a:noFill/>
              </a:ln>
              <a:effectLst/>
            </c:spPr>
            <c:extLst>
              <c:ext xmlns:c16="http://schemas.microsoft.com/office/drawing/2014/chart" uri="{C3380CC4-5D6E-409C-BE32-E72D297353CC}">
                <c16:uniqueId val="{0000005F-A59B-4195-8475-C815262392B0}"/>
              </c:ext>
            </c:extLst>
          </c:dPt>
          <c:dPt>
            <c:idx val="63"/>
            <c:invertIfNegative val="0"/>
            <c:bubble3D val="0"/>
            <c:spPr>
              <a:solidFill>
                <a:srgbClr val="008000"/>
              </a:solidFill>
              <a:ln>
                <a:noFill/>
              </a:ln>
              <a:effectLst/>
            </c:spPr>
            <c:extLst>
              <c:ext xmlns:c16="http://schemas.microsoft.com/office/drawing/2014/chart" uri="{C3380CC4-5D6E-409C-BE32-E72D297353CC}">
                <c16:uniqueId val="{00000061-A59B-4195-8475-C815262392B0}"/>
              </c:ext>
            </c:extLst>
          </c:dPt>
          <c:dPt>
            <c:idx val="64"/>
            <c:invertIfNegative val="0"/>
            <c:bubble3D val="0"/>
            <c:spPr>
              <a:solidFill>
                <a:srgbClr val="008000"/>
              </a:solidFill>
              <a:ln>
                <a:noFill/>
              </a:ln>
              <a:effectLst/>
            </c:spPr>
            <c:extLst>
              <c:ext xmlns:c16="http://schemas.microsoft.com/office/drawing/2014/chart" uri="{C3380CC4-5D6E-409C-BE32-E72D297353CC}">
                <c16:uniqueId val="{00000063-A59B-4195-8475-C815262392B0}"/>
              </c:ext>
            </c:extLst>
          </c:dPt>
          <c:dPt>
            <c:idx val="65"/>
            <c:invertIfNegative val="0"/>
            <c:bubble3D val="0"/>
            <c:spPr>
              <a:solidFill>
                <a:srgbClr val="008000"/>
              </a:solidFill>
              <a:ln>
                <a:noFill/>
              </a:ln>
              <a:effectLst/>
            </c:spPr>
            <c:extLst>
              <c:ext xmlns:c16="http://schemas.microsoft.com/office/drawing/2014/chart" uri="{C3380CC4-5D6E-409C-BE32-E72D297353CC}">
                <c16:uniqueId val="{00000065-A59B-4195-8475-C815262392B0}"/>
              </c:ext>
            </c:extLst>
          </c:dPt>
          <c:dPt>
            <c:idx val="66"/>
            <c:invertIfNegative val="0"/>
            <c:bubble3D val="0"/>
            <c:spPr>
              <a:solidFill>
                <a:srgbClr val="008000"/>
              </a:solidFill>
              <a:ln>
                <a:noFill/>
              </a:ln>
              <a:effectLst/>
            </c:spPr>
            <c:extLst>
              <c:ext xmlns:c16="http://schemas.microsoft.com/office/drawing/2014/chart" uri="{C3380CC4-5D6E-409C-BE32-E72D297353CC}">
                <c16:uniqueId val="{00000067-A59B-4195-8475-C815262392B0}"/>
              </c:ext>
            </c:extLst>
          </c:dPt>
          <c:dPt>
            <c:idx val="67"/>
            <c:invertIfNegative val="0"/>
            <c:bubble3D val="0"/>
            <c:spPr>
              <a:solidFill>
                <a:srgbClr val="008000"/>
              </a:solidFill>
              <a:ln>
                <a:noFill/>
              </a:ln>
              <a:effectLst/>
            </c:spPr>
            <c:extLst>
              <c:ext xmlns:c16="http://schemas.microsoft.com/office/drawing/2014/chart" uri="{C3380CC4-5D6E-409C-BE32-E72D297353CC}">
                <c16:uniqueId val="{00000069-A59B-4195-8475-C815262392B0}"/>
              </c:ext>
            </c:extLst>
          </c:dPt>
          <c:dPt>
            <c:idx val="68"/>
            <c:invertIfNegative val="0"/>
            <c:bubble3D val="0"/>
            <c:spPr>
              <a:solidFill>
                <a:srgbClr val="008000"/>
              </a:solidFill>
              <a:ln>
                <a:noFill/>
              </a:ln>
              <a:effectLst/>
            </c:spPr>
            <c:extLst>
              <c:ext xmlns:c16="http://schemas.microsoft.com/office/drawing/2014/chart" uri="{C3380CC4-5D6E-409C-BE32-E72D297353CC}">
                <c16:uniqueId val="{0000006B-A59B-4195-8475-C815262392B0}"/>
              </c:ext>
            </c:extLst>
          </c:dPt>
          <c:dPt>
            <c:idx val="69"/>
            <c:invertIfNegative val="0"/>
            <c:bubble3D val="0"/>
            <c:spPr>
              <a:solidFill>
                <a:srgbClr val="008000"/>
              </a:solidFill>
              <a:ln>
                <a:noFill/>
              </a:ln>
              <a:effectLst/>
            </c:spPr>
            <c:extLst>
              <c:ext xmlns:c16="http://schemas.microsoft.com/office/drawing/2014/chart" uri="{C3380CC4-5D6E-409C-BE32-E72D297353CC}">
                <c16:uniqueId val="{0000006D-A59B-4195-8475-C815262392B0}"/>
              </c:ext>
            </c:extLst>
          </c:dPt>
          <c:dPt>
            <c:idx val="70"/>
            <c:invertIfNegative val="0"/>
            <c:bubble3D val="0"/>
            <c:spPr>
              <a:solidFill>
                <a:srgbClr val="008000"/>
              </a:solidFill>
              <a:ln>
                <a:noFill/>
              </a:ln>
              <a:effectLst/>
            </c:spPr>
            <c:extLst>
              <c:ext xmlns:c16="http://schemas.microsoft.com/office/drawing/2014/chart" uri="{C3380CC4-5D6E-409C-BE32-E72D297353CC}">
                <c16:uniqueId val="{0000006F-A59B-4195-8475-C815262392B0}"/>
              </c:ext>
            </c:extLst>
          </c:dPt>
          <c:dPt>
            <c:idx val="71"/>
            <c:invertIfNegative val="0"/>
            <c:bubble3D val="0"/>
            <c:spPr>
              <a:solidFill>
                <a:srgbClr val="008000"/>
              </a:solidFill>
              <a:ln>
                <a:noFill/>
              </a:ln>
              <a:effectLst/>
            </c:spPr>
            <c:extLst>
              <c:ext xmlns:c16="http://schemas.microsoft.com/office/drawing/2014/chart" uri="{C3380CC4-5D6E-409C-BE32-E72D297353CC}">
                <c16:uniqueId val="{00000071-A59B-4195-8475-C815262392B0}"/>
              </c:ext>
            </c:extLst>
          </c:dPt>
          <c:dPt>
            <c:idx val="72"/>
            <c:invertIfNegative val="0"/>
            <c:bubble3D val="0"/>
            <c:spPr>
              <a:solidFill>
                <a:srgbClr val="008000"/>
              </a:solidFill>
              <a:ln>
                <a:noFill/>
              </a:ln>
              <a:effectLst/>
            </c:spPr>
            <c:extLst>
              <c:ext xmlns:c16="http://schemas.microsoft.com/office/drawing/2014/chart" uri="{C3380CC4-5D6E-409C-BE32-E72D297353CC}">
                <c16:uniqueId val="{00000073-A59B-4195-8475-C815262392B0}"/>
              </c:ext>
            </c:extLst>
          </c:dPt>
          <c:dPt>
            <c:idx val="73"/>
            <c:invertIfNegative val="0"/>
            <c:bubble3D val="0"/>
            <c:spPr>
              <a:solidFill>
                <a:srgbClr val="008000"/>
              </a:solidFill>
              <a:ln>
                <a:noFill/>
              </a:ln>
              <a:effectLst/>
            </c:spPr>
            <c:extLst>
              <c:ext xmlns:c16="http://schemas.microsoft.com/office/drawing/2014/chart" uri="{C3380CC4-5D6E-409C-BE32-E72D297353CC}">
                <c16:uniqueId val="{00000075-A59B-4195-8475-C815262392B0}"/>
              </c:ext>
            </c:extLst>
          </c:dPt>
          <c:dPt>
            <c:idx val="74"/>
            <c:invertIfNegative val="0"/>
            <c:bubble3D val="0"/>
            <c:spPr>
              <a:solidFill>
                <a:srgbClr val="008000"/>
              </a:solidFill>
              <a:ln>
                <a:noFill/>
              </a:ln>
              <a:effectLst/>
            </c:spPr>
            <c:extLst>
              <c:ext xmlns:c16="http://schemas.microsoft.com/office/drawing/2014/chart" uri="{C3380CC4-5D6E-409C-BE32-E72D297353CC}">
                <c16:uniqueId val="{00000077-A59B-4195-8475-C815262392B0}"/>
              </c:ext>
            </c:extLst>
          </c:dPt>
          <c:dPt>
            <c:idx val="75"/>
            <c:invertIfNegative val="0"/>
            <c:bubble3D val="0"/>
            <c:spPr>
              <a:solidFill>
                <a:srgbClr val="008000"/>
              </a:solidFill>
              <a:ln>
                <a:noFill/>
              </a:ln>
              <a:effectLst/>
            </c:spPr>
            <c:extLst>
              <c:ext xmlns:c16="http://schemas.microsoft.com/office/drawing/2014/chart" uri="{C3380CC4-5D6E-409C-BE32-E72D297353CC}">
                <c16:uniqueId val="{00000079-A59B-4195-8475-C815262392B0}"/>
              </c:ext>
            </c:extLst>
          </c:dPt>
          <c:dPt>
            <c:idx val="76"/>
            <c:invertIfNegative val="0"/>
            <c:bubble3D val="0"/>
            <c:spPr>
              <a:solidFill>
                <a:srgbClr val="008000"/>
              </a:solidFill>
              <a:ln>
                <a:noFill/>
              </a:ln>
              <a:effectLst/>
            </c:spPr>
            <c:extLst>
              <c:ext xmlns:c16="http://schemas.microsoft.com/office/drawing/2014/chart" uri="{C3380CC4-5D6E-409C-BE32-E72D297353CC}">
                <c16:uniqueId val="{0000007B-A59B-4195-8475-C815262392B0}"/>
              </c:ext>
            </c:extLst>
          </c:dPt>
          <c:dPt>
            <c:idx val="77"/>
            <c:invertIfNegative val="0"/>
            <c:bubble3D val="0"/>
            <c:spPr>
              <a:solidFill>
                <a:srgbClr val="008000"/>
              </a:solidFill>
              <a:ln>
                <a:noFill/>
              </a:ln>
              <a:effectLst/>
            </c:spPr>
            <c:extLst>
              <c:ext xmlns:c16="http://schemas.microsoft.com/office/drawing/2014/chart" uri="{C3380CC4-5D6E-409C-BE32-E72D297353CC}">
                <c16:uniqueId val="{0000007D-A59B-4195-8475-C815262392B0}"/>
              </c:ext>
            </c:extLst>
          </c:dPt>
          <c:dPt>
            <c:idx val="78"/>
            <c:invertIfNegative val="0"/>
            <c:bubble3D val="0"/>
            <c:spPr>
              <a:solidFill>
                <a:srgbClr val="008000"/>
              </a:solidFill>
              <a:ln>
                <a:noFill/>
              </a:ln>
              <a:effectLst/>
            </c:spPr>
            <c:extLst>
              <c:ext xmlns:c16="http://schemas.microsoft.com/office/drawing/2014/chart" uri="{C3380CC4-5D6E-409C-BE32-E72D297353CC}">
                <c16:uniqueId val="{0000007F-A59B-4195-8475-C815262392B0}"/>
              </c:ext>
            </c:extLst>
          </c:dPt>
          <c:dLbls>
            <c:dLbl>
              <c:idx val="47"/>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1-A59B-4195-8475-C815262392B0}"/>
                </c:ext>
              </c:extLst>
            </c:dLbl>
            <c:dLbl>
              <c:idx val="48"/>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rgbClr val="7F6000"/>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3-A59B-4195-8475-C815262392B0}"/>
                </c:ext>
              </c:extLst>
            </c:dLbl>
            <c:dLbl>
              <c:idx val="49"/>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5-A59B-4195-8475-C815262392B0}"/>
                </c:ext>
              </c:extLst>
            </c:dLbl>
            <c:dLbl>
              <c:idx val="50"/>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7-A59B-4195-8475-C815262392B0}"/>
                </c:ext>
              </c:extLst>
            </c:dLbl>
            <c:dLbl>
              <c:idx val="51"/>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9-A59B-4195-8475-C815262392B0}"/>
                </c:ext>
              </c:extLst>
            </c:dLbl>
            <c:dLbl>
              <c:idx val="52"/>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B-A59B-4195-8475-C815262392B0}"/>
                </c:ext>
              </c:extLst>
            </c:dLbl>
            <c:dLbl>
              <c:idx val="53"/>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D-A59B-4195-8475-C815262392B0}"/>
                </c:ext>
              </c:extLst>
            </c:dLbl>
            <c:dLbl>
              <c:idx val="54"/>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4F-A59B-4195-8475-C815262392B0}"/>
                </c:ext>
              </c:extLst>
            </c:dLbl>
            <c:dLbl>
              <c:idx val="55"/>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1-A59B-4195-8475-C815262392B0}"/>
                </c:ext>
              </c:extLst>
            </c:dLbl>
            <c:dLbl>
              <c:idx val="56"/>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3-A59B-4195-8475-C815262392B0}"/>
                </c:ext>
              </c:extLst>
            </c:dLbl>
            <c:dLbl>
              <c:idx val="57"/>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rgbClr val="7F6000"/>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5-A59B-4195-8475-C815262392B0}"/>
                </c:ext>
              </c:extLst>
            </c:dLbl>
            <c:dLbl>
              <c:idx val="58"/>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rgbClr val="7F6000"/>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7-A59B-4195-8475-C815262392B0}"/>
                </c:ext>
              </c:extLst>
            </c:dLbl>
            <c:dLbl>
              <c:idx val="59"/>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rgbClr val="7F6000"/>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9-A59B-4195-8475-C815262392B0}"/>
                </c:ext>
              </c:extLst>
            </c:dLbl>
            <c:dLbl>
              <c:idx val="60"/>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rgbClr val="7F6000"/>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B-A59B-4195-8475-C815262392B0}"/>
                </c:ext>
              </c:extLst>
            </c:dLbl>
            <c:dLbl>
              <c:idx val="61"/>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rgbClr val="7F6000"/>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D-A59B-4195-8475-C815262392B0}"/>
                </c:ext>
              </c:extLst>
            </c:dLbl>
            <c:dLbl>
              <c:idx val="62"/>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rgbClr val="7F6000"/>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5F-A59B-4195-8475-C815262392B0}"/>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Granted Patents'!$AF$80:$DF$81</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3">
                    <c:v>USPTO</c:v>
                  </c:pt>
                </c:lvl>
              </c:multiLvlStrCache>
            </c:multiLvlStrRef>
          </c:cat>
          <c:val>
            <c:numRef>
              <c:f>'Ch4. Granted Patents'!$AF$82:$DF$82</c:f>
              <c:numCache>
                <c:formatCode>#,##0.0</c:formatCode>
                <c:ptCount val="79"/>
                <c:pt idx="0">
                  <c:v>30.702000000000002</c:v>
                </c:pt>
                <c:pt idx="1">
                  <c:v>32.582000000000001</c:v>
                </c:pt>
                <c:pt idx="2">
                  <c:v>32.634</c:v>
                </c:pt>
                <c:pt idx="3">
                  <c:v>33.607999999999997</c:v>
                </c:pt>
                <c:pt idx="4">
                  <c:v>33.042000000000002</c:v>
                </c:pt>
                <c:pt idx="5">
                  <c:v>36.56</c:v>
                </c:pt>
                <c:pt idx="6">
                  <c:v>48.726999999999997</c:v>
                </c:pt>
                <c:pt idx="7">
                  <c:v>50.68</c:v>
                </c:pt>
                <c:pt idx="8">
                  <c:v>57.905999999999999</c:v>
                </c:pt>
                <c:pt idx="9">
                  <c:v>60.57</c:v>
                </c:pt>
                <c:pt idx="10">
                  <c:v>58.655999999999999</c:v>
                </c:pt>
                <c:pt idx="11">
                  <c:v>47.713999999999999</c:v>
                </c:pt>
                <c:pt idx="12">
                  <c:v>36.625999999999998</c:v>
                </c:pt>
                <c:pt idx="13">
                  <c:v>46.610999999999997</c:v>
                </c:pt>
                <c:pt idx="14">
                  <c:v>48.55</c:v>
                </c:pt>
                <c:pt idx="16">
                  <c:v>187.23699999999999</c:v>
                </c:pt>
                <c:pt idx="17">
                  <c:v>197.59399999999999</c:v>
                </c:pt>
                <c:pt idx="18">
                  <c:v>224.917</c:v>
                </c:pt>
                <c:pt idx="19">
                  <c:v>225.571</c:v>
                </c:pt>
                <c:pt idx="20">
                  <c:v>177.75</c:v>
                </c:pt>
                <c:pt idx="21">
                  <c:v>146.749</c:v>
                </c:pt>
                <c:pt idx="22">
                  <c:v>160.643</c:v>
                </c:pt>
                <c:pt idx="23">
                  <c:v>156.84399999999999</c:v>
                </c:pt>
                <c:pt idx="24">
                  <c:v>152.44</c:v>
                </c:pt>
                <c:pt idx="25">
                  <c:v>140.86500000000001</c:v>
                </c:pt>
                <c:pt idx="26">
                  <c:v>140.32900000000001</c:v>
                </c:pt>
                <c:pt idx="27">
                  <c:v>141.85300000000001</c:v>
                </c:pt>
                <c:pt idx="28">
                  <c:v>155.11699999999999</c:v>
                </c:pt>
                <c:pt idx="29">
                  <c:v>158.58699999999999</c:v>
                </c:pt>
                <c:pt idx="30">
                  <c:v>146.77799999999999</c:v>
                </c:pt>
                <c:pt idx="32">
                  <c:v>51.404000000000003</c:v>
                </c:pt>
                <c:pt idx="33">
                  <c:v>72.257999999999996</c:v>
                </c:pt>
                <c:pt idx="34">
                  <c:v>84.061000000000007</c:v>
                </c:pt>
                <c:pt idx="35">
                  <c:v>95.667000000000002</c:v>
                </c:pt>
                <c:pt idx="36">
                  <c:v>97.293999999999997</c:v>
                </c:pt>
                <c:pt idx="37">
                  <c:v>76.317999999999998</c:v>
                </c:pt>
                <c:pt idx="38">
                  <c:v>82.4</c:v>
                </c:pt>
                <c:pt idx="39">
                  <c:v>90.846999999999994</c:v>
                </c:pt>
                <c:pt idx="40">
                  <c:v>89.227000000000004</c:v>
                </c:pt>
                <c:pt idx="41">
                  <c:v>94.852000000000004</c:v>
                </c:pt>
                <c:pt idx="42">
                  <c:v>103.881</c:v>
                </c:pt>
                <c:pt idx="43">
                  <c:v>110.351</c:v>
                </c:pt>
                <c:pt idx="44">
                  <c:v>99.201999999999998</c:v>
                </c:pt>
                <c:pt idx="45">
                  <c:v>99.314999999999998</c:v>
                </c:pt>
                <c:pt idx="46">
                  <c:v>95.165000000000006</c:v>
                </c:pt>
                <c:pt idx="48">
                  <c:v>79.766999999999996</c:v>
                </c:pt>
                <c:pt idx="49">
                  <c:v>112.34699999999999</c:v>
                </c:pt>
                <c:pt idx="50">
                  <c:v>143.84700000000001</c:v>
                </c:pt>
                <c:pt idx="51">
                  <c:v>143.535</c:v>
                </c:pt>
                <c:pt idx="52">
                  <c:v>162.68</c:v>
                </c:pt>
                <c:pt idx="53">
                  <c:v>263.43599999999998</c:v>
                </c:pt>
                <c:pt idx="54">
                  <c:v>302.13600000000002</c:v>
                </c:pt>
                <c:pt idx="55">
                  <c:v>326.97000000000003</c:v>
                </c:pt>
                <c:pt idx="56">
                  <c:v>345.959</c:v>
                </c:pt>
                <c:pt idx="57">
                  <c:v>360.91899999999998</c:v>
                </c:pt>
                <c:pt idx="58">
                  <c:v>440.69099999999997</c:v>
                </c:pt>
                <c:pt idx="59">
                  <c:v>585.91</c:v>
                </c:pt>
                <c:pt idx="60">
                  <c:v>695.59100000000001</c:v>
                </c:pt>
                <c:pt idx="61">
                  <c:v>819.23400000000004</c:v>
                </c:pt>
                <c:pt idx="62">
                  <c:v>938.17399999999998</c:v>
                </c:pt>
                <c:pt idx="64">
                  <c:v>107.792</c:v>
                </c:pt>
                <c:pt idx="65">
                  <c:v>108.626</c:v>
                </c:pt>
                <c:pt idx="66">
                  <c:v>121.026</c:v>
                </c:pt>
                <c:pt idx="67">
                  <c:v>133.59299999999999</c:v>
                </c:pt>
                <c:pt idx="68">
                  <c:v>144.62100000000001</c:v>
                </c:pt>
                <c:pt idx="69">
                  <c:v>140.96899999999999</c:v>
                </c:pt>
                <c:pt idx="70">
                  <c:v>143.72300000000001</c:v>
                </c:pt>
                <c:pt idx="71">
                  <c:v>150.94900000000001</c:v>
                </c:pt>
                <c:pt idx="72">
                  <c:v>144.41300000000001</c:v>
                </c:pt>
                <c:pt idx="73">
                  <c:v>167.11500000000001</c:v>
                </c:pt>
                <c:pt idx="74">
                  <c:v>164.55500000000001</c:v>
                </c:pt>
                <c:pt idx="75">
                  <c:v>149.69999999999999</c:v>
                </c:pt>
                <c:pt idx="76">
                  <c:v>141.93799999999999</c:v>
                </c:pt>
                <c:pt idx="77">
                  <c:v>148.071</c:v>
                </c:pt>
                <c:pt idx="78">
                  <c:v>142.32400000000001</c:v>
                </c:pt>
              </c:numCache>
            </c:numRef>
          </c:val>
          <c:extLst>
            <c:ext xmlns:c16="http://schemas.microsoft.com/office/drawing/2014/chart" uri="{C3380CC4-5D6E-409C-BE32-E72D297353CC}">
              <c16:uniqueId val="{00000080-A59B-4195-8475-C815262392B0}"/>
            </c:ext>
          </c:extLst>
        </c:ser>
        <c:ser>
          <c:idx val="1"/>
          <c:order val="1"/>
          <c:tx>
            <c:strRef>
              <c:f>'Ch4. Granted Patents'!$B$46</c:f>
              <c:strCache>
                <c:ptCount val="1"/>
                <c:pt idx="0">
                  <c:v>Foreign</c:v>
                </c:pt>
              </c:strCache>
            </c:strRef>
          </c:tx>
          <c:spPr>
            <a:solidFill>
              <a:schemeClr val="accent2"/>
            </a:solidFill>
            <a:ln>
              <a:noFill/>
            </a:ln>
            <a:effectLst/>
          </c:spPr>
          <c:invertIfNegative val="0"/>
          <c:dPt>
            <c:idx val="0"/>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2-A59B-4195-8475-C815262392B0}"/>
              </c:ext>
            </c:extLst>
          </c:dPt>
          <c:dPt>
            <c:idx val="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4-A59B-4195-8475-C815262392B0}"/>
              </c:ext>
            </c:extLst>
          </c:dPt>
          <c:dPt>
            <c:idx val="2"/>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6-A59B-4195-8475-C815262392B0}"/>
              </c:ext>
            </c:extLst>
          </c:dPt>
          <c:dPt>
            <c:idx val="3"/>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8-A59B-4195-8475-C815262392B0}"/>
              </c:ext>
            </c:extLst>
          </c:dPt>
          <c:dPt>
            <c:idx val="4"/>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A-A59B-4195-8475-C815262392B0}"/>
              </c:ext>
            </c:extLst>
          </c:dPt>
          <c:dPt>
            <c:idx val="5"/>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C-A59B-4195-8475-C815262392B0}"/>
              </c:ext>
            </c:extLst>
          </c:dPt>
          <c:dPt>
            <c:idx val="6"/>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8E-A59B-4195-8475-C815262392B0}"/>
              </c:ext>
            </c:extLst>
          </c:dPt>
          <c:dPt>
            <c:idx val="7"/>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0-A59B-4195-8475-C815262392B0}"/>
              </c:ext>
            </c:extLst>
          </c:dPt>
          <c:dPt>
            <c:idx val="8"/>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2-A59B-4195-8475-C815262392B0}"/>
              </c:ext>
            </c:extLst>
          </c:dPt>
          <c:dPt>
            <c:idx val="9"/>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4-A59B-4195-8475-C815262392B0}"/>
              </c:ext>
            </c:extLst>
          </c:dPt>
          <c:dPt>
            <c:idx val="10"/>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6-A59B-4195-8475-C815262392B0}"/>
              </c:ext>
            </c:extLst>
          </c:dPt>
          <c:dPt>
            <c:idx val="11"/>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8-A59B-4195-8475-C815262392B0}"/>
              </c:ext>
            </c:extLst>
          </c:dPt>
          <c:dPt>
            <c:idx val="12"/>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A-A59B-4195-8475-C815262392B0}"/>
              </c:ext>
            </c:extLst>
          </c:dPt>
          <c:dPt>
            <c:idx val="13"/>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9C-A59B-4195-8475-C815262392B0}"/>
              </c:ext>
            </c:extLst>
          </c:dPt>
          <c:dPt>
            <c:idx val="14"/>
            <c:invertIfNegative val="0"/>
            <c:bubble3D val="0"/>
            <c:spPr>
              <a:solidFill>
                <a:srgbClr val="9DC3E6"/>
              </a:solidFill>
              <a:ln>
                <a:noFill/>
              </a:ln>
              <a:effectLst/>
            </c:spPr>
            <c:extLst>
              <c:ext xmlns:c16="http://schemas.microsoft.com/office/drawing/2014/chart" uri="{C3380CC4-5D6E-409C-BE32-E72D297353CC}">
                <c16:uniqueId val="{0000009E-A59B-4195-8475-C815262392B0}"/>
              </c:ext>
            </c:extLst>
          </c:dPt>
          <c:dPt>
            <c:idx val="15"/>
            <c:invertIfNegative val="0"/>
            <c:bubble3D val="0"/>
            <c:spPr>
              <a:solidFill>
                <a:srgbClr val="FCB7A2"/>
              </a:solidFill>
              <a:ln>
                <a:noFill/>
              </a:ln>
              <a:effectLst/>
            </c:spPr>
            <c:extLst>
              <c:ext xmlns:c16="http://schemas.microsoft.com/office/drawing/2014/chart" uri="{C3380CC4-5D6E-409C-BE32-E72D297353CC}">
                <c16:uniqueId val="{000000A0-A59B-4195-8475-C815262392B0}"/>
              </c:ext>
            </c:extLst>
          </c:dPt>
          <c:dPt>
            <c:idx val="16"/>
            <c:invertIfNegative val="0"/>
            <c:bubble3D val="0"/>
            <c:spPr>
              <a:solidFill>
                <a:srgbClr val="FCB7A2"/>
              </a:solidFill>
              <a:ln>
                <a:noFill/>
              </a:ln>
              <a:effectLst/>
            </c:spPr>
            <c:extLst>
              <c:ext xmlns:c16="http://schemas.microsoft.com/office/drawing/2014/chart" uri="{C3380CC4-5D6E-409C-BE32-E72D297353CC}">
                <c16:uniqueId val="{000000A2-A59B-4195-8475-C815262392B0}"/>
              </c:ext>
            </c:extLst>
          </c:dPt>
          <c:dPt>
            <c:idx val="17"/>
            <c:invertIfNegative val="0"/>
            <c:bubble3D val="0"/>
            <c:spPr>
              <a:solidFill>
                <a:srgbClr val="FCB7A2"/>
              </a:solidFill>
              <a:ln>
                <a:noFill/>
              </a:ln>
              <a:effectLst/>
            </c:spPr>
            <c:extLst>
              <c:ext xmlns:c16="http://schemas.microsoft.com/office/drawing/2014/chart" uri="{C3380CC4-5D6E-409C-BE32-E72D297353CC}">
                <c16:uniqueId val="{000000A4-A59B-4195-8475-C815262392B0}"/>
              </c:ext>
            </c:extLst>
          </c:dPt>
          <c:dPt>
            <c:idx val="18"/>
            <c:invertIfNegative val="0"/>
            <c:bubble3D val="0"/>
            <c:spPr>
              <a:solidFill>
                <a:srgbClr val="FCB7A2"/>
              </a:solidFill>
              <a:ln>
                <a:noFill/>
              </a:ln>
              <a:effectLst/>
            </c:spPr>
            <c:extLst>
              <c:ext xmlns:c16="http://schemas.microsoft.com/office/drawing/2014/chart" uri="{C3380CC4-5D6E-409C-BE32-E72D297353CC}">
                <c16:uniqueId val="{000000A6-A59B-4195-8475-C815262392B0}"/>
              </c:ext>
            </c:extLst>
          </c:dPt>
          <c:dPt>
            <c:idx val="19"/>
            <c:invertIfNegative val="0"/>
            <c:bubble3D val="0"/>
            <c:spPr>
              <a:solidFill>
                <a:srgbClr val="FCB7A2"/>
              </a:solidFill>
              <a:ln>
                <a:noFill/>
              </a:ln>
              <a:effectLst/>
            </c:spPr>
            <c:extLst>
              <c:ext xmlns:c16="http://schemas.microsoft.com/office/drawing/2014/chart" uri="{C3380CC4-5D6E-409C-BE32-E72D297353CC}">
                <c16:uniqueId val="{000000A8-A59B-4195-8475-C815262392B0}"/>
              </c:ext>
            </c:extLst>
          </c:dPt>
          <c:dPt>
            <c:idx val="20"/>
            <c:invertIfNegative val="0"/>
            <c:bubble3D val="0"/>
            <c:spPr>
              <a:solidFill>
                <a:srgbClr val="FCB7A2"/>
              </a:solidFill>
              <a:ln>
                <a:noFill/>
              </a:ln>
              <a:effectLst/>
            </c:spPr>
            <c:extLst>
              <c:ext xmlns:c16="http://schemas.microsoft.com/office/drawing/2014/chart" uri="{C3380CC4-5D6E-409C-BE32-E72D297353CC}">
                <c16:uniqueId val="{000000AA-A59B-4195-8475-C815262392B0}"/>
              </c:ext>
            </c:extLst>
          </c:dPt>
          <c:dPt>
            <c:idx val="21"/>
            <c:invertIfNegative val="0"/>
            <c:bubble3D val="0"/>
            <c:spPr>
              <a:solidFill>
                <a:srgbClr val="FCB7A2"/>
              </a:solidFill>
              <a:ln>
                <a:noFill/>
              </a:ln>
              <a:effectLst/>
            </c:spPr>
            <c:extLst>
              <c:ext xmlns:c16="http://schemas.microsoft.com/office/drawing/2014/chart" uri="{C3380CC4-5D6E-409C-BE32-E72D297353CC}">
                <c16:uniqueId val="{000000AC-A59B-4195-8475-C815262392B0}"/>
              </c:ext>
            </c:extLst>
          </c:dPt>
          <c:dPt>
            <c:idx val="22"/>
            <c:invertIfNegative val="0"/>
            <c:bubble3D val="0"/>
            <c:spPr>
              <a:solidFill>
                <a:srgbClr val="FCB7A2"/>
              </a:solidFill>
              <a:ln>
                <a:noFill/>
              </a:ln>
              <a:effectLst/>
            </c:spPr>
            <c:extLst>
              <c:ext xmlns:c16="http://schemas.microsoft.com/office/drawing/2014/chart" uri="{C3380CC4-5D6E-409C-BE32-E72D297353CC}">
                <c16:uniqueId val="{000000AE-A59B-4195-8475-C815262392B0}"/>
              </c:ext>
            </c:extLst>
          </c:dPt>
          <c:dPt>
            <c:idx val="23"/>
            <c:invertIfNegative val="0"/>
            <c:bubble3D val="0"/>
            <c:spPr>
              <a:solidFill>
                <a:srgbClr val="FCB7A2"/>
              </a:solidFill>
              <a:ln>
                <a:noFill/>
              </a:ln>
              <a:effectLst/>
            </c:spPr>
            <c:extLst>
              <c:ext xmlns:c16="http://schemas.microsoft.com/office/drawing/2014/chart" uri="{C3380CC4-5D6E-409C-BE32-E72D297353CC}">
                <c16:uniqueId val="{000000B0-A59B-4195-8475-C815262392B0}"/>
              </c:ext>
            </c:extLst>
          </c:dPt>
          <c:dPt>
            <c:idx val="24"/>
            <c:invertIfNegative val="0"/>
            <c:bubble3D val="0"/>
            <c:spPr>
              <a:solidFill>
                <a:srgbClr val="FCB7A2"/>
              </a:solidFill>
              <a:ln>
                <a:noFill/>
              </a:ln>
              <a:effectLst/>
            </c:spPr>
            <c:extLst>
              <c:ext xmlns:c16="http://schemas.microsoft.com/office/drawing/2014/chart" uri="{C3380CC4-5D6E-409C-BE32-E72D297353CC}">
                <c16:uniqueId val="{000000B2-A59B-4195-8475-C815262392B0}"/>
              </c:ext>
            </c:extLst>
          </c:dPt>
          <c:dPt>
            <c:idx val="25"/>
            <c:invertIfNegative val="0"/>
            <c:bubble3D val="0"/>
            <c:spPr>
              <a:solidFill>
                <a:srgbClr val="FCB7A2"/>
              </a:solidFill>
              <a:ln>
                <a:noFill/>
              </a:ln>
              <a:effectLst/>
            </c:spPr>
            <c:extLst>
              <c:ext xmlns:c16="http://schemas.microsoft.com/office/drawing/2014/chart" uri="{C3380CC4-5D6E-409C-BE32-E72D297353CC}">
                <c16:uniqueId val="{000000B4-A59B-4195-8475-C815262392B0}"/>
              </c:ext>
            </c:extLst>
          </c:dPt>
          <c:dPt>
            <c:idx val="26"/>
            <c:invertIfNegative val="0"/>
            <c:bubble3D val="0"/>
            <c:spPr>
              <a:solidFill>
                <a:srgbClr val="FCB7A2"/>
              </a:solidFill>
              <a:ln>
                <a:noFill/>
              </a:ln>
              <a:effectLst/>
            </c:spPr>
            <c:extLst>
              <c:ext xmlns:c16="http://schemas.microsoft.com/office/drawing/2014/chart" uri="{C3380CC4-5D6E-409C-BE32-E72D297353CC}">
                <c16:uniqueId val="{000000B6-A59B-4195-8475-C815262392B0}"/>
              </c:ext>
            </c:extLst>
          </c:dPt>
          <c:dPt>
            <c:idx val="27"/>
            <c:invertIfNegative val="0"/>
            <c:bubble3D val="0"/>
            <c:spPr>
              <a:solidFill>
                <a:srgbClr val="FCB7A2"/>
              </a:solidFill>
              <a:ln>
                <a:noFill/>
              </a:ln>
              <a:effectLst/>
            </c:spPr>
            <c:extLst>
              <c:ext xmlns:c16="http://schemas.microsoft.com/office/drawing/2014/chart" uri="{C3380CC4-5D6E-409C-BE32-E72D297353CC}">
                <c16:uniqueId val="{000000B8-A59B-4195-8475-C815262392B0}"/>
              </c:ext>
            </c:extLst>
          </c:dPt>
          <c:dPt>
            <c:idx val="28"/>
            <c:invertIfNegative val="0"/>
            <c:bubble3D val="0"/>
            <c:spPr>
              <a:solidFill>
                <a:srgbClr val="FCB7A2"/>
              </a:solidFill>
              <a:ln>
                <a:noFill/>
              </a:ln>
              <a:effectLst/>
            </c:spPr>
            <c:extLst>
              <c:ext xmlns:c16="http://schemas.microsoft.com/office/drawing/2014/chart" uri="{C3380CC4-5D6E-409C-BE32-E72D297353CC}">
                <c16:uniqueId val="{000000BA-A59B-4195-8475-C815262392B0}"/>
              </c:ext>
            </c:extLst>
          </c:dPt>
          <c:dPt>
            <c:idx val="29"/>
            <c:invertIfNegative val="0"/>
            <c:bubble3D val="0"/>
            <c:spPr>
              <a:solidFill>
                <a:srgbClr val="FCB7A2"/>
              </a:solidFill>
              <a:ln>
                <a:noFill/>
              </a:ln>
              <a:effectLst/>
            </c:spPr>
            <c:extLst>
              <c:ext xmlns:c16="http://schemas.microsoft.com/office/drawing/2014/chart" uri="{C3380CC4-5D6E-409C-BE32-E72D297353CC}">
                <c16:uniqueId val="{000000BC-A59B-4195-8475-C815262392B0}"/>
              </c:ext>
            </c:extLst>
          </c:dPt>
          <c:dPt>
            <c:idx val="30"/>
            <c:invertIfNegative val="0"/>
            <c:bubble3D val="0"/>
            <c:spPr>
              <a:solidFill>
                <a:srgbClr val="FCB7A2"/>
              </a:solidFill>
              <a:ln>
                <a:noFill/>
              </a:ln>
              <a:effectLst/>
            </c:spPr>
            <c:extLst>
              <c:ext xmlns:c16="http://schemas.microsoft.com/office/drawing/2014/chart" uri="{C3380CC4-5D6E-409C-BE32-E72D297353CC}">
                <c16:uniqueId val="{000000BE-A59B-4195-8475-C815262392B0}"/>
              </c:ext>
            </c:extLst>
          </c:dPt>
          <c:dPt>
            <c:idx val="31"/>
            <c:invertIfNegative val="0"/>
            <c:bubble3D val="0"/>
            <c:spPr>
              <a:solidFill>
                <a:srgbClr val="CC99FF"/>
              </a:solidFill>
              <a:ln>
                <a:noFill/>
              </a:ln>
              <a:effectLst/>
            </c:spPr>
            <c:extLst>
              <c:ext xmlns:c16="http://schemas.microsoft.com/office/drawing/2014/chart" uri="{C3380CC4-5D6E-409C-BE32-E72D297353CC}">
                <c16:uniqueId val="{000000C0-A59B-4195-8475-C815262392B0}"/>
              </c:ext>
            </c:extLst>
          </c:dPt>
          <c:dPt>
            <c:idx val="32"/>
            <c:invertIfNegative val="0"/>
            <c:bubble3D val="0"/>
            <c:spPr>
              <a:solidFill>
                <a:srgbClr val="CC99FF"/>
              </a:solidFill>
              <a:ln>
                <a:noFill/>
              </a:ln>
              <a:effectLst/>
            </c:spPr>
            <c:extLst>
              <c:ext xmlns:c16="http://schemas.microsoft.com/office/drawing/2014/chart" uri="{C3380CC4-5D6E-409C-BE32-E72D297353CC}">
                <c16:uniqueId val="{000000C2-A59B-4195-8475-C815262392B0}"/>
              </c:ext>
            </c:extLst>
          </c:dPt>
          <c:dPt>
            <c:idx val="33"/>
            <c:invertIfNegative val="0"/>
            <c:bubble3D val="0"/>
            <c:spPr>
              <a:solidFill>
                <a:srgbClr val="CC99FF"/>
              </a:solidFill>
              <a:ln>
                <a:noFill/>
              </a:ln>
              <a:effectLst/>
            </c:spPr>
            <c:extLst>
              <c:ext xmlns:c16="http://schemas.microsoft.com/office/drawing/2014/chart" uri="{C3380CC4-5D6E-409C-BE32-E72D297353CC}">
                <c16:uniqueId val="{000000C4-A59B-4195-8475-C815262392B0}"/>
              </c:ext>
            </c:extLst>
          </c:dPt>
          <c:dPt>
            <c:idx val="34"/>
            <c:invertIfNegative val="0"/>
            <c:bubble3D val="0"/>
            <c:spPr>
              <a:solidFill>
                <a:srgbClr val="CC99FF"/>
              </a:solidFill>
              <a:ln>
                <a:noFill/>
              </a:ln>
              <a:effectLst/>
            </c:spPr>
            <c:extLst>
              <c:ext xmlns:c16="http://schemas.microsoft.com/office/drawing/2014/chart" uri="{C3380CC4-5D6E-409C-BE32-E72D297353CC}">
                <c16:uniqueId val="{000000C6-A59B-4195-8475-C815262392B0}"/>
              </c:ext>
            </c:extLst>
          </c:dPt>
          <c:dPt>
            <c:idx val="35"/>
            <c:invertIfNegative val="0"/>
            <c:bubble3D val="0"/>
            <c:spPr>
              <a:solidFill>
                <a:srgbClr val="CC99FF"/>
              </a:solidFill>
              <a:ln>
                <a:noFill/>
              </a:ln>
              <a:effectLst/>
            </c:spPr>
            <c:extLst>
              <c:ext xmlns:c16="http://schemas.microsoft.com/office/drawing/2014/chart" uri="{C3380CC4-5D6E-409C-BE32-E72D297353CC}">
                <c16:uniqueId val="{000000C8-A59B-4195-8475-C815262392B0}"/>
              </c:ext>
            </c:extLst>
          </c:dPt>
          <c:dPt>
            <c:idx val="36"/>
            <c:invertIfNegative val="0"/>
            <c:bubble3D val="0"/>
            <c:spPr>
              <a:solidFill>
                <a:srgbClr val="CC99FF"/>
              </a:solidFill>
              <a:ln>
                <a:noFill/>
              </a:ln>
              <a:effectLst/>
            </c:spPr>
            <c:extLst>
              <c:ext xmlns:c16="http://schemas.microsoft.com/office/drawing/2014/chart" uri="{C3380CC4-5D6E-409C-BE32-E72D297353CC}">
                <c16:uniqueId val="{000000CA-A59B-4195-8475-C815262392B0}"/>
              </c:ext>
            </c:extLst>
          </c:dPt>
          <c:dPt>
            <c:idx val="37"/>
            <c:invertIfNegative val="0"/>
            <c:bubble3D val="0"/>
            <c:spPr>
              <a:solidFill>
                <a:srgbClr val="CC99FF"/>
              </a:solidFill>
              <a:ln>
                <a:noFill/>
              </a:ln>
              <a:effectLst/>
            </c:spPr>
            <c:extLst>
              <c:ext xmlns:c16="http://schemas.microsoft.com/office/drawing/2014/chart" uri="{C3380CC4-5D6E-409C-BE32-E72D297353CC}">
                <c16:uniqueId val="{000000CC-A59B-4195-8475-C815262392B0}"/>
              </c:ext>
            </c:extLst>
          </c:dPt>
          <c:dPt>
            <c:idx val="38"/>
            <c:invertIfNegative val="0"/>
            <c:bubble3D val="0"/>
            <c:spPr>
              <a:solidFill>
                <a:srgbClr val="CC99FF"/>
              </a:solidFill>
              <a:ln>
                <a:noFill/>
              </a:ln>
              <a:effectLst/>
            </c:spPr>
            <c:extLst>
              <c:ext xmlns:c16="http://schemas.microsoft.com/office/drawing/2014/chart" uri="{C3380CC4-5D6E-409C-BE32-E72D297353CC}">
                <c16:uniqueId val="{000000CE-A59B-4195-8475-C815262392B0}"/>
              </c:ext>
            </c:extLst>
          </c:dPt>
          <c:dPt>
            <c:idx val="39"/>
            <c:invertIfNegative val="0"/>
            <c:bubble3D val="0"/>
            <c:spPr>
              <a:solidFill>
                <a:srgbClr val="CC99FF"/>
              </a:solidFill>
              <a:ln>
                <a:noFill/>
              </a:ln>
              <a:effectLst/>
            </c:spPr>
            <c:extLst>
              <c:ext xmlns:c16="http://schemas.microsoft.com/office/drawing/2014/chart" uri="{C3380CC4-5D6E-409C-BE32-E72D297353CC}">
                <c16:uniqueId val="{000000D0-A59B-4195-8475-C815262392B0}"/>
              </c:ext>
            </c:extLst>
          </c:dPt>
          <c:dPt>
            <c:idx val="40"/>
            <c:invertIfNegative val="0"/>
            <c:bubble3D val="0"/>
            <c:spPr>
              <a:solidFill>
                <a:srgbClr val="CC99FF"/>
              </a:solidFill>
              <a:ln>
                <a:noFill/>
              </a:ln>
              <a:effectLst/>
            </c:spPr>
            <c:extLst>
              <c:ext xmlns:c16="http://schemas.microsoft.com/office/drawing/2014/chart" uri="{C3380CC4-5D6E-409C-BE32-E72D297353CC}">
                <c16:uniqueId val="{000000D2-A59B-4195-8475-C815262392B0}"/>
              </c:ext>
            </c:extLst>
          </c:dPt>
          <c:dPt>
            <c:idx val="41"/>
            <c:invertIfNegative val="0"/>
            <c:bubble3D val="0"/>
            <c:spPr>
              <a:solidFill>
                <a:srgbClr val="CC99FF"/>
              </a:solidFill>
              <a:ln>
                <a:noFill/>
              </a:ln>
              <a:effectLst/>
            </c:spPr>
            <c:extLst>
              <c:ext xmlns:c16="http://schemas.microsoft.com/office/drawing/2014/chart" uri="{C3380CC4-5D6E-409C-BE32-E72D297353CC}">
                <c16:uniqueId val="{000000D4-A59B-4195-8475-C815262392B0}"/>
              </c:ext>
            </c:extLst>
          </c:dPt>
          <c:dPt>
            <c:idx val="42"/>
            <c:invertIfNegative val="0"/>
            <c:bubble3D val="0"/>
            <c:spPr>
              <a:solidFill>
                <a:srgbClr val="CC99FF"/>
              </a:solidFill>
              <a:ln>
                <a:noFill/>
              </a:ln>
              <a:effectLst/>
            </c:spPr>
            <c:extLst>
              <c:ext xmlns:c16="http://schemas.microsoft.com/office/drawing/2014/chart" uri="{C3380CC4-5D6E-409C-BE32-E72D297353CC}">
                <c16:uniqueId val="{000000D6-A59B-4195-8475-C815262392B0}"/>
              </c:ext>
            </c:extLst>
          </c:dPt>
          <c:dPt>
            <c:idx val="43"/>
            <c:invertIfNegative val="0"/>
            <c:bubble3D val="0"/>
            <c:spPr>
              <a:solidFill>
                <a:srgbClr val="CC99FF"/>
              </a:solidFill>
              <a:ln>
                <a:noFill/>
              </a:ln>
              <a:effectLst/>
            </c:spPr>
            <c:extLst>
              <c:ext xmlns:c16="http://schemas.microsoft.com/office/drawing/2014/chart" uri="{C3380CC4-5D6E-409C-BE32-E72D297353CC}">
                <c16:uniqueId val="{000000D8-A59B-4195-8475-C815262392B0}"/>
              </c:ext>
            </c:extLst>
          </c:dPt>
          <c:dPt>
            <c:idx val="44"/>
            <c:invertIfNegative val="0"/>
            <c:bubble3D val="0"/>
            <c:spPr>
              <a:solidFill>
                <a:srgbClr val="CC99FF"/>
              </a:solidFill>
              <a:ln>
                <a:noFill/>
              </a:ln>
              <a:effectLst/>
            </c:spPr>
            <c:extLst>
              <c:ext xmlns:c16="http://schemas.microsoft.com/office/drawing/2014/chart" uri="{C3380CC4-5D6E-409C-BE32-E72D297353CC}">
                <c16:uniqueId val="{000000DA-A59B-4195-8475-C815262392B0}"/>
              </c:ext>
            </c:extLst>
          </c:dPt>
          <c:dPt>
            <c:idx val="45"/>
            <c:invertIfNegative val="0"/>
            <c:bubble3D val="0"/>
            <c:spPr>
              <a:solidFill>
                <a:srgbClr val="CC99FF"/>
              </a:solidFill>
              <a:ln>
                <a:noFill/>
              </a:ln>
              <a:effectLst/>
            </c:spPr>
            <c:extLst>
              <c:ext xmlns:c16="http://schemas.microsoft.com/office/drawing/2014/chart" uri="{C3380CC4-5D6E-409C-BE32-E72D297353CC}">
                <c16:uniqueId val="{000000DC-A59B-4195-8475-C815262392B0}"/>
              </c:ext>
            </c:extLst>
          </c:dPt>
          <c:dPt>
            <c:idx val="46"/>
            <c:invertIfNegative val="0"/>
            <c:bubble3D val="0"/>
            <c:spPr>
              <a:solidFill>
                <a:srgbClr val="CC99FF"/>
              </a:solidFill>
              <a:ln>
                <a:noFill/>
              </a:ln>
              <a:effectLst/>
            </c:spPr>
            <c:extLst>
              <c:ext xmlns:c16="http://schemas.microsoft.com/office/drawing/2014/chart" uri="{C3380CC4-5D6E-409C-BE32-E72D297353CC}">
                <c16:uniqueId val="{000000DE-A59B-4195-8475-C815262392B0}"/>
              </c:ext>
            </c:extLst>
          </c:dPt>
          <c:dPt>
            <c:idx val="47"/>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0-A59B-4195-8475-C815262392B0}"/>
              </c:ext>
            </c:extLst>
          </c:dPt>
          <c:dPt>
            <c:idx val="48"/>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2-A59B-4195-8475-C815262392B0}"/>
              </c:ext>
            </c:extLst>
          </c:dPt>
          <c:dPt>
            <c:idx val="49"/>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4-A59B-4195-8475-C815262392B0}"/>
              </c:ext>
            </c:extLst>
          </c:dPt>
          <c:dPt>
            <c:idx val="50"/>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6-A59B-4195-8475-C815262392B0}"/>
              </c:ext>
            </c:extLst>
          </c:dPt>
          <c:dPt>
            <c:idx val="51"/>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8-A59B-4195-8475-C815262392B0}"/>
              </c:ext>
            </c:extLst>
          </c:dPt>
          <c:dPt>
            <c:idx val="52"/>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A-A59B-4195-8475-C815262392B0}"/>
              </c:ext>
            </c:extLst>
          </c:dPt>
          <c:dPt>
            <c:idx val="53"/>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C-A59B-4195-8475-C815262392B0}"/>
              </c:ext>
            </c:extLst>
          </c:dPt>
          <c:dPt>
            <c:idx val="54"/>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EE-A59B-4195-8475-C815262392B0}"/>
              </c:ext>
            </c:extLst>
          </c:dPt>
          <c:dPt>
            <c:idx val="55"/>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F0-A59B-4195-8475-C815262392B0}"/>
              </c:ext>
            </c:extLst>
          </c:dPt>
          <c:dPt>
            <c:idx val="56"/>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F2-A59B-4195-8475-C815262392B0}"/>
              </c:ext>
            </c:extLst>
          </c:dPt>
          <c:dPt>
            <c:idx val="57"/>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F4-A59B-4195-8475-C815262392B0}"/>
              </c:ext>
            </c:extLst>
          </c:dPt>
          <c:dPt>
            <c:idx val="58"/>
            <c:invertIfNegative val="0"/>
            <c:bubble3D val="0"/>
            <c:spPr>
              <a:solidFill>
                <a:schemeClr val="accent4">
                  <a:lumMod val="40000"/>
                  <a:lumOff val="60000"/>
                </a:schemeClr>
              </a:solidFill>
              <a:ln>
                <a:noFill/>
              </a:ln>
              <a:effectLst/>
            </c:spPr>
            <c:extLst>
              <c:ext xmlns:c16="http://schemas.microsoft.com/office/drawing/2014/chart" uri="{C3380CC4-5D6E-409C-BE32-E72D297353CC}">
                <c16:uniqueId val="{000000F6-A59B-4195-8475-C815262392B0}"/>
              </c:ext>
            </c:extLst>
          </c:dPt>
          <c:dPt>
            <c:idx val="59"/>
            <c:invertIfNegative val="0"/>
            <c:bubble3D val="0"/>
            <c:spPr>
              <a:solidFill>
                <a:srgbClr val="FFE699"/>
              </a:solidFill>
              <a:ln>
                <a:noFill/>
              </a:ln>
              <a:effectLst/>
            </c:spPr>
            <c:extLst>
              <c:ext xmlns:c16="http://schemas.microsoft.com/office/drawing/2014/chart" uri="{C3380CC4-5D6E-409C-BE32-E72D297353CC}">
                <c16:uniqueId val="{000000F8-A59B-4195-8475-C815262392B0}"/>
              </c:ext>
            </c:extLst>
          </c:dPt>
          <c:dPt>
            <c:idx val="60"/>
            <c:invertIfNegative val="0"/>
            <c:bubble3D val="0"/>
            <c:spPr>
              <a:solidFill>
                <a:srgbClr val="FFE699"/>
              </a:solidFill>
              <a:ln>
                <a:noFill/>
              </a:ln>
              <a:effectLst/>
            </c:spPr>
            <c:extLst>
              <c:ext xmlns:c16="http://schemas.microsoft.com/office/drawing/2014/chart" uri="{C3380CC4-5D6E-409C-BE32-E72D297353CC}">
                <c16:uniqueId val="{000000FA-A59B-4195-8475-C815262392B0}"/>
              </c:ext>
            </c:extLst>
          </c:dPt>
          <c:dPt>
            <c:idx val="61"/>
            <c:invertIfNegative val="0"/>
            <c:bubble3D val="0"/>
            <c:spPr>
              <a:solidFill>
                <a:srgbClr val="FFE699"/>
              </a:solidFill>
              <a:ln>
                <a:noFill/>
              </a:ln>
              <a:effectLst/>
            </c:spPr>
            <c:extLst>
              <c:ext xmlns:c16="http://schemas.microsoft.com/office/drawing/2014/chart" uri="{C3380CC4-5D6E-409C-BE32-E72D297353CC}">
                <c16:uniqueId val="{000000FC-A59B-4195-8475-C815262392B0}"/>
              </c:ext>
            </c:extLst>
          </c:dPt>
          <c:dPt>
            <c:idx val="62"/>
            <c:invertIfNegative val="0"/>
            <c:bubble3D val="0"/>
            <c:spPr>
              <a:solidFill>
                <a:srgbClr val="FFE699"/>
              </a:solidFill>
              <a:ln>
                <a:noFill/>
              </a:ln>
              <a:effectLst/>
            </c:spPr>
            <c:extLst>
              <c:ext xmlns:c16="http://schemas.microsoft.com/office/drawing/2014/chart" uri="{C3380CC4-5D6E-409C-BE32-E72D297353CC}">
                <c16:uniqueId val="{000000FE-A59B-4195-8475-C815262392B0}"/>
              </c:ext>
            </c:extLst>
          </c:dPt>
          <c:dPt>
            <c:idx val="63"/>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0-A59B-4195-8475-C815262392B0}"/>
              </c:ext>
            </c:extLst>
          </c:dPt>
          <c:dPt>
            <c:idx val="64"/>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2-A59B-4195-8475-C815262392B0}"/>
              </c:ext>
            </c:extLst>
          </c:dPt>
          <c:dPt>
            <c:idx val="6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4-A59B-4195-8475-C815262392B0}"/>
              </c:ext>
            </c:extLst>
          </c:dPt>
          <c:dPt>
            <c:idx val="6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6-A59B-4195-8475-C815262392B0}"/>
              </c:ext>
            </c:extLst>
          </c:dPt>
          <c:dPt>
            <c:idx val="67"/>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8-A59B-4195-8475-C815262392B0}"/>
              </c:ext>
            </c:extLst>
          </c:dPt>
          <c:dPt>
            <c:idx val="68"/>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A-A59B-4195-8475-C815262392B0}"/>
              </c:ext>
            </c:extLst>
          </c:dPt>
          <c:dPt>
            <c:idx val="69"/>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C-A59B-4195-8475-C815262392B0}"/>
              </c:ext>
            </c:extLst>
          </c:dPt>
          <c:dPt>
            <c:idx val="70"/>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0E-A59B-4195-8475-C815262392B0}"/>
              </c:ext>
            </c:extLst>
          </c:dPt>
          <c:dPt>
            <c:idx val="71"/>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10-A59B-4195-8475-C815262392B0}"/>
              </c:ext>
            </c:extLst>
          </c:dPt>
          <c:dPt>
            <c:idx val="72"/>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12-A59B-4195-8475-C815262392B0}"/>
              </c:ext>
            </c:extLst>
          </c:dPt>
          <c:dPt>
            <c:idx val="73"/>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114-A59B-4195-8475-C815262392B0}"/>
              </c:ext>
            </c:extLst>
          </c:dPt>
          <c:dPt>
            <c:idx val="74"/>
            <c:invertIfNegative val="0"/>
            <c:bubble3D val="0"/>
            <c:spPr>
              <a:solidFill>
                <a:srgbClr val="A9D18E"/>
              </a:solidFill>
              <a:ln>
                <a:noFill/>
              </a:ln>
              <a:effectLst/>
            </c:spPr>
            <c:extLst>
              <c:ext xmlns:c16="http://schemas.microsoft.com/office/drawing/2014/chart" uri="{C3380CC4-5D6E-409C-BE32-E72D297353CC}">
                <c16:uniqueId val="{00000116-A59B-4195-8475-C815262392B0}"/>
              </c:ext>
            </c:extLst>
          </c:dPt>
          <c:dPt>
            <c:idx val="75"/>
            <c:invertIfNegative val="0"/>
            <c:bubble3D val="0"/>
            <c:spPr>
              <a:solidFill>
                <a:srgbClr val="A9D18E"/>
              </a:solidFill>
              <a:ln>
                <a:noFill/>
              </a:ln>
              <a:effectLst/>
            </c:spPr>
            <c:extLst>
              <c:ext xmlns:c16="http://schemas.microsoft.com/office/drawing/2014/chart" uri="{C3380CC4-5D6E-409C-BE32-E72D297353CC}">
                <c16:uniqueId val="{00000118-A59B-4195-8475-C815262392B0}"/>
              </c:ext>
            </c:extLst>
          </c:dPt>
          <c:dPt>
            <c:idx val="76"/>
            <c:invertIfNegative val="0"/>
            <c:bubble3D val="0"/>
            <c:spPr>
              <a:solidFill>
                <a:srgbClr val="A9D18E"/>
              </a:solidFill>
              <a:ln>
                <a:noFill/>
              </a:ln>
              <a:effectLst/>
            </c:spPr>
            <c:extLst>
              <c:ext xmlns:c16="http://schemas.microsoft.com/office/drawing/2014/chart" uri="{C3380CC4-5D6E-409C-BE32-E72D297353CC}">
                <c16:uniqueId val="{0000011A-A59B-4195-8475-C815262392B0}"/>
              </c:ext>
            </c:extLst>
          </c:dPt>
          <c:dPt>
            <c:idx val="77"/>
            <c:invertIfNegative val="0"/>
            <c:bubble3D val="0"/>
            <c:spPr>
              <a:solidFill>
                <a:srgbClr val="A9D18E"/>
              </a:solidFill>
              <a:ln>
                <a:noFill/>
              </a:ln>
              <a:effectLst/>
            </c:spPr>
            <c:extLst>
              <c:ext xmlns:c16="http://schemas.microsoft.com/office/drawing/2014/chart" uri="{C3380CC4-5D6E-409C-BE32-E72D297353CC}">
                <c16:uniqueId val="{0000011C-A59B-4195-8475-C815262392B0}"/>
              </c:ext>
            </c:extLst>
          </c:dPt>
          <c:dPt>
            <c:idx val="78"/>
            <c:invertIfNegative val="0"/>
            <c:bubble3D val="0"/>
            <c:spPr>
              <a:solidFill>
                <a:srgbClr val="A9D18E"/>
              </a:solidFill>
              <a:ln>
                <a:noFill/>
              </a:ln>
              <a:effectLst/>
            </c:spPr>
            <c:extLst>
              <c:ext xmlns:c16="http://schemas.microsoft.com/office/drawing/2014/chart" uri="{C3380CC4-5D6E-409C-BE32-E72D297353CC}">
                <c16:uniqueId val="{0000011E-A59B-4195-8475-C815262392B0}"/>
              </c:ext>
            </c:extLst>
          </c:dPt>
          <c:dLbls>
            <c:dLbl>
              <c:idx val="30"/>
              <c:dLblPos val="ctr"/>
              <c:showLegendKey val="0"/>
              <c:showVal val="1"/>
              <c:showCatName val="0"/>
              <c:showSerName val="0"/>
              <c:showPercent val="0"/>
              <c:showBubbleSize val="0"/>
              <c:extLst>
                <c:ext xmlns:c15="http://schemas.microsoft.com/office/drawing/2012/chart" uri="{CE6537A1-D6FC-4f65-9D91-7224C49458BB}">
                  <c15:layout>
                    <c:manualLayout>
                      <c:w val="1.2019842861971899E-2"/>
                      <c:h val="3.1559101404005099E-2"/>
                    </c:manualLayout>
                  </c15:layout>
                </c:ext>
                <c:ext xmlns:c16="http://schemas.microsoft.com/office/drawing/2014/chart" uri="{C3380CC4-5D6E-409C-BE32-E72D297353CC}">
                  <c16:uniqueId val="{000000BE-A59B-4195-8475-C815262392B0}"/>
                </c:ext>
              </c:extLst>
            </c:dLbl>
            <c:dLbl>
              <c:idx val="44"/>
              <c:dLblPos val="ctr"/>
              <c:showLegendKey val="0"/>
              <c:showVal val="1"/>
              <c:showCatName val="0"/>
              <c:showSerName val="0"/>
              <c:showPercent val="0"/>
              <c:showBubbleSize val="0"/>
              <c:extLst>
                <c:ext xmlns:c15="http://schemas.microsoft.com/office/drawing/2012/chart" uri="{CE6537A1-D6FC-4f65-9D91-7224C49458BB}">
                  <c15:layout>
                    <c:manualLayout>
                      <c:w val="1.2019842861971899E-2"/>
                      <c:h val="2.00169678451609E-2"/>
                    </c:manualLayout>
                  </c15:layout>
                </c:ext>
                <c:ext xmlns:c16="http://schemas.microsoft.com/office/drawing/2014/chart" uri="{C3380CC4-5D6E-409C-BE32-E72D297353CC}">
                  <c16:uniqueId val="{000000DA-A59B-4195-8475-C815262392B0}"/>
                </c:ext>
              </c:extLst>
            </c:dLbl>
            <c:dLbl>
              <c:idx val="45"/>
              <c:layout>
                <c:manualLayout>
                  <c:x val="0"/>
                  <c:y val="7.6454738575815996E-8"/>
                </c:manualLayout>
              </c:layout>
              <c:dLblPos val="ctr"/>
              <c:showLegendKey val="0"/>
              <c:showVal val="1"/>
              <c:showCatName val="0"/>
              <c:showSerName val="0"/>
              <c:showPercent val="0"/>
              <c:showBubbleSize val="0"/>
              <c:extLst>
                <c:ext xmlns:c15="http://schemas.microsoft.com/office/drawing/2012/chart" uri="{CE6537A1-D6FC-4f65-9D91-7224C49458BB}">
                  <c15:layout>
                    <c:manualLayout>
                      <c:w val="1.2019842861971899E-2"/>
                      <c:h val="2.1940656771634901E-2"/>
                    </c:manualLayout>
                  </c15:layout>
                </c:ext>
                <c:ext xmlns:c16="http://schemas.microsoft.com/office/drawing/2014/chart" uri="{C3380CC4-5D6E-409C-BE32-E72D297353CC}">
                  <c16:uniqueId val="{000000DC-A59B-4195-8475-C815262392B0}"/>
                </c:ext>
              </c:extLst>
            </c:dLbl>
            <c:dLbl>
              <c:idx val="46"/>
              <c:dLblPos val="ctr"/>
              <c:showLegendKey val="0"/>
              <c:showVal val="1"/>
              <c:showCatName val="0"/>
              <c:showSerName val="0"/>
              <c:showPercent val="0"/>
              <c:showBubbleSize val="0"/>
              <c:extLst>
                <c:ext xmlns:c15="http://schemas.microsoft.com/office/drawing/2012/chart" uri="{CE6537A1-D6FC-4f65-9D91-7224C49458BB}">
                  <c15:layout>
                    <c:manualLayout>
                      <c:w val="1.2019842861971899E-2"/>
                      <c:h val="1.42459010657388E-2"/>
                    </c:manualLayout>
                  </c15:layout>
                </c:ext>
                <c:ext xmlns:c16="http://schemas.microsoft.com/office/drawing/2014/chart" uri="{C3380CC4-5D6E-409C-BE32-E72D297353CC}">
                  <c16:uniqueId val="{000000DE-A59B-4195-8475-C815262392B0}"/>
                </c:ext>
              </c:extLst>
            </c:dLbl>
            <c:dLbl>
              <c:idx val="47"/>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6="http://schemas.microsoft.com/office/drawing/2014/chart" uri="{C3380CC4-5D6E-409C-BE32-E72D297353CC}">
                  <c16:uniqueId val="{000000E0-A59B-4195-8475-C815262392B0}"/>
                </c:ext>
              </c:extLst>
            </c:dLbl>
            <c:dLbl>
              <c:idx val="48"/>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2-A59B-4195-8475-C815262392B0}"/>
                </c:ext>
              </c:extLst>
            </c:dLbl>
            <c:dLbl>
              <c:idx val="49"/>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4-A59B-4195-8475-C815262392B0}"/>
                </c:ext>
              </c:extLst>
            </c:dLbl>
            <c:dLbl>
              <c:idx val="50"/>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6-A59B-4195-8475-C815262392B0}"/>
                </c:ext>
              </c:extLst>
            </c:dLbl>
            <c:dLbl>
              <c:idx val="51"/>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8-A59B-4195-8475-C815262392B0}"/>
                </c:ext>
              </c:extLst>
            </c:dLbl>
            <c:dLbl>
              <c:idx val="52"/>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A-A59B-4195-8475-C815262392B0}"/>
                </c:ext>
              </c:extLst>
            </c:dLbl>
            <c:dLbl>
              <c:idx val="53"/>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C-A59B-4195-8475-C815262392B0}"/>
                </c:ext>
              </c:extLst>
            </c:dLbl>
            <c:dLbl>
              <c:idx val="54"/>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EE-A59B-4195-8475-C815262392B0}"/>
                </c:ext>
              </c:extLst>
            </c:dLbl>
            <c:dLbl>
              <c:idx val="55"/>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F0-A59B-4195-8475-C815262392B0}"/>
                </c:ext>
              </c:extLst>
            </c:dLbl>
            <c:dLbl>
              <c:idx val="56"/>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accent4">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F2-A59B-4195-8475-C815262392B0}"/>
                </c:ext>
              </c:extLst>
            </c:dLbl>
            <c:dLbl>
              <c:idx val="57"/>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bg2">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F4-A59B-4195-8475-C815262392B0}"/>
                </c:ext>
              </c:extLst>
            </c:dLbl>
            <c:dLbl>
              <c:idx val="58"/>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bg2">
                          <a:lumMod val="50000"/>
                        </a:schemeClr>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F6-A59B-4195-8475-C815262392B0}"/>
                </c:ext>
              </c:extLst>
            </c:dLbl>
            <c:dLbl>
              <c:idx val="59"/>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rgbClr val="76717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F8-A59B-4195-8475-C815262392B0}"/>
                </c:ext>
              </c:extLst>
            </c:dLbl>
            <c:dLbl>
              <c:idx val="60"/>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rgbClr val="76717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FA-A59B-4195-8475-C815262392B0}"/>
                </c:ext>
              </c:extLst>
            </c:dLbl>
            <c:dLbl>
              <c:idx val="61"/>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rgbClr val="76717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layout>
                    <c:manualLayout>
                      <c:w val="1.45874336965347E-2"/>
                      <c:h val="3.7330168183427201E-2"/>
                    </c:manualLayout>
                  </c15:layout>
                </c:ext>
                <c:ext xmlns:c16="http://schemas.microsoft.com/office/drawing/2014/chart" uri="{C3380CC4-5D6E-409C-BE32-E72D297353CC}">
                  <c16:uniqueId val="{000000FC-A59B-4195-8475-C815262392B0}"/>
                </c:ext>
              </c:extLst>
            </c:dLbl>
            <c:dLbl>
              <c:idx val="62"/>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rgbClr val="767171"/>
                      </a:solidFill>
                      <a:latin typeface="+mn-lt"/>
                      <a:ea typeface="+mn-ea"/>
                      <a:cs typeface="+mn-cs"/>
                    </a:defRPr>
                  </a:pPr>
                  <a:endParaRPr lang="zh-CN"/>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ext>
                <c:ext xmlns:c16="http://schemas.microsoft.com/office/drawing/2014/chart" uri="{C3380CC4-5D6E-409C-BE32-E72D297353CC}">
                  <c16:uniqueId val="{000000FE-A59B-4195-8475-C815262392B0}"/>
                </c:ext>
              </c:extLst>
            </c:dLbl>
            <c:spPr>
              <a:noFill/>
              <a:ln>
                <a:noFill/>
              </a:ln>
              <a:effectLst/>
            </c:spPr>
            <c:txPr>
              <a:bodyPr rot="0" spcFirstLastPara="1" vertOverflow="overflow" horzOverflow="overflow" vert="horz" wrap="square" lIns="38100" tIns="182880" rIns="38100" bIns="19050" anchor="ctr" anchorCtr="0">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multiLvlStrRef>
              <c:f>'Ch4. Granted Patents'!$AF$80:$DF$81</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3">
                    <c:v>USPTO</c:v>
                  </c:pt>
                </c:lvl>
              </c:multiLvlStrCache>
            </c:multiLvlStrRef>
          </c:cat>
          <c:val>
            <c:numRef>
              <c:f>'Ch4. Granted Patents'!$AF$83:$DF$83</c:f>
              <c:numCache>
                <c:formatCode>#,##0.0</c:formatCode>
                <c:ptCount val="79"/>
                <c:pt idx="0">
                  <c:v>27.405999999999999</c:v>
                </c:pt>
                <c:pt idx="1">
                  <c:v>29.53</c:v>
                </c:pt>
                <c:pt idx="2">
                  <c:v>33.052999999999997</c:v>
                </c:pt>
                <c:pt idx="3">
                  <c:v>33.103999999999999</c:v>
                </c:pt>
                <c:pt idx="4">
                  <c:v>31.571000000000002</c:v>
                </c:pt>
                <c:pt idx="5">
                  <c:v>31.861000000000001</c:v>
                </c:pt>
                <c:pt idx="6">
                  <c:v>47.213000000000001</c:v>
                </c:pt>
                <c:pt idx="7">
                  <c:v>54.954999999999998</c:v>
                </c:pt>
                <c:pt idx="8">
                  <c:v>69.718999999999994</c:v>
                </c:pt>
                <c:pt idx="9">
                  <c:v>77.213999999999999</c:v>
                </c:pt>
                <c:pt idx="10">
                  <c:v>75.058999999999997</c:v>
                </c:pt>
                <c:pt idx="11">
                  <c:v>61.085000000000001</c:v>
                </c:pt>
                <c:pt idx="12">
                  <c:v>45.128</c:v>
                </c:pt>
                <c:pt idx="13">
                  <c:v>57.997999999999998</c:v>
                </c:pt>
                <c:pt idx="14">
                  <c:v>60.973999999999997</c:v>
                </c:pt>
                <c:pt idx="16">
                  <c:v>35.456000000000003</c:v>
                </c:pt>
                <c:pt idx="17">
                  <c:v>40.728999999999999</c:v>
                </c:pt>
                <c:pt idx="18">
                  <c:v>49.874000000000002</c:v>
                </c:pt>
                <c:pt idx="19">
                  <c:v>51.508000000000003</c:v>
                </c:pt>
                <c:pt idx="20">
                  <c:v>49.392000000000003</c:v>
                </c:pt>
                <c:pt idx="21">
                  <c:v>42.609000000000002</c:v>
                </c:pt>
                <c:pt idx="22">
                  <c:v>42.444000000000003</c:v>
                </c:pt>
                <c:pt idx="23">
                  <c:v>42.732999999999997</c:v>
                </c:pt>
                <c:pt idx="24">
                  <c:v>42.085000000000001</c:v>
                </c:pt>
                <c:pt idx="25">
                  <c:v>39.045000000000002</c:v>
                </c:pt>
                <c:pt idx="26">
                  <c:v>39.054000000000002</c:v>
                </c:pt>
                <c:pt idx="27">
                  <c:v>42.518999999999998</c:v>
                </c:pt>
                <c:pt idx="28">
                  <c:v>46.302999999999997</c:v>
                </c:pt>
                <c:pt idx="29">
                  <c:v>50.780999999999999</c:v>
                </c:pt>
                <c:pt idx="30">
                  <c:v>53.506</c:v>
                </c:pt>
                <c:pt idx="32">
                  <c:v>17.439</c:v>
                </c:pt>
                <c:pt idx="33">
                  <c:v>22.462</c:v>
                </c:pt>
                <c:pt idx="34">
                  <c:v>29.405999999999999</c:v>
                </c:pt>
                <c:pt idx="35">
                  <c:v>31.663</c:v>
                </c:pt>
                <c:pt idx="36">
                  <c:v>32.491999999999997</c:v>
                </c:pt>
                <c:pt idx="37">
                  <c:v>25.555</c:v>
                </c:pt>
                <c:pt idx="38">
                  <c:v>26.475000000000001</c:v>
                </c:pt>
                <c:pt idx="39">
                  <c:v>29.815000000000001</c:v>
                </c:pt>
                <c:pt idx="40">
                  <c:v>29.785</c:v>
                </c:pt>
                <c:pt idx="41">
                  <c:v>30.809000000000001</c:v>
                </c:pt>
                <c:pt idx="42">
                  <c:v>30.885000000000002</c:v>
                </c:pt>
                <c:pt idx="43">
                  <c:v>35.530999999999999</c:v>
                </c:pt>
                <c:pt idx="44">
                  <c:v>35.978000000000002</c:v>
                </c:pt>
                <c:pt idx="45">
                  <c:v>35.418999999999997</c:v>
                </c:pt>
                <c:pt idx="46">
                  <c:v>32.640999999999998</c:v>
                </c:pt>
                <c:pt idx="48">
                  <c:v>55.343000000000004</c:v>
                </c:pt>
                <c:pt idx="49">
                  <c:v>59.765999999999998</c:v>
                </c:pt>
                <c:pt idx="50">
                  <c:v>73.257999999999996</c:v>
                </c:pt>
                <c:pt idx="51">
                  <c:v>64.153000000000006</c:v>
                </c:pt>
                <c:pt idx="52">
                  <c:v>70.548000000000002</c:v>
                </c:pt>
                <c:pt idx="53">
                  <c:v>95.88</c:v>
                </c:pt>
                <c:pt idx="54">
                  <c:v>102.072</c:v>
                </c:pt>
                <c:pt idx="55">
                  <c:v>93.174000000000007</c:v>
                </c:pt>
                <c:pt idx="56">
                  <c:v>86.188000000000002</c:v>
                </c:pt>
                <c:pt idx="57">
                  <c:v>91.885000000000005</c:v>
                </c:pt>
                <c:pt idx="58">
                  <c:v>89.436000000000007</c:v>
                </c:pt>
                <c:pt idx="59">
                  <c:v>110.036</c:v>
                </c:pt>
                <c:pt idx="60">
                  <c:v>102.756</c:v>
                </c:pt>
                <c:pt idx="61">
                  <c:v>101.563</c:v>
                </c:pt>
                <c:pt idx="62">
                  <c:v>106.60299999999999</c:v>
                </c:pt>
                <c:pt idx="64">
                  <c:v>111.822</c:v>
                </c:pt>
                <c:pt idx="65">
                  <c:v>115.879</c:v>
                </c:pt>
                <c:pt idx="66">
                  <c:v>132.12899999999999</c:v>
                </c:pt>
                <c:pt idx="67">
                  <c:v>144.24199999999999</c:v>
                </c:pt>
                <c:pt idx="68">
                  <c:v>156.05600000000001</c:v>
                </c:pt>
                <c:pt idx="69">
                  <c:v>157.43799999999999</c:v>
                </c:pt>
                <c:pt idx="70">
                  <c:v>159.32599999999999</c:v>
                </c:pt>
                <c:pt idx="71">
                  <c:v>167.88</c:v>
                </c:pt>
                <c:pt idx="72">
                  <c:v>163.346</c:v>
                </c:pt>
                <c:pt idx="73">
                  <c:v>187.315</c:v>
                </c:pt>
                <c:pt idx="74">
                  <c:v>187.43799999999999</c:v>
                </c:pt>
                <c:pt idx="75">
                  <c:v>178.07499999999999</c:v>
                </c:pt>
                <c:pt idx="76">
                  <c:v>181.48</c:v>
                </c:pt>
                <c:pt idx="77">
                  <c:v>167.17400000000001</c:v>
                </c:pt>
                <c:pt idx="78">
                  <c:v>177.49100000000001</c:v>
                </c:pt>
              </c:numCache>
            </c:numRef>
          </c:val>
          <c:extLst>
            <c:ext xmlns:c16="http://schemas.microsoft.com/office/drawing/2014/chart" uri="{C3380CC4-5D6E-409C-BE32-E72D297353CC}">
              <c16:uniqueId val="{0000011F-A59B-4195-8475-C815262392B0}"/>
            </c:ext>
          </c:extLst>
        </c:ser>
        <c:ser>
          <c:idx val="2"/>
          <c:order val="2"/>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50" b="1"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Granted Patents'!$AF$80:$DF$81</c:f>
              <c:multiLvlStrCache>
                <c:ptCount val="79"/>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lvl>
                <c:lvl>
                  <c:pt idx="0">
                    <c:v>EPO</c:v>
                  </c:pt>
                  <c:pt idx="16">
                    <c:v>JPO</c:v>
                  </c:pt>
                  <c:pt idx="32">
                    <c:v>MOIP</c:v>
                  </c:pt>
                  <c:pt idx="48">
                    <c:v>CNIPA</c:v>
                  </c:pt>
                  <c:pt idx="63">
                    <c:v>USPTO</c:v>
                  </c:pt>
                </c:lvl>
              </c:multiLvlStrCache>
            </c:multiLvlStrRef>
          </c:cat>
          <c:val>
            <c:numRef>
              <c:f>'Ch4. Granted Patents'!$AF$84:$DF$84</c:f>
              <c:numCache>
                <c:formatCode>#,##0.0</c:formatCode>
                <c:ptCount val="79"/>
                <c:pt idx="0">
                  <c:v>58.107999999999997</c:v>
                </c:pt>
                <c:pt idx="1">
                  <c:v>62.112000000000002</c:v>
                </c:pt>
                <c:pt idx="2">
                  <c:v>65.686999999999998</c:v>
                </c:pt>
                <c:pt idx="3">
                  <c:v>66.712000000000003</c:v>
                </c:pt>
                <c:pt idx="4">
                  <c:v>64.613</c:v>
                </c:pt>
                <c:pt idx="5">
                  <c:v>68.421000000000006</c:v>
                </c:pt>
                <c:pt idx="6">
                  <c:v>95.94</c:v>
                </c:pt>
                <c:pt idx="7">
                  <c:v>105.63500000000001</c:v>
                </c:pt>
                <c:pt idx="8">
                  <c:v>127.625</c:v>
                </c:pt>
                <c:pt idx="9">
                  <c:v>137.78399999999999</c:v>
                </c:pt>
                <c:pt idx="10">
                  <c:v>133.715</c:v>
                </c:pt>
                <c:pt idx="11">
                  <c:v>108.79900000000001</c:v>
                </c:pt>
                <c:pt idx="12">
                  <c:v>81.754000000000005</c:v>
                </c:pt>
                <c:pt idx="13">
                  <c:v>104.60899999999999</c:v>
                </c:pt>
                <c:pt idx="14">
                  <c:v>109.524</c:v>
                </c:pt>
                <c:pt idx="16">
                  <c:v>222.69300000000001</c:v>
                </c:pt>
                <c:pt idx="17">
                  <c:v>238.32300000000001</c:v>
                </c:pt>
                <c:pt idx="18">
                  <c:v>274.791</c:v>
                </c:pt>
                <c:pt idx="19">
                  <c:v>277.07900000000001</c:v>
                </c:pt>
                <c:pt idx="20">
                  <c:v>227.142</c:v>
                </c:pt>
                <c:pt idx="21">
                  <c:v>189.358</c:v>
                </c:pt>
                <c:pt idx="22">
                  <c:v>203.08699999999999</c:v>
                </c:pt>
                <c:pt idx="23">
                  <c:v>199.577</c:v>
                </c:pt>
                <c:pt idx="24">
                  <c:v>194.52500000000001</c:v>
                </c:pt>
                <c:pt idx="25">
                  <c:v>179.91</c:v>
                </c:pt>
                <c:pt idx="26">
                  <c:v>179.38300000000001</c:v>
                </c:pt>
                <c:pt idx="27">
                  <c:v>184.37200000000001</c:v>
                </c:pt>
                <c:pt idx="28">
                  <c:v>201.42</c:v>
                </c:pt>
                <c:pt idx="29">
                  <c:v>209.36799999999999</c:v>
                </c:pt>
                <c:pt idx="30">
                  <c:v>200.28399999999999</c:v>
                </c:pt>
                <c:pt idx="32">
                  <c:v>68.843000000000004</c:v>
                </c:pt>
                <c:pt idx="33">
                  <c:v>94.72</c:v>
                </c:pt>
                <c:pt idx="34">
                  <c:v>113.467</c:v>
                </c:pt>
                <c:pt idx="35">
                  <c:v>127.33</c:v>
                </c:pt>
                <c:pt idx="36">
                  <c:v>129.786</c:v>
                </c:pt>
                <c:pt idx="37">
                  <c:v>101.873</c:v>
                </c:pt>
                <c:pt idx="38">
                  <c:v>108.875</c:v>
                </c:pt>
                <c:pt idx="39">
                  <c:v>120.66200000000001</c:v>
                </c:pt>
                <c:pt idx="40">
                  <c:v>119.012</c:v>
                </c:pt>
                <c:pt idx="41">
                  <c:v>125.661</c:v>
                </c:pt>
                <c:pt idx="42">
                  <c:v>134.76599999999999</c:v>
                </c:pt>
                <c:pt idx="43">
                  <c:v>145.88200000000001</c:v>
                </c:pt>
                <c:pt idx="44">
                  <c:v>135.18</c:v>
                </c:pt>
                <c:pt idx="45">
                  <c:v>134.73400000000001</c:v>
                </c:pt>
                <c:pt idx="46">
                  <c:v>127.806</c:v>
                </c:pt>
                <c:pt idx="48">
                  <c:v>135.11000000000001</c:v>
                </c:pt>
                <c:pt idx="49">
                  <c:v>172.113</c:v>
                </c:pt>
                <c:pt idx="50">
                  <c:v>217.10499999999999</c:v>
                </c:pt>
                <c:pt idx="51">
                  <c:v>207.68799999999999</c:v>
                </c:pt>
                <c:pt idx="52">
                  <c:v>233.22800000000001</c:v>
                </c:pt>
                <c:pt idx="53">
                  <c:v>359.31599999999997</c:v>
                </c:pt>
                <c:pt idx="54">
                  <c:v>404.20800000000003</c:v>
                </c:pt>
                <c:pt idx="55">
                  <c:v>420.14400000000001</c:v>
                </c:pt>
                <c:pt idx="56">
                  <c:v>432.14699999999999</c:v>
                </c:pt>
                <c:pt idx="57">
                  <c:v>452.80399999999997</c:v>
                </c:pt>
                <c:pt idx="58">
                  <c:v>530.12699999999995</c:v>
                </c:pt>
                <c:pt idx="59">
                  <c:v>695.94600000000003</c:v>
                </c:pt>
                <c:pt idx="60">
                  <c:v>798.34699999999998</c:v>
                </c:pt>
                <c:pt idx="61">
                  <c:v>920.79700000000003</c:v>
                </c:pt>
                <c:pt idx="62">
                  <c:v>1044.777</c:v>
                </c:pt>
                <c:pt idx="64">
                  <c:v>219.614</c:v>
                </c:pt>
                <c:pt idx="65">
                  <c:v>224.505</c:v>
                </c:pt>
                <c:pt idx="66">
                  <c:v>253.155</c:v>
                </c:pt>
                <c:pt idx="67">
                  <c:v>277.83499999999998</c:v>
                </c:pt>
                <c:pt idx="68">
                  <c:v>300.67700000000002</c:v>
                </c:pt>
                <c:pt idx="69">
                  <c:v>298.40699999999998</c:v>
                </c:pt>
                <c:pt idx="70">
                  <c:v>303.04899999999998</c:v>
                </c:pt>
                <c:pt idx="71">
                  <c:v>318.82900000000001</c:v>
                </c:pt>
                <c:pt idx="72">
                  <c:v>307.75900000000001</c:v>
                </c:pt>
                <c:pt idx="73">
                  <c:v>354.43</c:v>
                </c:pt>
                <c:pt idx="74">
                  <c:v>351.99299999999999</c:v>
                </c:pt>
                <c:pt idx="75">
                  <c:v>327.77499999999998</c:v>
                </c:pt>
                <c:pt idx="76">
                  <c:v>323.41800000000001</c:v>
                </c:pt>
                <c:pt idx="77">
                  <c:v>315.245</c:v>
                </c:pt>
                <c:pt idx="78">
                  <c:v>319.815</c:v>
                </c:pt>
              </c:numCache>
            </c:numRef>
          </c:val>
          <c:extLst>
            <c:ext xmlns:c16="http://schemas.microsoft.com/office/drawing/2014/chart" uri="{C3380CC4-5D6E-409C-BE32-E72D297353CC}">
              <c16:uniqueId val="{00000120-A59B-4195-8475-C815262392B0}"/>
            </c:ext>
          </c:extLst>
        </c:ser>
        <c:dLbls>
          <c:showLegendKey val="0"/>
          <c:showVal val="0"/>
          <c:showCatName val="0"/>
          <c:showSerName val="0"/>
          <c:showPercent val="0"/>
          <c:showBubbleSize val="0"/>
        </c:dLbls>
        <c:gapWidth val="4"/>
        <c:overlap val="100"/>
        <c:axId val="1801082000"/>
        <c:axId val="1801082544"/>
      </c:barChart>
      <c:catAx>
        <c:axId val="1801082000"/>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82544"/>
        <c:crosses val="autoZero"/>
        <c:auto val="1"/>
        <c:lblAlgn val="ctr"/>
        <c:lblOffset val="100"/>
        <c:noMultiLvlLbl val="0"/>
      </c:catAx>
      <c:valAx>
        <c:axId val="1801082544"/>
        <c:scaling>
          <c:orientation val="minMax"/>
          <c:max val="1100"/>
          <c:min val="0"/>
        </c:scaling>
        <c:delete val="0"/>
        <c:axPos val="l"/>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1082000"/>
        <c:crosses val="autoZero"/>
        <c:crossBetween val="between"/>
      </c:valAx>
      <c:spPr>
        <a:noFill/>
        <a:ln>
          <a:noFill/>
        </a:ln>
        <a:effectLst/>
      </c:spPr>
    </c:plotArea>
    <c:plotVisOnly val="1"/>
    <c:dispBlanksAs val="gap"/>
    <c:showDLblsOverMax val="0"/>
    <c:extLst>
      <c:ext uri="{0b15fc19-7d7d-44ad-8c2d-2c3a37ce22c3}">
        <chartProps xmlns="https://web.wps.cn/et/2018/main" chartId="{66be5f40-feac-4762-a9d7-8bd811e338aa}"/>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4.6: GRANTED PATENTS - </a:t>
            </a:r>
            <a:r>
              <a:rPr lang="en-GB" b="1" baseline="0"/>
              <a:t>ORIGIN DISTRIBUTION</a:t>
            </a:r>
            <a:endParaRPr lang="en-GB" b="1"/>
          </a:p>
        </c:rich>
      </c:tx>
      <c:layout>
        <c:manualLayout>
          <c:xMode val="edge"/>
          <c:yMode val="edge"/>
          <c:x val="7.0866612525452297E-3"/>
          <c:y val="1.3333333333333299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6.57698056801196E-3"/>
          <c:y val="8.2422222222222202E-2"/>
          <c:w val="0.98684603886397604"/>
          <c:h val="0.81373423322084704"/>
        </c:manualLayout>
      </c:layout>
      <c:barChart>
        <c:barDir val="col"/>
        <c:grouping val="stacked"/>
        <c:varyColors val="0"/>
        <c:ser>
          <c:idx val="0"/>
          <c:order val="0"/>
          <c:tx>
            <c:strRef>
              <c:f>'Ch4. Granted Patents'!$B$7</c:f>
              <c:strCache>
                <c:ptCount val="1"/>
                <c:pt idx="0">
                  <c:v>EPC states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Patents'!$AF$87:$DF$87</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Granted Patents'!$AF$88:$DF$88</c:f>
              <c:numCache>
                <c:formatCode>0%</c:formatCode>
                <c:ptCount val="79"/>
                <c:pt idx="0">
                  <c:v>0.52836098299717804</c:v>
                </c:pt>
                <c:pt idx="1">
                  <c:v>0.52456852138073196</c:v>
                </c:pt>
                <c:pt idx="2">
                  <c:v>0.49681063224077798</c:v>
                </c:pt>
                <c:pt idx="3">
                  <c:v>0.50377743134668396</c:v>
                </c:pt>
                <c:pt idx="4">
                  <c:v>0.51138315818798097</c:v>
                </c:pt>
                <c:pt idx="5">
                  <c:v>0.53433887256836399</c:v>
                </c:pt>
                <c:pt idx="6">
                  <c:v>0.50789034813425105</c:v>
                </c:pt>
                <c:pt idx="7">
                  <c:v>0.47976522932740101</c:v>
                </c:pt>
                <c:pt idx="8">
                  <c:v>0.45371988246816802</c:v>
                </c:pt>
                <c:pt idx="9">
                  <c:v>0.439601114788364</c:v>
                </c:pt>
                <c:pt idx="10">
                  <c:v>0.43866432337434103</c:v>
                </c:pt>
                <c:pt idx="11">
                  <c:v>0.438551824924861</c:v>
                </c:pt>
                <c:pt idx="12">
                  <c:v>0.44800254421801999</c:v>
                </c:pt>
                <c:pt idx="13">
                  <c:v>0.445573516619029</c:v>
                </c:pt>
                <c:pt idx="14">
                  <c:v>0.443281837770717</c:v>
                </c:pt>
                <c:pt idx="16">
                  <c:v>7.0168348354012006E-2</c:v>
                </c:pt>
                <c:pt idx="17">
                  <c:v>7.2556991981470503E-2</c:v>
                </c:pt>
                <c:pt idx="18">
                  <c:v>7.3979861058040497E-2</c:v>
                </c:pt>
                <c:pt idx="19">
                  <c:v>7.4632144623013694E-2</c:v>
                </c:pt>
                <c:pt idx="20">
                  <c:v>8.7685236548062401E-2</c:v>
                </c:pt>
                <c:pt idx="21">
                  <c:v>8.6191235648876693E-2</c:v>
                </c:pt>
                <c:pt idx="22">
                  <c:v>7.9207433267515906E-2</c:v>
                </c:pt>
                <c:pt idx="23">
                  <c:v>7.8085150092445502E-2</c:v>
                </c:pt>
                <c:pt idx="24">
                  <c:v>7.53270787816476E-2</c:v>
                </c:pt>
                <c:pt idx="25">
                  <c:v>7.49541437385359E-2</c:v>
                </c:pt>
                <c:pt idx="26">
                  <c:v>7.3953496150694298E-2</c:v>
                </c:pt>
                <c:pt idx="27">
                  <c:v>7.7544312585425101E-2</c:v>
                </c:pt>
                <c:pt idx="28">
                  <c:v>7.3508092542945103E-2</c:v>
                </c:pt>
                <c:pt idx="29">
                  <c:v>7.3182148179282397E-2</c:v>
                </c:pt>
                <c:pt idx="30">
                  <c:v>8.0840206906193202E-2</c:v>
                </c:pt>
                <c:pt idx="32">
                  <c:v>5.1319669392676098E-2</c:v>
                </c:pt>
                <c:pt idx="33">
                  <c:v>4.5861486486486497E-2</c:v>
                </c:pt>
                <c:pt idx="34">
                  <c:v>5.5275983325548401E-2</c:v>
                </c:pt>
                <c:pt idx="35">
                  <c:v>5.7441294274719203E-2</c:v>
                </c:pt>
                <c:pt idx="36">
                  <c:v>5.9644337601898502E-2</c:v>
                </c:pt>
                <c:pt idx="37">
                  <c:v>6.3137435826961005E-2</c:v>
                </c:pt>
                <c:pt idx="38">
                  <c:v>6.0078071182548799E-2</c:v>
                </c:pt>
                <c:pt idx="39">
                  <c:v>6.1809020238351803E-2</c:v>
                </c:pt>
                <c:pt idx="40">
                  <c:v>6.2741572278425695E-2</c:v>
                </c:pt>
                <c:pt idx="41">
                  <c:v>6.13237201677529E-2</c:v>
                </c:pt>
                <c:pt idx="42">
                  <c:v>5.5488773132689302E-2</c:v>
                </c:pt>
                <c:pt idx="43">
                  <c:v>5.7183202862587601E-2</c:v>
                </c:pt>
                <c:pt idx="44">
                  <c:v>6.3663263796419595E-2</c:v>
                </c:pt>
                <c:pt idx="45">
                  <c:v>6.7228761856695393E-2</c:v>
                </c:pt>
                <c:pt idx="46">
                  <c:v>6.3791997245825696E-2</c:v>
                </c:pt>
                <c:pt idx="48">
                  <c:v>0.100865961068759</c:v>
                </c:pt>
                <c:pt idx="49">
                  <c:v>8.9557441913161701E-2</c:v>
                </c:pt>
                <c:pt idx="50">
                  <c:v>9.1927869003477602E-2</c:v>
                </c:pt>
                <c:pt idx="51">
                  <c:v>8.8204422017641906E-2</c:v>
                </c:pt>
                <c:pt idx="52">
                  <c:v>8.3716363386900403E-2</c:v>
                </c:pt>
                <c:pt idx="53">
                  <c:v>7.4380211290340503E-2</c:v>
                </c:pt>
                <c:pt idx="54">
                  <c:v>7.4963879982583206E-2</c:v>
                </c:pt>
                <c:pt idx="55">
                  <c:v>6.4480273430062102E-2</c:v>
                </c:pt>
                <c:pt idx="56">
                  <c:v>5.3171721659527903E-2</c:v>
                </c:pt>
                <c:pt idx="57">
                  <c:v>5.4586531921096103E-2</c:v>
                </c:pt>
                <c:pt idx="58">
                  <c:v>4.5543803654596003E-2</c:v>
                </c:pt>
                <c:pt idx="59">
                  <c:v>4.3463142255289897E-2</c:v>
                </c:pt>
                <c:pt idx="60">
                  <c:v>3.5553462341563299E-2</c:v>
                </c:pt>
                <c:pt idx="61">
                  <c:v>2.7340445288157999E-2</c:v>
                </c:pt>
                <c:pt idx="62">
                  <c:v>2.58189068097785E-2</c:v>
                </c:pt>
                <c:pt idx="64">
                  <c:v>0.14786397952771699</c:v>
                </c:pt>
                <c:pt idx="65">
                  <c:v>0.14598338567069799</c:v>
                </c:pt>
                <c:pt idx="66">
                  <c:v>0.1508877960143</c:v>
                </c:pt>
                <c:pt idx="67">
                  <c:v>0.156387784116472</c:v>
                </c:pt>
                <c:pt idx="68">
                  <c:v>0.15875175021700999</c:v>
                </c:pt>
                <c:pt idx="69">
                  <c:v>0.15927575425509499</c:v>
                </c:pt>
                <c:pt idx="70">
                  <c:v>0.15809324564674401</c:v>
                </c:pt>
                <c:pt idx="71">
                  <c:v>0.15889395255764099</c:v>
                </c:pt>
                <c:pt idx="72">
                  <c:v>0.159095266101073</c:v>
                </c:pt>
                <c:pt idx="73">
                  <c:v>0.15697881104872599</c:v>
                </c:pt>
                <c:pt idx="74">
                  <c:v>0.154483185745171</c:v>
                </c:pt>
                <c:pt idx="75">
                  <c:v>0.15438334223171399</c:v>
                </c:pt>
                <c:pt idx="76">
                  <c:v>0.154172000321565</c:v>
                </c:pt>
                <c:pt idx="77">
                  <c:v>0.14269536392329801</c:v>
                </c:pt>
                <c:pt idx="78">
                  <c:v>0.14888920156965699</c:v>
                </c:pt>
              </c:numCache>
            </c:numRef>
          </c:val>
          <c:extLst>
            <c:ext xmlns:c16="http://schemas.microsoft.com/office/drawing/2014/chart" uri="{C3380CC4-5D6E-409C-BE32-E72D297353CC}">
              <c16:uniqueId val="{00000000-424E-4A48-8508-3D13004D23C1}"/>
            </c:ext>
          </c:extLst>
        </c:ser>
        <c:ser>
          <c:idx val="1"/>
          <c:order val="1"/>
          <c:tx>
            <c:strRef>
              <c:f>'Ch4. Granted Patents'!$B$8</c:f>
              <c:strCache>
                <c:ptCount val="1"/>
                <c:pt idx="0">
                  <c:v>Japan</c:v>
                </c:pt>
              </c:strCache>
            </c:strRef>
          </c:tx>
          <c:spPr>
            <a:solidFill>
              <a:srgbClr val="FF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Patents'!$AF$87:$DF$87</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Granted Patents'!$AF$89:$DF$89</c:f>
              <c:numCache>
                <c:formatCode>0%</c:formatCode>
                <c:ptCount val="79"/>
                <c:pt idx="0">
                  <c:v>0.18207475734838599</c:v>
                </c:pt>
                <c:pt idx="1">
                  <c:v>0.18754829984544</c:v>
                </c:pt>
                <c:pt idx="2">
                  <c:v>0.19565515246547999</c:v>
                </c:pt>
                <c:pt idx="3">
                  <c:v>0.18190130711116401</c:v>
                </c:pt>
                <c:pt idx="4">
                  <c:v>0.172101589463421</c:v>
                </c:pt>
                <c:pt idx="5">
                  <c:v>0.154703965156896</c:v>
                </c:pt>
                <c:pt idx="6">
                  <c:v>0.160464873879508</c:v>
                </c:pt>
                <c:pt idx="7">
                  <c:v>0.167179438633029</c:v>
                </c:pt>
                <c:pt idx="8">
                  <c:v>0.16723212536728699</c:v>
                </c:pt>
                <c:pt idx="9">
                  <c:v>0.16274023108633801</c:v>
                </c:pt>
                <c:pt idx="10">
                  <c:v>0.15129192685936499</c:v>
                </c:pt>
                <c:pt idx="11">
                  <c:v>0.141499462311234</c:v>
                </c:pt>
                <c:pt idx="12">
                  <c:v>0.13371822785429499</c:v>
                </c:pt>
                <c:pt idx="13">
                  <c:v>0.12824900343182699</c:v>
                </c:pt>
                <c:pt idx="14">
                  <c:v>0.122749351740258</c:v>
                </c:pt>
                <c:pt idx="16">
                  <c:v>0.84078529634968302</c:v>
                </c:pt>
                <c:pt idx="17">
                  <c:v>0.82910168133163797</c:v>
                </c:pt>
                <c:pt idx="18">
                  <c:v>0.81850206156679095</c:v>
                </c:pt>
                <c:pt idx="19">
                  <c:v>0.81410355891280095</c:v>
                </c:pt>
                <c:pt idx="20">
                  <c:v>0.78255012283065195</c:v>
                </c:pt>
                <c:pt idx="21">
                  <c:v>0.77498178054267597</c:v>
                </c:pt>
                <c:pt idx="22">
                  <c:v>0.79100582508974004</c:v>
                </c:pt>
                <c:pt idx="23">
                  <c:v>0.78588214072763896</c:v>
                </c:pt>
                <c:pt idx="24">
                  <c:v>0.78365248682688604</c:v>
                </c:pt>
                <c:pt idx="25">
                  <c:v>0.78297482074370495</c:v>
                </c:pt>
                <c:pt idx="26">
                  <c:v>0.78228706176170504</c:v>
                </c:pt>
                <c:pt idx="27">
                  <c:v>0.76938472219208998</c:v>
                </c:pt>
                <c:pt idx="28">
                  <c:v>0.77011716810644404</c:v>
                </c:pt>
                <c:pt idx="29">
                  <c:v>0.75745577165564903</c:v>
                </c:pt>
                <c:pt idx="30">
                  <c:v>0.732849353917437</c:v>
                </c:pt>
                <c:pt idx="32">
                  <c:v>0.12102900803277</c:v>
                </c:pt>
                <c:pt idx="33">
                  <c:v>0.117008023648649</c:v>
                </c:pt>
                <c:pt idx="34">
                  <c:v>0.11439449355319201</c:v>
                </c:pt>
                <c:pt idx="35">
                  <c:v>0.106133668420639</c:v>
                </c:pt>
                <c:pt idx="36">
                  <c:v>0.104009677469064</c:v>
                </c:pt>
                <c:pt idx="37">
                  <c:v>9.4382221000657698E-2</c:v>
                </c:pt>
                <c:pt idx="38">
                  <c:v>9.1499425947187102E-2</c:v>
                </c:pt>
                <c:pt idx="39">
                  <c:v>9.1835043344217701E-2</c:v>
                </c:pt>
                <c:pt idx="40">
                  <c:v>9.44358552078782E-2</c:v>
                </c:pt>
                <c:pt idx="41">
                  <c:v>9.0330333198048701E-2</c:v>
                </c:pt>
                <c:pt idx="42">
                  <c:v>8.0279892554501894E-2</c:v>
                </c:pt>
                <c:pt idx="43">
                  <c:v>8.1607052275126504E-2</c:v>
                </c:pt>
                <c:pt idx="44">
                  <c:v>8.5937268826749499E-2</c:v>
                </c:pt>
                <c:pt idx="45">
                  <c:v>8.0195050989356795E-2</c:v>
                </c:pt>
                <c:pt idx="46">
                  <c:v>7.6217079010375097E-2</c:v>
                </c:pt>
                <c:pt idx="48">
                  <c:v>0.17681888831322601</c:v>
                </c:pt>
                <c:pt idx="49">
                  <c:v>0.147501931870341</c:v>
                </c:pt>
                <c:pt idx="50">
                  <c:v>0.13287119135902001</c:v>
                </c:pt>
                <c:pt idx="51">
                  <c:v>0.108860405993606</c:v>
                </c:pt>
                <c:pt idx="52">
                  <c:v>0.113627008763956</c:v>
                </c:pt>
                <c:pt idx="53">
                  <c:v>0.101353683109018</c:v>
                </c:pt>
                <c:pt idx="54">
                  <c:v>8.6507441713177397E-2</c:v>
                </c:pt>
                <c:pt idx="55">
                  <c:v>7.3998438630564795E-2</c:v>
                </c:pt>
                <c:pt idx="56">
                  <c:v>6.50102858518051E-2</c:v>
                </c:pt>
                <c:pt idx="57">
                  <c:v>6.7139424563387201E-2</c:v>
                </c:pt>
                <c:pt idx="58">
                  <c:v>5.4618987525630699E-2</c:v>
                </c:pt>
                <c:pt idx="59">
                  <c:v>5.008003494524E-2</c:v>
                </c:pt>
                <c:pt idx="60">
                  <c:v>4.17124383256905E-2</c:v>
                </c:pt>
                <c:pt idx="61">
                  <c:v>3.5761411038480802E-2</c:v>
                </c:pt>
                <c:pt idx="62">
                  <c:v>3.04103172255898E-2</c:v>
                </c:pt>
                <c:pt idx="64">
                  <c:v>0.20405802908739901</c:v>
                </c:pt>
                <c:pt idx="65">
                  <c:v>0.205514353800583</c:v>
                </c:pt>
                <c:pt idx="66">
                  <c:v>0.20018170685943401</c:v>
                </c:pt>
                <c:pt idx="67">
                  <c:v>0.18686990479961099</c:v>
                </c:pt>
                <c:pt idx="68">
                  <c:v>0.17908918873076399</c:v>
                </c:pt>
                <c:pt idx="69">
                  <c:v>0.175629258026789</c:v>
                </c:pt>
                <c:pt idx="70">
                  <c:v>0.164329860847586</c:v>
                </c:pt>
                <c:pt idx="71">
                  <c:v>0.155810795128423</c:v>
                </c:pt>
                <c:pt idx="72">
                  <c:v>0.15455599998700301</c:v>
                </c:pt>
                <c:pt idx="73">
                  <c:v>0.15106509042688299</c:v>
                </c:pt>
                <c:pt idx="74">
                  <c:v>0.146647802655166</c:v>
                </c:pt>
                <c:pt idx="75">
                  <c:v>0.14178018457783501</c:v>
                </c:pt>
                <c:pt idx="76">
                  <c:v>0.14116715829050899</c:v>
                </c:pt>
                <c:pt idx="77">
                  <c:v>0.122095513013688</c:v>
                </c:pt>
                <c:pt idx="78">
                  <c:v>0.13157294060628799</c:v>
                </c:pt>
              </c:numCache>
            </c:numRef>
          </c:val>
          <c:extLst>
            <c:ext xmlns:c16="http://schemas.microsoft.com/office/drawing/2014/chart" uri="{C3380CC4-5D6E-409C-BE32-E72D297353CC}">
              <c16:uniqueId val="{00000001-424E-4A48-8508-3D13004D23C1}"/>
            </c:ext>
          </c:extLst>
        </c:ser>
        <c:ser>
          <c:idx val="3"/>
          <c:order val="2"/>
          <c:tx>
            <c:strRef>
              <c:f>'Ch4. Granted Patents'!$B$9</c:f>
              <c:strCache>
                <c:ptCount val="1"/>
                <c:pt idx="0">
                  <c:v>R. Korea</c:v>
                </c:pt>
              </c:strCache>
            </c:strRef>
          </c:tx>
          <c:spPr>
            <a:solidFill>
              <a:srgbClr val="7030A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Patents'!$AF$87:$DF$87</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Granted Patents'!$AF$91:$DF$91</c:f>
              <c:numCache>
                <c:formatCode>0%</c:formatCode>
                <c:ptCount val="79"/>
                <c:pt idx="0">
                  <c:v>2.3955393405383101E-2</c:v>
                </c:pt>
                <c:pt idx="1">
                  <c:v>2.29746264811953E-2</c:v>
                </c:pt>
                <c:pt idx="2">
                  <c:v>2.7219997868680301E-2</c:v>
                </c:pt>
                <c:pt idx="3">
                  <c:v>2.98147259863293E-2</c:v>
                </c:pt>
                <c:pt idx="4">
                  <c:v>2.9266556265766901E-2</c:v>
                </c:pt>
                <c:pt idx="5">
                  <c:v>2.90407915698397E-2</c:v>
                </c:pt>
                <c:pt idx="6">
                  <c:v>3.3458411507191997E-2</c:v>
                </c:pt>
                <c:pt idx="7">
                  <c:v>4.1984190845837099E-2</c:v>
                </c:pt>
                <c:pt idx="8">
                  <c:v>4.9065621939275203E-2</c:v>
                </c:pt>
                <c:pt idx="9">
                  <c:v>5.2596818208210001E-2</c:v>
                </c:pt>
                <c:pt idx="10">
                  <c:v>5.2716598736117899E-2</c:v>
                </c:pt>
                <c:pt idx="11">
                  <c:v>5.3364461070414301E-2</c:v>
                </c:pt>
                <c:pt idx="12">
                  <c:v>5.3612055679232801E-2</c:v>
                </c:pt>
                <c:pt idx="13">
                  <c:v>5.3351050100851699E-2</c:v>
                </c:pt>
                <c:pt idx="14">
                  <c:v>5.5640772798656001E-2</c:v>
                </c:pt>
                <c:pt idx="16">
                  <c:v>1.57391565967498E-2</c:v>
                </c:pt>
                <c:pt idx="17">
                  <c:v>1.6985351812456199E-2</c:v>
                </c:pt>
                <c:pt idx="18">
                  <c:v>1.8796103220265599E-2</c:v>
                </c:pt>
                <c:pt idx="19">
                  <c:v>1.7987649731665001E-2</c:v>
                </c:pt>
                <c:pt idx="20">
                  <c:v>1.9089380211497701E-2</c:v>
                </c:pt>
                <c:pt idx="21">
                  <c:v>2.05219742498336E-2</c:v>
                </c:pt>
                <c:pt idx="22">
                  <c:v>9.0207644999433702E-3</c:v>
                </c:pt>
                <c:pt idx="23">
                  <c:v>1.2100592753674E-2</c:v>
                </c:pt>
                <c:pt idx="24">
                  <c:v>2.15859144068886E-2</c:v>
                </c:pt>
                <c:pt idx="25">
                  <c:v>2.18887221388472E-2</c:v>
                </c:pt>
                <c:pt idx="26">
                  <c:v>2.2075670492744601E-2</c:v>
                </c:pt>
                <c:pt idx="27">
                  <c:v>2.3458008808278901E-2</c:v>
                </c:pt>
                <c:pt idx="28">
                  <c:v>2.5260649389335699E-2</c:v>
                </c:pt>
                <c:pt idx="29">
                  <c:v>2.73059875434641E-2</c:v>
                </c:pt>
                <c:pt idx="30">
                  <c:v>3.12506241137585E-2</c:v>
                </c:pt>
                <c:pt idx="32">
                  <c:v>0.74668448498758</c:v>
                </c:pt>
                <c:pt idx="33">
                  <c:v>0.76285895270270299</c:v>
                </c:pt>
                <c:pt idx="34">
                  <c:v>0.74084094935091305</c:v>
                </c:pt>
                <c:pt idx="35">
                  <c:v>0.75133118668027998</c:v>
                </c:pt>
                <c:pt idx="36">
                  <c:v>0.749649422896152</c:v>
                </c:pt>
                <c:pt idx="37">
                  <c:v>0.74914844954011395</c:v>
                </c:pt>
                <c:pt idx="38">
                  <c:v>0.75683122847301998</c:v>
                </c:pt>
                <c:pt idx="39">
                  <c:v>0.75290480847325603</c:v>
                </c:pt>
                <c:pt idx="40">
                  <c:v>0.74973111955097005</c:v>
                </c:pt>
                <c:pt idx="41">
                  <c:v>0.75482448810689096</c:v>
                </c:pt>
                <c:pt idx="42">
                  <c:v>0.77082498553047496</c:v>
                </c:pt>
                <c:pt idx="43">
                  <c:v>0.756440136548717</c:v>
                </c:pt>
                <c:pt idx="44">
                  <c:v>0.73385116141440998</c:v>
                </c:pt>
                <c:pt idx="45">
                  <c:v>0.73711906423026097</c:v>
                </c:pt>
                <c:pt idx="46">
                  <c:v>0.74460510461167695</c:v>
                </c:pt>
                <c:pt idx="48">
                  <c:v>3.82503145585079E-2</c:v>
                </c:pt>
                <c:pt idx="49">
                  <c:v>2.8365085728562001E-2</c:v>
                </c:pt>
                <c:pt idx="50">
                  <c:v>2.4504272126390499E-2</c:v>
                </c:pt>
                <c:pt idx="51">
                  <c:v>2.0564500597049399E-2</c:v>
                </c:pt>
                <c:pt idx="52">
                  <c:v>1.9838955871507701E-2</c:v>
                </c:pt>
                <c:pt idx="53">
                  <c:v>1.7427556802368901E-2</c:v>
                </c:pt>
                <c:pt idx="54">
                  <c:v>1.8332145825911399E-2</c:v>
                </c:pt>
                <c:pt idx="55">
                  <c:v>1.8700731177881898E-2</c:v>
                </c:pt>
                <c:pt idx="56">
                  <c:v>1.99538582935899E-2</c:v>
                </c:pt>
                <c:pt idx="57">
                  <c:v>2.0841246985450701E-2</c:v>
                </c:pt>
                <c:pt idx="58">
                  <c:v>1.75637158643118E-2</c:v>
                </c:pt>
                <c:pt idx="59">
                  <c:v>1.59293968210177E-2</c:v>
                </c:pt>
                <c:pt idx="60">
                  <c:v>1.31070825092347E-2</c:v>
                </c:pt>
                <c:pt idx="61">
                  <c:v>1.3708776201486301E-2</c:v>
                </c:pt>
                <c:pt idx="62">
                  <c:v>1.30362747265684E-2</c:v>
                </c:pt>
                <c:pt idx="64">
                  <c:v>5.3143242234101599E-2</c:v>
                </c:pt>
                <c:pt idx="65">
                  <c:v>5.4617937239705101E-2</c:v>
                </c:pt>
                <c:pt idx="66">
                  <c:v>5.22723232802038E-2</c:v>
                </c:pt>
                <c:pt idx="67">
                  <c:v>5.2362013425234402E-2</c:v>
                </c:pt>
                <c:pt idx="68">
                  <c:v>5.4773062123142098E-2</c:v>
                </c:pt>
                <c:pt idx="69">
                  <c:v>6.0065615082756103E-2</c:v>
                </c:pt>
                <c:pt idx="70">
                  <c:v>6.4326231071542894E-2</c:v>
                </c:pt>
                <c:pt idx="71">
                  <c:v>6.4978405352085294E-2</c:v>
                </c:pt>
                <c:pt idx="72">
                  <c:v>6.4271069245740997E-2</c:v>
                </c:pt>
                <c:pt idx="73">
                  <c:v>6.1179922692774301E-2</c:v>
                </c:pt>
                <c:pt idx="74">
                  <c:v>6.2435900713934699E-2</c:v>
                </c:pt>
                <c:pt idx="75">
                  <c:v>6.3348333460453099E-2</c:v>
                </c:pt>
                <c:pt idx="76">
                  <c:v>6.8119275983402297E-2</c:v>
                </c:pt>
                <c:pt idx="77">
                  <c:v>7.0043934083014806E-2</c:v>
                </c:pt>
                <c:pt idx="78">
                  <c:v>7.2601347654112497E-2</c:v>
                </c:pt>
              </c:numCache>
            </c:numRef>
          </c:val>
          <c:extLst>
            <c:ext xmlns:c16="http://schemas.microsoft.com/office/drawing/2014/chart" uri="{C3380CC4-5D6E-409C-BE32-E72D297353CC}">
              <c16:uniqueId val="{00000002-424E-4A48-8508-3D13004D23C1}"/>
            </c:ext>
          </c:extLst>
        </c:ser>
        <c:ser>
          <c:idx val="4"/>
          <c:order val="3"/>
          <c:tx>
            <c:strRef>
              <c:f>'Ch4. Granted Patents'!$B$10</c:f>
              <c:strCache>
                <c:ptCount val="1"/>
                <c:pt idx="0">
                  <c:v>P.R. China</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Patents'!$AF$87:$DF$87</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Granted Patents'!$AF$92:$DF$92</c:f>
              <c:numCache>
                <c:formatCode>0%</c:formatCode>
                <c:ptCount val="79"/>
                <c:pt idx="0">
                  <c:v>7.4516417704963197E-3</c:v>
                </c:pt>
                <c:pt idx="1">
                  <c:v>8.2914734672849006E-3</c:v>
                </c:pt>
                <c:pt idx="2">
                  <c:v>1.20724039764337E-2</c:v>
                </c:pt>
                <c:pt idx="3">
                  <c:v>1.41054083223408E-2</c:v>
                </c:pt>
                <c:pt idx="4">
                  <c:v>1.8355439307879199E-2</c:v>
                </c:pt>
                <c:pt idx="5">
                  <c:v>2.0563861972201499E-2</c:v>
                </c:pt>
                <c:pt idx="6">
                  <c:v>2.6193454242234699E-2</c:v>
                </c:pt>
                <c:pt idx="7">
                  <c:v>3.01036588252E-2</c:v>
                </c:pt>
                <c:pt idx="8">
                  <c:v>3.7853085210577897E-2</c:v>
                </c:pt>
                <c:pt idx="9">
                  <c:v>4.5208442199384503E-2</c:v>
                </c:pt>
                <c:pt idx="10">
                  <c:v>5.1325580525745103E-2</c:v>
                </c:pt>
                <c:pt idx="11">
                  <c:v>6.3088815154551101E-2</c:v>
                </c:pt>
                <c:pt idx="12">
                  <c:v>7.1507204540450606E-2</c:v>
                </c:pt>
                <c:pt idx="13">
                  <c:v>8.4323528568287606E-2</c:v>
                </c:pt>
                <c:pt idx="14">
                  <c:v>7.9580731163945803E-2</c:v>
                </c:pt>
                <c:pt idx="16">
                  <c:v>1.1450741603912099E-3</c:v>
                </c:pt>
                <c:pt idx="17">
                  <c:v>1.74553022578601E-3</c:v>
                </c:pt>
                <c:pt idx="18">
                  <c:v>2.9913643459938601E-3</c:v>
                </c:pt>
                <c:pt idx="19">
                  <c:v>4.4860851959188496E-3</c:v>
                </c:pt>
                <c:pt idx="20">
                  <c:v>6.8679504450960202E-3</c:v>
                </c:pt>
                <c:pt idx="21">
                  <c:v>8.1063382587479808E-3</c:v>
                </c:pt>
                <c:pt idx="22">
                  <c:v>2.1133799800085701E-2</c:v>
                </c:pt>
                <c:pt idx="23">
                  <c:v>2.1204848254057301E-2</c:v>
                </c:pt>
                <c:pt idx="24">
                  <c:v>1.6203572805552E-2</c:v>
                </c:pt>
                <c:pt idx="25">
                  <c:v>2.0777055194263799E-2</c:v>
                </c:pt>
                <c:pt idx="26">
                  <c:v>2.4143870935372898E-2</c:v>
                </c:pt>
                <c:pt idx="27">
                  <c:v>2.6587551255071298E-2</c:v>
                </c:pt>
                <c:pt idx="28">
                  <c:v>3.2097110515341101E-2</c:v>
                </c:pt>
                <c:pt idx="29">
                  <c:v>3.91272782851248E-2</c:v>
                </c:pt>
                <c:pt idx="30">
                  <c:v>4.3408360128617401E-2</c:v>
                </c:pt>
                <c:pt idx="32">
                  <c:v>2.9487384338276901E-3</c:v>
                </c:pt>
                <c:pt idx="33">
                  <c:v>3.4417229729729699E-3</c:v>
                </c:pt>
                <c:pt idx="34">
                  <c:v>3.85134003719143E-3</c:v>
                </c:pt>
                <c:pt idx="35">
                  <c:v>4.4372889342652903E-3</c:v>
                </c:pt>
                <c:pt idx="36">
                  <c:v>6.2410429476214696E-3</c:v>
                </c:pt>
                <c:pt idx="37">
                  <c:v>8.3731705162309895E-3</c:v>
                </c:pt>
                <c:pt idx="38">
                  <c:v>1.0121699196326101E-2</c:v>
                </c:pt>
                <c:pt idx="39">
                  <c:v>1.2895526346322799E-2</c:v>
                </c:pt>
                <c:pt idx="40">
                  <c:v>1.51329277719894E-2</c:v>
                </c:pt>
                <c:pt idx="41">
                  <c:v>1.61704904465188E-2</c:v>
                </c:pt>
                <c:pt idx="42">
                  <c:v>1.5144769452235699E-2</c:v>
                </c:pt>
                <c:pt idx="43">
                  <c:v>2.0557711026720198E-2</c:v>
                </c:pt>
                <c:pt idx="44">
                  <c:v>2.27030625832224E-2</c:v>
                </c:pt>
                <c:pt idx="45">
                  <c:v>2.4292309290899101E-2</c:v>
                </c:pt>
                <c:pt idx="46">
                  <c:v>2.6485454517002301E-2</c:v>
                </c:pt>
                <c:pt idx="48">
                  <c:v>0.59038561172378101</c:v>
                </c:pt>
                <c:pt idx="49">
                  <c:v>0.65275139007512495</c:v>
                </c:pt>
                <c:pt idx="50">
                  <c:v>0.66256880311370103</c:v>
                </c:pt>
                <c:pt idx="51">
                  <c:v>0.69110877855244401</c:v>
                </c:pt>
                <c:pt idx="52">
                  <c:v>0.69751487814499102</c:v>
                </c:pt>
                <c:pt idx="53">
                  <c:v>0.73315967003974203</c:v>
                </c:pt>
                <c:pt idx="54">
                  <c:v>0.74747654672841701</c:v>
                </c:pt>
                <c:pt idx="55">
                  <c:v>0.77823317719638996</c:v>
                </c:pt>
                <c:pt idx="56">
                  <c:v>0.80055860621501496</c:v>
                </c:pt>
                <c:pt idx="57">
                  <c:v>0.79707555586964796</c:v>
                </c:pt>
                <c:pt idx="58">
                  <c:v>0.83129325614428196</c:v>
                </c:pt>
                <c:pt idx="59">
                  <c:v>0.84189003169786203</c:v>
                </c:pt>
                <c:pt idx="60">
                  <c:v>0.87128905100163201</c:v>
                </c:pt>
                <c:pt idx="61">
                  <c:v>0.88970098729687397</c:v>
                </c:pt>
                <c:pt idx="62">
                  <c:v>0.897965786000266</c:v>
                </c:pt>
                <c:pt idx="64">
                  <c:v>1.20985000956223E-2</c:v>
                </c:pt>
                <c:pt idx="65">
                  <c:v>1.4137769760139E-2</c:v>
                </c:pt>
                <c:pt idx="66">
                  <c:v>1.83168414607651E-2</c:v>
                </c:pt>
                <c:pt idx="67">
                  <c:v>2.1336404700631698E-2</c:v>
                </c:pt>
                <c:pt idx="68">
                  <c:v>2.4065691755604902E-2</c:v>
                </c:pt>
                <c:pt idx="69">
                  <c:v>2.71977534039081E-2</c:v>
                </c:pt>
                <c:pt idx="70">
                  <c:v>3.4522469963603197E-2</c:v>
                </c:pt>
                <c:pt idx="71">
                  <c:v>4.15363721618799E-2</c:v>
                </c:pt>
                <c:pt idx="72">
                  <c:v>4.7075796321147403E-2</c:v>
                </c:pt>
                <c:pt idx="73">
                  <c:v>5.4196879496656601E-2</c:v>
                </c:pt>
                <c:pt idx="74">
                  <c:v>6.0876210606460902E-2</c:v>
                </c:pt>
                <c:pt idx="75">
                  <c:v>7.2442986804972895E-2</c:v>
                </c:pt>
                <c:pt idx="76">
                  <c:v>8.37924914506923E-2</c:v>
                </c:pt>
                <c:pt idx="77">
                  <c:v>7.6270836968072395E-2</c:v>
                </c:pt>
                <c:pt idx="78">
                  <c:v>9.3172615418288696E-2</c:v>
                </c:pt>
              </c:numCache>
            </c:numRef>
          </c:val>
          <c:extLst>
            <c:ext xmlns:c16="http://schemas.microsoft.com/office/drawing/2014/chart" uri="{C3380CC4-5D6E-409C-BE32-E72D297353CC}">
              <c16:uniqueId val="{00000003-424E-4A48-8508-3D13004D23C1}"/>
            </c:ext>
          </c:extLst>
        </c:ser>
        <c:ser>
          <c:idx val="2"/>
          <c:order val="4"/>
          <c:tx>
            <c:strRef>
              <c:f>'Ch4. Granted Patents'!$B$11</c:f>
              <c:strCache>
                <c:ptCount val="1"/>
                <c:pt idx="0">
                  <c:v>U.S.</c:v>
                </c:pt>
              </c:strCache>
            </c:strRef>
          </c:tx>
          <c:spPr>
            <a:solidFill>
              <a:srgbClr val="008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Patents'!$AF$87:$DF$87</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Granted Patents'!$AF$90:$DF$90</c:f>
              <c:numCache>
                <c:formatCode>0%</c:formatCode>
                <c:ptCount val="79"/>
                <c:pt idx="0">
                  <c:v>0.21521993529290301</c:v>
                </c:pt>
                <c:pt idx="1">
                  <c:v>0.215449510561566</c:v>
                </c:pt>
                <c:pt idx="2">
                  <c:v>0.223773349368977</c:v>
                </c:pt>
                <c:pt idx="3">
                  <c:v>0.22304832713754599</c:v>
                </c:pt>
                <c:pt idx="4">
                  <c:v>0.222617739464195</c:v>
                </c:pt>
                <c:pt idx="5">
                  <c:v>0.218500168077052</c:v>
                </c:pt>
                <c:pt idx="6">
                  <c:v>0.228674171357098</c:v>
                </c:pt>
                <c:pt idx="7">
                  <c:v>0.236285322099683</c:v>
                </c:pt>
                <c:pt idx="8">
                  <c:v>0.24396474045053901</c:v>
                </c:pt>
                <c:pt idx="9">
                  <c:v>0.251219299773559</c:v>
                </c:pt>
                <c:pt idx="10">
                  <c:v>0.25548367797180599</c:v>
                </c:pt>
                <c:pt idx="11">
                  <c:v>0.25206114026783299</c:v>
                </c:pt>
                <c:pt idx="12">
                  <c:v>0.24420823445947601</c:v>
                </c:pt>
                <c:pt idx="13">
                  <c:v>0.23873662877955101</c:v>
                </c:pt>
                <c:pt idx="14">
                  <c:v>0.24531609510244301</c:v>
                </c:pt>
                <c:pt idx="16">
                  <c:v>6.2076490953914099E-2</c:v>
                </c:pt>
                <c:pt idx="17">
                  <c:v>6.8235126278202302E-2</c:v>
                </c:pt>
                <c:pt idx="18">
                  <c:v>7.3157417819360901E-2</c:v>
                </c:pt>
                <c:pt idx="19">
                  <c:v>7.6263448330620501E-2</c:v>
                </c:pt>
                <c:pt idx="20">
                  <c:v>8.9058826637081603E-2</c:v>
                </c:pt>
                <c:pt idx="21">
                  <c:v>9.5031633202716501E-2</c:v>
                </c:pt>
                <c:pt idx="22">
                  <c:v>8.4929119047501805E-2</c:v>
                </c:pt>
                <c:pt idx="23">
                  <c:v>8.74399354635053E-2</c:v>
                </c:pt>
                <c:pt idx="24">
                  <c:v>8.7803624212826101E-2</c:v>
                </c:pt>
                <c:pt idx="25">
                  <c:v>8.2202212217219697E-2</c:v>
                </c:pt>
                <c:pt idx="26">
                  <c:v>7.8965119325688601E-2</c:v>
                </c:pt>
                <c:pt idx="27">
                  <c:v>8.3239320504197994E-2</c:v>
                </c:pt>
                <c:pt idx="28">
                  <c:v>8.1317644722470495E-2</c:v>
                </c:pt>
                <c:pt idx="29">
                  <c:v>8.5122845898131502E-2</c:v>
                </c:pt>
                <c:pt idx="30">
                  <c:v>9.2483673184078602E-2</c:v>
                </c:pt>
                <c:pt idx="32">
                  <c:v>6.8431067791932407E-2</c:v>
                </c:pt>
                <c:pt idx="33">
                  <c:v>6.2014358108108097E-2</c:v>
                </c:pt>
                <c:pt idx="34">
                  <c:v>7.4065587351388504E-2</c:v>
                </c:pt>
                <c:pt idx="35">
                  <c:v>6.9386633157936098E-2</c:v>
                </c:pt>
                <c:pt idx="36">
                  <c:v>6.7834743346740001E-2</c:v>
                </c:pt>
                <c:pt idx="37">
                  <c:v>7.2021045811942297E-2</c:v>
                </c:pt>
                <c:pt idx="38">
                  <c:v>6.8840413318025304E-2</c:v>
                </c:pt>
                <c:pt idx="39">
                  <c:v>6.7096517544877401E-2</c:v>
                </c:pt>
                <c:pt idx="40">
                  <c:v>6.6480691022754002E-2</c:v>
                </c:pt>
                <c:pt idx="41">
                  <c:v>6.5024152282728898E-2</c:v>
                </c:pt>
                <c:pt idx="42">
                  <c:v>6.3101969339447603E-2</c:v>
                </c:pt>
                <c:pt idx="43">
                  <c:v>6.8829602007101601E-2</c:v>
                </c:pt>
                <c:pt idx="44">
                  <c:v>7.8162450066577904E-2</c:v>
                </c:pt>
                <c:pt idx="45">
                  <c:v>7.5971915032582701E-2</c:v>
                </c:pt>
                <c:pt idx="46">
                  <c:v>7.5426818772201601E-2</c:v>
                </c:pt>
                <c:pt idx="48">
                  <c:v>8.1304122566797393E-2</c:v>
                </c:pt>
                <c:pt idx="49">
                  <c:v>7.1662221912348306E-2</c:v>
                </c:pt>
                <c:pt idx="50">
                  <c:v>7.7271366389534996E-2</c:v>
                </c:pt>
                <c:pt idx="51">
                  <c:v>8.0283887369515805E-2</c:v>
                </c:pt>
                <c:pt idx="52">
                  <c:v>7.4609395098358705E-2</c:v>
                </c:pt>
                <c:pt idx="53">
                  <c:v>6.44474501552951E-2</c:v>
                </c:pt>
                <c:pt idx="54">
                  <c:v>6.3425266199580402E-2</c:v>
                </c:pt>
                <c:pt idx="55">
                  <c:v>5.6344967439734897E-2</c:v>
                </c:pt>
                <c:pt idx="56">
                  <c:v>5.3025937933156998E-2</c:v>
                </c:pt>
                <c:pt idx="57">
                  <c:v>5.1046368848331698E-2</c:v>
                </c:pt>
                <c:pt idx="58">
                  <c:v>3.9771601899167598E-2</c:v>
                </c:pt>
                <c:pt idx="59">
                  <c:v>4.0007414368356198E-2</c:v>
                </c:pt>
                <c:pt idx="60">
                  <c:v>3.1937240322817001E-2</c:v>
                </c:pt>
                <c:pt idx="61">
                  <c:v>2.6069806917268401E-2</c:v>
                </c:pt>
                <c:pt idx="62">
                  <c:v>2.7246962748988499E-2</c:v>
                </c:pt>
                <c:pt idx="64">
                  <c:v>0.49082481080441098</c:v>
                </c:pt>
                <c:pt idx="65">
                  <c:v>0.48384668492906602</c:v>
                </c:pt>
                <c:pt idx="66">
                  <c:v>0.47807074717070602</c:v>
                </c:pt>
                <c:pt idx="67">
                  <c:v>0.48083574783594601</c:v>
                </c:pt>
                <c:pt idx="68">
                  <c:v>0.48098457813534101</c:v>
                </c:pt>
                <c:pt idx="69">
                  <c:v>0.47240513794917699</c:v>
                </c:pt>
                <c:pt idx="70">
                  <c:v>0.47425663836541299</c:v>
                </c:pt>
                <c:pt idx="71">
                  <c:v>0.47344814932142298</c:v>
                </c:pt>
                <c:pt idx="72">
                  <c:v>0.46924054211249699</c:v>
                </c:pt>
                <c:pt idx="73">
                  <c:v>0.47150354089665097</c:v>
                </c:pt>
                <c:pt idx="74">
                  <c:v>0.46749509223194802</c:v>
                </c:pt>
                <c:pt idx="75">
                  <c:v>0.45671573487910899</c:v>
                </c:pt>
                <c:pt idx="76">
                  <c:v>0.43886858492724601</c:v>
                </c:pt>
                <c:pt idx="77">
                  <c:v>0.46970134339957798</c:v>
                </c:pt>
                <c:pt idx="78">
                  <c:v>0.44501977705861201</c:v>
                </c:pt>
              </c:numCache>
            </c:numRef>
          </c:val>
          <c:extLst>
            <c:ext xmlns:c16="http://schemas.microsoft.com/office/drawing/2014/chart" uri="{C3380CC4-5D6E-409C-BE32-E72D297353CC}">
              <c16:uniqueId val="{00000004-424E-4A48-8508-3D13004D23C1}"/>
            </c:ext>
          </c:extLst>
        </c:ser>
        <c:ser>
          <c:idx val="5"/>
          <c:order val="5"/>
          <c:tx>
            <c:strRef>
              <c:f>'Ch4. Granted Patents'!$B$12</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Granted Patents'!$AF$87:$DF$87</c:f>
              <c:numCache>
                <c:formatCode>General</c:formatCode>
                <c:ptCount val="79"/>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pt idx="78">
                  <c:v>2024</c:v>
                </c:pt>
              </c:numCache>
            </c:numRef>
          </c:cat>
          <c:val>
            <c:numRef>
              <c:f>'Ch4. Granted Patents'!$AF$93:$DF$93</c:f>
              <c:numCache>
                <c:formatCode>0%</c:formatCode>
                <c:ptCount val="79"/>
                <c:pt idx="0">
                  <c:v>4.2937289185654301E-2</c:v>
                </c:pt>
                <c:pt idx="1">
                  <c:v>4.1167568263781602E-2</c:v>
                </c:pt>
                <c:pt idx="2">
                  <c:v>4.4468464079650501E-2</c:v>
                </c:pt>
                <c:pt idx="3">
                  <c:v>4.7352800095934802E-2</c:v>
                </c:pt>
                <c:pt idx="4">
                  <c:v>4.6275517310757901E-2</c:v>
                </c:pt>
                <c:pt idx="5">
                  <c:v>4.2852340655646699E-2</c:v>
                </c:pt>
                <c:pt idx="6">
                  <c:v>4.3318740879716502E-2</c:v>
                </c:pt>
                <c:pt idx="7">
                  <c:v>4.4682160268850302E-2</c:v>
                </c:pt>
                <c:pt idx="8">
                  <c:v>4.8164544564152798E-2</c:v>
                </c:pt>
                <c:pt idx="9">
                  <c:v>4.8634093944144502E-2</c:v>
                </c:pt>
                <c:pt idx="10">
                  <c:v>5.0517892532625397E-2</c:v>
                </c:pt>
                <c:pt idx="11">
                  <c:v>5.1434296271105399E-2</c:v>
                </c:pt>
                <c:pt idx="12">
                  <c:v>4.89517332485261E-2</c:v>
                </c:pt>
                <c:pt idx="13">
                  <c:v>4.9766272500454102E-2</c:v>
                </c:pt>
                <c:pt idx="14">
                  <c:v>5.34312114239801E-2</c:v>
                </c:pt>
                <c:pt idx="16">
                  <c:v>1.0085633585249601E-2</c:v>
                </c:pt>
                <c:pt idx="17">
                  <c:v>1.1375318370446801E-2</c:v>
                </c:pt>
                <c:pt idx="18">
                  <c:v>1.2573191989548401E-2</c:v>
                </c:pt>
                <c:pt idx="19">
                  <c:v>1.2527113205981001E-2</c:v>
                </c:pt>
                <c:pt idx="20">
                  <c:v>1.474848332761E-2</c:v>
                </c:pt>
                <c:pt idx="21">
                  <c:v>1.51670380971493E-2</c:v>
                </c:pt>
                <c:pt idx="22">
                  <c:v>1.47030582952134E-2</c:v>
                </c:pt>
                <c:pt idx="23">
                  <c:v>1.5287332708678899E-2</c:v>
                </c:pt>
                <c:pt idx="24">
                  <c:v>1.54273229661997E-2</c:v>
                </c:pt>
                <c:pt idx="25">
                  <c:v>1.72030459674282E-2</c:v>
                </c:pt>
                <c:pt idx="26">
                  <c:v>1.8574781333794199E-2</c:v>
                </c:pt>
                <c:pt idx="27">
                  <c:v>1.9786084654936802E-2</c:v>
                </c:pt>
                <c:pt idx="28">
                  <c:v>1.7699334723463401E-2</c:v>
                </c:pt>
                <c:pt idx="29">
                  <c:v>1.7805968438347801E-2</c:v>
                </c:pt>
                <c:pt idx="30">
                  <c:v>1.9167781749915101E-2</c:v>
                </c:pt>
                <c:pt idx="32">
                  <c:v>9.5870313612131993E-3</c:v>
                </c:pt>
                <c:pt idx="33">
                  <c:v>8.8154560810810804E-3</c:v>
                </c:pt>
                <c:pt idx="34">
                  <c:v>1.15716463817674E-2</c:v>
                </c:pt>
                <c:pt idx="35">
                  <c:v>1.12699285321605E-2</c:v>
                </c:pt>
                <c:pt idx="36">
                  <c:v>1.2620775738523399E-2</c:v>
                </c:pt>
                <c:pt idx="37">
                  <c:v>1.29376773040943E-2</c:v>
                </c:pt>
                <c:pt idx="38">
                  <c:v>1.2629161882893199E-2</c:v>
                </c:pt>
                <c:pt idx="39">
                  <c:v>1.3459084052974401E-2</c:v>
                </c:pt>
                <c:pt idx="40">
                  <c:v>1.1477834167983101E-2</c:v>
                </c:pt>
                <c:pt idx="41">
                  <c:v>1.2326815798059901E-2</c:v>
                </c:pt>
                <c:pt idx="42">
                  <c:v>1.51596099906505E-2</c:v>
                </c:pt>
                <c:pt idx="43">
                  <c:v>1.53822952797466E-2</c:v>
                </c:pt>
                <c:pt idx="44">
                  <c:v>1.5682793312620201E-2</c:v>
                </c:pt>
                <c:pt idx="45">
                  <c:v>1.5192898600204801E-2</c:v>
                </c:pt>
                <c:pt idx="46">
                  <c:v>1.34735458429182E-2</c:v>
                </c:pt>
                <c:pt idx="48">
                  <c:v>1.2375101768929E-2</c:v>
                </c:pt>
                <c:pt idx="49">
                  <c:v>1.01619285004619E-2</c:v>
                </c:pt>
                <c:pt idx="50">
                  <c:v>1.08564980078764E-2</c:v>
                </c:pt>
                <c:pt idx="51">
                  <c:v>1.0978005469743099E-2</c:v>
                </c:pt>
                <c:pt idx="52">
                  <c:v>1.06933987342858E-2</c:v>
                </c:pt>
                <c:pt idx="53">
                  <c:v>9.2314286032350295E-3</c:v>
                </c:pt>
                <c:pt idx="54">
                  <c:v>9.2947195503305206E-3</c:v>
                </c:pt>
                <c:pt idx="55">
                  <c:v>8.2424121253665394E-3</c:v>
                </c:pt>
                <c:pt idx="56">
                  <c:v>8.2795900469053406E-3</c:v>
                </c:pt>
                <c:pt idx="57">
                  <c:v>9.3108718120864693E-3</c:v>
                </c:pt>
                <c:pt idx="58">
                  <c:v>1.1208634912011701E-2</c:v>
                </c:pt>
                <c:pt idx="59">
                  <c:v>8.6299799122345703E-3</c:v>
                </c:pt>
                <c:pt idx="60">
                  <c:v>6.4007254990624401E-3</c:v>
                </c:pt>
                <c:pt idx="61">
                  <c:v>7.4185732577321598E-3</c:v>
                </c:pt>
                <c:pt idx="62">
                  <c:v>5.5217524888086199E-3</c:v>
                </c:pt>
                <c:pt idx="64">
                  <c:v>9.2011438250749006E-2</c:v>
                </c:pt>
                <c:pt idx="65">
                  <c:v>9.5899868599808494E-2</c:v>
                </c:pt>
                <c:pt idx="66">
                  <c:v>0.10027058521459201</c:v>
                </c:pt>
                <c:pt idx="67">
                  <c:v>0.10220814512210501</c:v>
                </c:pt>
                <c:pt idx="68">
                  <c:v>0.10233572903813699</c:v>
                </c:pt>
                <c:pt idx="69">
                  <c:v>0.105426481282276</c:v>
                </c:pt>
                <c:pt idx="70">
                  <c:v>0.104471554105112</c:v>
                </c:pt>
                <c:pt idx="71">
                  <c:v>0.105332325478548</c:v>
                </c:pt>
                <c:pt idx="72">
                  <c:v>0.105761326232539</c:v>
                </c:pt>
                <c:pt idx="73">
                  <c:v>0.10507575543830899</c:v>
                </c:pt>
                <c:pt idx="74">
                  <c:v>0.10806180804731901</c:v>
                </c:pt>
                <c:pt idx="75">
                  <c:v>0.11132941804591601</c:v>
                </c:pt>
                <c:pt idx="76">
                  <c:v>0.113880489026585</c:v>
                </c:pt>
                <c:pt idx="77">
                  <c:v>0.11919300861234899</c:v>
                </c:pt>
                <c:pt idx="78">
                  <c:v>0.108744117693041</c:v>
                </c:pt>
              </c:numCache>
            </c:numRef>
          </c:val>
          <c:extLst>
            <c:ext xmlns:c16="http://schemas.microsoft.com/office/drawing/2014/chart" uri="{C3380CC4-5D6E-409C-BE32-E72D297353CC}">
              <c16:uniqueId val="{00000005-424E-4A48-8508-3D13004D23C1}"/>
            </c:ext>
          </c:extLst>
        </c:ser>
        <c:dLbls>
          <c:showLegendKey val="0"/>
          <c:showVal val="0"/>
          <c:showCatName val="0"/>
          <c:showSerName val="0"/>
          <c:showPercent val="0"/>
          <c:showBubbleSize val="0"/>
        </c:dLbls>
        <c:gapWidth val="4"/>
        <c:overlap val="100"/>
        <c:axId val="1801083088"/>
        <c:axId val="1801083632"/>
      </c:barChart>
      <c:catAx>
        <c:axId val="1801083088"/>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1083632"/>
        <c:crosses val="autoZero"/>
        <c:auto val="1"/>
        <c:lblAlgn val="ctr"/>
        <c:lblOffset val="100"/>
        <c:noMultiLvlLbl val="0"/>
      </c:catAx>
      <c:valAx>
        <c:axId val="1801083632"/>
        <c:scaling>
          <c:orientation val="minMax"/>
          <c:max val="1"/>
          <c:min val="0"/>
        </c:scaling>
        <c:delete val="1"/>
        <c:axPos val="l"/>
        <c:numFmt formatCode="0%" sourceLinked="1"/>
        <c:majorTickMark val="out"/>
        <c:minorTickMark val="none"/>
        <c:tickLblPos val="nextTo"/>
        <c:crossAx val="1801083088"/>
        <c:crosses val="autoZero"/>
        <c:crossBetween val="between"/>
      </c:valAx>
      <c:spPr>
        <a:noFill/>
        <a:ln>
          <a:noFill/>
        </a:ln>
        <a:effectLst/>
      </c:spPr>
    </c:plotArea>
    <c:legend>
      <c:legendPos val="b"/>
      <c:legendEntry>
        <c:idx val="4"/>
        <c:delete val="1"/>
      </c:legendEntry>
      <c:layout>
        <c:manualLayout>
          <c:xMode val="edge"/>
          <c:yMode val="edge"/>
          <c:x val="0.21783060533773099"/>
          <c:y val="1.61505811773528E-2"/>
          <c:w val="0.176172158360861"/>
          <c:h val="3.9054368203974503E-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15e749bb-18e3-47cd-b866-0951d6afdbbd}"/>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2016</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5654-4E18-AF73-5E173D7DCA6F}"/>
              </c:ext>
            </c:extLst>
          </c:dPt>
          <c:dPt>
            <c:idx val="1"/>
            <c:bubble3D val="0"/>
            <c:spPr>
              <a:solidFill>
                <a:srgbClr val="FF0000"/>
              </a:solidFill>
              <a:ln>
                <a:solidFill>
                  <a:schemeClr val="bg1"/>
                </a:solidFill>
              </a:ln>
            </c:spPr>
            <c:extLst>
              <c:ext xmlns:c16="http://schemas.microsoft.com/office/drawing/2014/chart" uri="{C3380CC4-5D6E-409C-BE32-E72D297353CC}">
                <c16:uniqueId val="{00000003-5654-4E18-AF73-5E173D7DCA6F}"/>
              </c:ext>
            </c:extLst>
          </c:dPt>
          <c:dPt>
            <c:idx val="2"/>
            <c:bubble3D val="0"/>
            <c:spPr>
              <a:solidFill>
                <a:srgbClr val="7030A0"/>
              </a:solidFill>
              <a:ln>
                <a:solidFill>
                  <a:schemeClr val="bg1"/>
                </a:solidFill>
              </a:ln>
            </c:spPr>
            <c:extLst>
              <c:ext xmlns:c16="http://schemas.microsoft.com/office/drawing/2014/chart" uri="{C3380CC4-5D6E-409C-BE32-E72D297353CC}">
                <c16:uniqueId val="{00000005-5654-4E18-AF73-5E173D7DCA6F}"/>
              </c:ext>
            </c:extLst>
          </c:dPt>
          <c:dPt>
            <c:idx val="3"/>
            <c:bubble3D val="0"/>
            <c:spPr>
              <a:solidFill>
                <a:srgbClr val="FFC000"/>
              </a:solidFill>
              <a:ln>
                <a:solidFill>
                  <a:schemeClr val="bg1"/>
                </a:solidFill>
              </a:ln>
            </c:spPr>
            <c:extLst>
              <c:ext xmlns:c16="http://schemas.microsoft.com/office/drawing/2014/chart" uri="{C3380CC4-5D6E-409C-BE32-E72D297353CC}">
                <c16:uniqueId val="{00000007-5654-4E18-AF73-5E173D7DCA6F}"/>
              </c:ext>
            </c:extLst>
          </c:dPt>
          <c:dPt>
            <c:idx val="4"/>
            <c:bubble3D val="0"/>
            <c:spPr>
              <a:solidFill>
                <a:srgbClr val="008000"/>
              </a:solidFill>
              <a:ln>
                <a:solidFill>
                  <a:schemeClr val="bg1"/>
                </a:solidFill>
              </a:ln>
            </c:spPr>
            <c:extLst>
              <c:ext xmlns:c16="http://schemas.microsoft.com/office/drawing/2014/chart" uri="{C3380CC4-5D6E-409C-BE32-E72D297353CC}">
                <c16:uniqueId val="{00000009-5654-4E18-AF73-5E173D7DCA6F}"/>
              </c:ext>
            </c:extLst>
          </c:dPt>
          <c:dPt>
            <c:idx val="5"/>
            <c:bubble3D val="0"/>
            <c:spPr>
              <a:solidFill>
                <a:schemeClr val="accent2"/>
              </a:solidFill>
              <a:ln>
                <a:solidFill>
                  <a:schemeClr val="bg1"/>
                </a:solidFill>
              </a:ln>
            </c:spPr>
            <c:extLst>
              <c:ext xmlns:c16="http://schemas.microsoft.com/office/drawing/2014/chart" uri="{C3380CC4-5D6E-409C-BE32-E72D297353CC}">
                <c16:uniqueId val="{0000000B-5654-4E18-AF73-5E173D7DCA6F}"/>
              </c:ext>
            </c:extLst>
          </c:dPt>
          <c:dLbls>
            <c:dLbl>
              <c:idx val="0"/>
              <c:layout>
                <c:manualLayout>
                  <c:x val="-0.216636920384952"/>
                  <c:y val="0.2327443791089129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3511111111111099"/>
                      <c:h val="0.28706765691402503"/>
                    </c:manualLayout>
                  </c15:layout>
                </c:ext>
                <c:ext xmlns:c16="http://schemas.microsoft.com/office/drawing/2014/chart" uri="{C3380CC4-5D6E-409C-BE32-E72D297353CC}">
                  <c16:uniqueId val="{00000001-5654-4E18-AF73-5E173D7DCA6F}"/>
                </c:ext>
              </c:extLst>
            </c:dLbl>
            <c:dLbl>
              <c:idx val="1"/>
              <c:layout>
                <c:manualLayout>
                  <c:x val="-0.201557782549909"/>
                  <c:y val="-0.18401548977321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07313131313131"/>
                      <c:h val="0.232109444050799"/>
                    </c:manualLayout>
                  </c15:layout>
                </c:ext>
                <c:ext xmlns:c16="http://schemas.microsoft.com/office/drawing/2014/chart" uri="{C3380CC4-5D6E-409C-BE32-E72D297353CC}">
                  <c16:uniqueId val="{00000003-5654-4E18-AF73-5E173D7DCA6F}"/>
                </c:ext>
              </c:extLst>
            </c:dLbl>
            <c:dLbl>
              <c:idx val="3"/>
              <c:layout>
                <c:manualLayout>
                  <c:x val="0.14449757416686501"/>
                  <c:y val="-6.714506711365070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357575757575801"/>
                      <c:h val="0.28706765691402503"/>
                    </c:manualLayout>
                  </c15:layout>
                </c:ext>
                <c:ext xmlns:c16="http://schemas.microsoft.com/office/drawing/2014/chart" uri="{C3380CC4-5D6E-409C-BE32-E72D297353CC}">
                  <c16:uniqueId val="{00000007-5654-4E18-AF73-5E173D7DCA6F}"/>
                </c:ext>
              </c:extLst>
            </c:dLbl>
            <c:dLbl>
              <c:idx val="5"/>
              <c:layout>
                <c:manualLayout>
                  <c:x val="0.15898258172273899"/>
                  <c:y val="0.1286071351813959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7474747474747502"/>
                      <c:h val="0.232109444050799"/>
                    </c:manualLayout>
                  </c15:layout>
                </c:ext>
                <c:ext xmlns:c16="http://schemas.microsoft.com/office/drawing/2014/chart" uri="{C3380CC4-5D6E-409C-BE32-E72D297353CC}">
                  <c16:uniqueId val="{0000000B-5654-4E18-AF73-5E173D7DCA6F}"/>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Patents-in-Force'!$R$8:$R$13</c:f>
              <c:numCache>
                <c:formatCode>#,##0</c:formatCode>
                <c:ptCount val="6"/>
                <c:pt idx="0">
                  <c:v>3185424</c:v>
                </c:pt>
                <c:pt idx="1">
                  <c:v>1980985</c:v>
                </c:pt>
                <c:pt idx="2">
                  <c:v>950526</c:v>
                </c:pt>
                <c:pt idx="3">
                  <c:v>1772203</c:v>
                </c:pt>
                <c:pt idx="4">
                  <c:v>2763055</c:v>
                </c:pt>
                <c:pt idx="5">
                  <c:v>1117946</c:v>
                </c:pt>
              </c:numCache>
            </c:numRef>
          </c:val>
          <c:extLst>
            <c:ext xmlns:c16="http://schemas.microsoft.com/office/drawing/2014/chart" uri="{C3380CC4-5D6E-409C-BE32-E72D297353CC}">
              <c16:uniqueId val="{0000000C-5654-4E18-AF73-5E173D7DCA6F}"/>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5654-4E18-AF73-5E173D7DCA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5654-4E18-AF73-5E173D7DCA6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5654-4E18-AF73-5E173D7DCA6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5654-4E18-AF73-5E173D7DCA6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5654-4E18-AF73-5E173D7DCA6F}"/>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5654-4E18-AF73-5E173D7DCA6F}"/>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5654-4E18-AF73-5E173D7DCA6F}"/>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cf843132-461a-4861-8965-339a0d4c6822}"/>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4.9: PATENTS GRANTED - PATENTEES DISTRIBUTION </a:t>
            </a:r>
            <a:r>
              <a:rPr lang="en-US" b="1" baseline="0">
                <a:solidFill>
                  <a:srgbClr val="0000CC"/>
                </a:solidFill>
              </a:rPr>
              <a:t>(EXTENDED DATA)</a:t>
            </a:r>
            <a:endParaRPr lang="en-US" b="1">
              <a:solidFill>
                <a:sysClr val="windowText" lastClr="000000"/>
              </a:solidFill>
            </a:endParaRPr>
          </a:p>
        </c:rich>
      </c:tx>
      <c:layout>
        <c:manualLayout>
          <c:xMode val="edge"/>
          <c:yMode val="edge"/>
          <c:x val="1.07669735849527E-2"/>
          <c:y val="1.6316611958489099E-2"/>
        </c:manualLayout>
      </c:layout>
      <c:overlay val="0"/>
      <c:spPr>
        <a:noFill/>
        <a:ln>
          <a:noFill/>
        </a:ln>
        <a:effectLst/>
      </c:spPr>
    </c:title>
    <c:autoTitleDeleted val="0"/>
    <c:plotArea>
      <c:layout>
        <c:manualLayout>
          <c:layoutTarget val="inner"/>
          <c:xMode val="edge"/>
          <c:yMode val="edge"/>
          <c:x val="7.9236360247868405E-3"/>
          <c:y val="6.5911149335180302E-2"/>
          <c:w val="0.98415271114555603"/>
          <c:h val="0.81368358084937997"/>
        </c:manualLayout>
      </c:layout>
      <c:barChart>
        <c:barDir val="col"/>
        <c:grouping val="stacked"/>
        <c:varyColors val="0"/>
        <c:ser>
          <c:idx val="0"/>
          <c:order val="0"/>
          <c:tx>
            <c:strRef>
              <c:f>'Ch4. Granted Patents'!$AE$140</c:f>
              <c:strCache>
                <c:ptCount val="1"/>
                <c:pt idx="0">
                  <c:v>1</c:v>
                </c:pt>
              </c:strCache>
            </c:strRef>
          </c:tx>
          <c:spPr>
            <a:solidFill>
              <a:schemeClr val="tx1">
                <a:lumMod val="50000"/>
                <a:lumOff val="50000"/>
              </a:schemeClr>
            </a:solidFill>
          </c:spPr>
          <c:invertIfNegative val="0"/>
          <c:dLbls>
            <c:spPr>
              <a:noFill/>
              <a:ln>
                <a:noFill/>
              </a:ln>
              <a:effectLst/>
            </c:spPr>
            <c:txPr>
              <a:bodyPr rot="0" spcFirstLastPara="0"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Patents'!$AF$138:$DE$139</c:f>
              <c:multiLvlStrCache>
                <c:ptCount val="78"/>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lvl>
                <c:lvl>
                  <c:pt idx="0">
                    <c:v>EPO</c:v>
                  </c:pt>
                  <c:pt idx="16">
                    <c:v>JPO</c:v>
                  </c:pt>
                  <c:pt idx="32">
                    <c:v>MOIP</c:v>
                  </c:pt>
                  <c:pt idx="48">
                    <c:v>CNIPA</c:v>
                  </c:pt>
                  <c:pt idx="64">
                    <c:v>USPTO</c:v>
                  </c:pt>
                </c:lvl>
              </c:multiLvlStrCache>
            </c:multiLvlStrRef>
          </c:cat>
          <c:val>
            <c:numRef>
              <c:f>'Ch4. Granted Patents'!$AF$140:$DE$140</c:f>
              <c:numCache>
                <c:formatCode>0%</c:formatCode>
                <c:ptCount val="78"/>
                <c:pt idx="0">
                  <c:v>0.688182493853982</c:v>
                </c:pt>
                <c:pt idx="1">
                  <c:v>0.71301432490094496</c:v>
                </c:pt>
                <c:pt idx="2">
                  <c:v>0.70526807070765996</c:v>
                </c:pt>
                <c:pt idx="3">
                  <c:v>0.70587552252670704</c:v>
                </c:pt>
                <c:pt idx="4">
                  <c:v>0.70695249130938598</c:v>
                </c:pt>
                <c:pt idx="5">
                  <c:v>0.70467623889602804</c:v>
                </c:pt>
                <c:pt idx="6">
                  <c:v>0.69554606467358104</c:v>
                </c:pt>
                <c:pt idx="7">
                  <c:v>0.69843325673699597</c:v>
                </c:pt>
                <c:pt idx="8">
                  <c:v>0.68632616959614601</c:v>
                </c:pt>
                <c:pt idx="9">
                  <c:v>0.69061677456071702</c:v>
                </c:pt>
                <c:pt idx="10">
                  <c:v>0.68932451080995005</c:v>
                </c:pt>
                <c:pt idx="11">
                  <c:v>0.70144578313253003</c:v>
                </c:pt>
                <c:pt idx="12">
                  <c:v>0.70818126520681302</c:v>
                </c:pt>
                <c:pt idx="13">
                  <c:v>0.70279481935923604</c:v>
                </c:pt>
                <c:pt idx="14">
                  <c:v>0.69190264451205197</c:v>
                </c:pt>
                <c:pt idx="16">
                  <c:v>0.65061856707010401</c:v>
                </c:pt>
                <c:pt idx="17">
                  <c:v>0.64734441186054104</c:v>
                </c:pt>
                <c:pt idx="18">
                  <c:v>0.64154841846191202</c:v>
                </c:pt>
                <c:pt idx="19">
                  <c:v>0.64059646987218499</c:v>
                </c:pt>
                <c:pt idx="20">
                  <c:v>0.64426351811605997</c:v>
                </c:pt>
                <c:pt idx="21">
                  <c:v>0.64053041222254203</c:v>
                </c:pt>
                <c:pt idx="22">
                  <c:v>0.64030217849613502</c:v>
                </c:pt>
                <c:pt idx="23">
                  <c:v>0.64191083695499795</c:v>
                </c:pt>
                <c:pt idx="24">
                  <c:v>0.64109297374024099</c:v>
                </c:pt>
                <c:pt idx="25">
                  <c:v>0.64126586804934704</c:v>
                </c:pt>
                <c:pt idx="26">
                  <c:v>0.64109297374024099</c:v>
                </c:pt>
                <c:pt idx="27">
                  <c:v>0.64229636898920495</c:v>
                </c:pt>
                <c:pt idx="28">
                  <c:v>0.60346277863451603</c:v>
                </c:pt>
                <c:pt idx="29">
                  <c:v>0.64701072736787002</c:v>
                </c:pt>
                <c:pt idx="30">
                  <c:v>0.64701072736787002</c:v>
                </c:pt>
                <c:pt idx="32">
                  <c:v>0.65313561014579602</c:v>
                </c:pt>
                <c:pt idx="33">
                  <c:v>0.63556352050975695</c:v>
                </c:pt>
                <c:pt idx="34">
                  <c:v>0.66855515113150799</c:v>
                </c:pt>
                <c:pt idx="35">
                  <c:v>0.67047344223809102</c:v>
                </c:pt>
                <c:pt idx="36">
                  <c:v>0.66998535144126903</c:v>
                </c:pt>
                <c:pt idx="37">
                  <c:v>0.68457107801370098</c:v>
                </c:pt>
                <c:pt idx="38">
                  <c:v>0.685496036203742</c:v>
                </c:pt>
                <c:pt idx="39">
                  <c:v>0.68313072062115698</c:v>
                </c:pt>
                <c:pt idx="40">
                  <c:v>0.68471042891356404</c:v>
                </c:pt>
                <c:pt idx="41">
                  <c:v>0.68392242727557095</c:v>
                </c:pt>
                <c:pt idx="42">
                  <c:v>0.681571684501041</c:v>
                </c:pt>
                <c:pt idx="43">
                  <c:v>0.67440957471106799</c:v>
                </c:pt>
                <c:pt idx="44">
                  <c:v>0.67764986105597502</c:v>
                </c:pt>
                <c:pt idx="45">
                  <c:v>0.67760250808462297</c:v>
                </c:pt>
                <c:pt idx="46">
                  <c:v>0.67365856242385702</c:v>
                </c:pt>
                <c:pt idx="48">
                  <c:v>0.69619014732965001</c:v>
                </c:pt>
                <c:pt idx="49">
                  <c:v>0.67709411711752299</c:v>
                </c:pt>
                <c:pt idx="50">
                  <c:v>0.65804566008602605</c:v>
                </c:pt>
                <c:pt idx="51">
                  <c:v>0.65741094321095395</c:v>
                </c:pt>
                <c:pt idx="52">
                  <c:v>0.647000303510606</c:v>
                </c:pt>
                <c:pt idx="53">
                  <c:v>0.61449978766001301</c:v>
                </c:pt>
                <c:pt idx="54">
                  <c:v>0.60868050641730398</c:v>
                </c:pt>
                <c:pt idx="55">
                  <c:v>0.62149848126898399</c:v>
                </c:pt>
                <c:pt idx="56">
                  <c:v>0.61848319845973299</c:v>
                </c:pt>
                <c:pt idx="57">
                  <c:v>0.62971448897816595</c:v>
                </c:pt>
                <c:pt idx="58">
                  <c:v>0.61092314217049104</c:v>
                </c:pt>
                <c:pt idx="59">
                  <c:v>0.61238782502420297</c:v>
                </c:pt>
                <c:pt idx="60">
                  <c:v>0.60219792309714004</c:v>
                </c:pt>
                <c:pt idx="61">
                  <c:v>0.58140444574253902</c:v>
                </c:pt>
                <c:pt idx="62">
                  <c:v>0.56259731174310101</c:v>
                </c:pt>
                <c:pt idx="64">
                  <c:v>0.60185500920684698</c:v>
                </c:pt>
                <c:pt idx="65">
                  <c:v>0.69930038057473598</c:v>
                </c:pt>
                <c:pt idx="66">
                  <c:v>0.69455011577902703</c:v>
                </c:pt>
                <c:pt idx="67">
                  <c:v>0.69261010768617204</c:v>
                </c:pt>
                <c:pt idx="68">
                  <c:v>0.69143736422881996</c:v>
                </c:pt>
                <c:pt idx="69">
                  <c:v>0.69036939795062502</c:v>
                </c:pt>
                <c:pt idx="70">
                  <c:v>0.68987296217655703</c:v>
                </c:pt>
                <c:pt idx="71">
                  <c:v>0.681974447124019</c:v>
                </c:pt>
                <c:pt idx="72">
                  <c:v>0.69164610745613997</c:v>
                </c:pt>
                <c:pt idx="73">
                  <c:v>0.68649255567860201</c:v>
                </c:pt>
                <c:pt idx="74">
                  <c:v>0.69160736233555398</c:v>
                </c:pt>
                <c:pt idx="75">
                  <c:v>0.69316553965588901</c:v>
                </c:pt>
                <c:pt idx="76">
                  <c:v>0.70133485947626495</c:v>
                </c:pt>
                <c:pt idx="77">
                  <c:v>0.67595266311695701</c:v>
                </c:pt>
              </c:numCache>
            </c:numRef>
          </c:val>
          <c:extLst>
            <c:ext xmlns:c16="http://schemas.microsoft.com/office/drawing/2014/chart" uri="{C3380CC4-5D6E-409C-BE32-E72D297353CC}">
              <c16:uniqueId val="{00000000-0F63-4BFE-B5D2-5578ABBEBA9B}"/>
            </c:ext>
          </c:extLst>
        </c:ser>
        <c:ser>
          <c:idx val="1"/>
          <c:order val="1"/>
          <c:tx>
            <c:strRef>
              <c:f>'Ch4. Granted Patents'!$AE$141</c:f>
              <c:strCache>
                <c:ptCount val="1"/>
                <c:pt idx="0">
                  <c:v>2 to 5</c:v>
                </c:pt>
              </c:strCache>
            </c:strRef>
          </c:tx>
          <c:spPr>
            <a:solidFill>
              <a:srgbClr val="008080"/>
            </a:solidFill>
          </c:spPr>
          <c:invertIfNegative val="0"/>
          <c:dLbls>
            <c:spPr>
              <a:noFill/>
              <a:ln>
                <a:noFill/>
              </a:ln>
              <a:effectLst/>
            </c:spPr>
            <c:txPr>
              <a:bodyPr rot="0" spcFirstLastPara="0"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Patents'!$AF$138:$DE$139</c:f>
              <c:multiLvlStrCache>
                <c:ptCount val="78"/>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lvl>
                <c:lvl>
                  <c:pt idx="0">
                    <c:v>EPO</c:v>
                  </c:pt>
                  <c:pt idx="16">
                    <c:v>JPO</c:v>
                  </c:pt>
                  <c:pt idx="32">
                    <c:v>MOIP</c:v>
                  </c:pt>
                  <c:pt idx="48">
                    <c:v>CNIPA</c:v>
                  </c:pt>
                  <c:pt idx="64">
                    <c:v>USPTO</c:v>
                  </c:pt>
                </c:lvl>
              </c:multiLvlStrCache>
            </c:multiLvlStrRef>
          </c:cat>
          <c:val>
            <c:numRef>
              <c:f>'Ch4. Granted Patents'!$AF$141:$DE$141</c:f>
              <c:numCache>
                <c:formatCode>0%</c:formatCode>
                <c:ptCount val="78"/>
                <c:pt idx="0">
                  <c:v>0.23114744725858999</c:v>
                </c:pt>
                <c:pt idx="1">
                  <c:v>0.21280097531240499</c:v>
                </c:pt>
                <c:pt idx="2">
                  <c:v>0.219648795286156</c:v>
                </c:pt>
                <c:pt idx="3">
                  <c:v>0.21632605666511801</c:v>
                </c:pt>
                <c:pt idx="4">
                  <c:v>0.217902665121669</c:v>
                </c:pt>
                <c:pt idx="5">
                  <c:v>0.219788815017599</c:v>
                </c:pt>
                <c:pt idx="6">
                  <c:v>0.22653185740434101</c:v>
                </c:pt>
                <c:pt idx="7">
                  <c:v>0.22410695634008801</c:v>
                </c:pt>
                <c:pt idx="8">
                  <c:v>0.231698596108246</c:v>
                </c:pt>
                <c:pt idx="9">
                  <c:v>0.228071423490076</c:v>
                </c:pt>
                <c:pt idx="10">
                  <c:v>0.229326633877074</c:v>
                </c:pt>
                <c:pt idx="11">
                  <c:v>0.22112449799196801</c:v>
                </c:pt>
                <c:pt idx="12">
                  <c:v>0.215581914030819</c:v>
                </c:pt>
                <c:pt idx="13">
                  <c:v>0.22121977625406</c:v>
                </c:pt>
                <c:pt idx="14">
                  <c:v>0.229659099773773</c:v>
                </c:pt>
                <c:pt idx="16">
                  <c:v>0.235089013310088</c:v>
                </c:pt>
                <c:pt idx="17">
                  <c:v>0.23633105246008501</c:v>
                </c:pt>
                <c:pt idx="18">
                  <c:v>0.24213788702865299</c:v>
                </c:pt>
                <c:pt idx="19">
                  <c:v>0.241905051734632</c:v>
                </c:pt>
                <c:pt idx="20">
                  <c:v>0.244250543319602</c:v>
                </c:pt>
                <c:pt idx="21">
                  <c:v>0.24863072931680599</c:v>
                </c:pt>
                <c:pt idx="22">
                  <c:v>0.24901616303584001</c:v>
                </c:pt>
                <c:pt idx="23">
                  <c:v>0.248212533295948</c:v>
                </c:pt>
                <c:pt idx="24">
                  <c:v>0.248545067423705</c:v>
                </c:pt>
                <c:pt idx="25">
                  <c:v>0.25192204541391</c:v>
                </c:pt>
                <c:pt idx="26">
                  <c:v>0.248545067423705</c:v>
                </c:pt>
                <c:pt idx="27">
                  <c:v>0.24943922613206199</c:v>
                </c:pt>
                <c:pt idx="28">
                  <c:v>0.27758306462918803</c:v>
                </c:pt>
                <c:pt idx="29">
                  <c:v>0.246598639455782</c:v>
                </c:pt>
                <c:pt idx="30">
                  <c:v>0.25896550651612699</c:v>
                </c:pt>
                <c:pt idx="32">
                  <c:v>0.28659876173357302</c:v>
                </c:pt>
                <c:pt idx="33">
                  <c:v>0.29800876144962202</c:v>
                </c:pt>
                <c:pt idx="34">
                  <c:v>0.26997942712454498</c:v>
                </c:pt>
                <c:pt idx="35">
                  <c:v>0.270810916560696</c:v>
                </c:pt>
                <c:pt idx="36">
                  <c:v>0.27226456786751702</c:v>
                </c:pt>
                <c:pt idx="37">
                  <c:v>0.25967076786748899</c:v>
                </c:pt>
                <c:pt idx="38">
                  <c:v>0.25994158616041302</c:v>
                </c:pt>
                <c:pt idx="39">
                  <c:v>0.26325483861826598</c:v>
                </c:pt>
                <c:pt idx="40">
                  <c:v>0.26401589375136097</c:v>
                </c:pt>
                <c:pt idx="41">
                  <c:v>0.26532686893963098</c:v>
                </c:pt>
                <c:pt idx="42">
                  <c:v>0.26860504527187301</c:v>
                </c:pt>
                <c:pt idx="43">
                  <c:v>0.272829016490795</c:v>
                </c:pt>
                <c:pt idx="44">
                  <c:v>0.26922886065899199</c:v>
                </c:pt>
                <c:pt idx="45">
                  <c:v>0.26843417512157802</c:v>
                </c:pt>
                <c:pt idx="46">
                  <c:v>0.27043275597224398</c:v>
                </c:pt>
                <c:pt idx="48">
                  <c:v>0.231813996316759</c:v>
                </c:pt>
                <c:pt idx="49">
                  <c:v>0.24850339829859999</c:v>
                </c:pt>
                <c:pt idx="50">
                  <c:v>0.26304179993382598</c:v>
                </c:pt>
                <c:pt idx="51">
                  <c:v>0.26370628989144101</c:v>
                </c:pt>
                <c:pt idx="52">
                  <c:v>0.27039422655380602</c:v>
                </c:pt>
                <c:pt idx="53">
                  <c:v>0.29248316447248701</c:v>
                </c:pt>
                <c:pt idx="54">
                  <c:v>0.29567498720893498</c:v>
                </c:pt>
                <c:pt idx="55">
                  <c:v>0.28810538305771199</c:v>
                </c:pt>
                <c:pt idx="56">
                  <c:v>0.29068519799845599</c:v>
                </c:pt>
                <c:pt idx="57">
                  <c:v>0.27968362574934902</c:v>
                </c:pt>
                <c:pt idx="58">
                  <c:v>0.28990151265256098</c:v>
                </c:pt>
                <c:pt idx="59">
                  <c:v>0.29476184917915699</c:v>
                </c:pt>
                <c:pt idx="60">
                  <c:v>0.30554553844837401</c:v>
                </c:pt>
                <c:pt idx="61">
                  <c:v>0.316600081362721</c:v>
                </c:pt>
                <c:pt idx="62">
                  <c:v>0.334893165036451</c:v>
                </c:pt>
                <c:pt idx="64">
                  <c:v>0.27896746914001203</c:v>
                </c:pt>
                <c:pt idx="65">
                  <c:v>0.21688202183177199</c:v>
                </c:pt>
                <c:pt idx="66">
                  <c:v>0.22109659278862101</c:v>
                </c:pt>
                <c:pt idx="67">
                  <c:v>0.223254135566824</c:v>
                </c:pt>
                <c:pt idx="68">
                  <c:v>0.22315351194786401</c:v>
                </c:pt>
                <c:pt idx="69">
                  <c:v>0.22149290741348501</c:v>
                </c:pt>
                <c:pt idx="70">
                  <c:v>0.22285601180408099</c:v>
                </c:pt>
                <c:pt idx="71">
                  <c:v>0.22951408486838701</c:v>
                </c:pt>
                <c:pt idx="72">
                  <c:v>0.22214226973684201</c:v>
                </c:pt>
                <c:pt idx="73">
                  <c:v>0.226159714531808</c:v>
                </c:pt>
                <c:pt idx="74">
                  <c:v>0.22146184543951</c:v>
                </c:pt>
                <c:pt idx="75">
                  <c:v>0.22444201414026299</c:v>
                </c:pt>
                <c:pt idx="76">
                  <c:v>0.21592860125906799</c:v>
                </c:pt>
                <c:pt idx="77">
                  <c:v>0.232478175961009</c:v>
                </c:pt>
              </c:numCache>
            </c:numRef>
          </c:val>
          <c:extLst>
            <c:ext xmlns:c16="http://schemas.microsoft.com/office/drawing/2014/chart" uri="{C3380CC4-5D6E-409C-BE32-E72D297353CC}">
              <c16:uniqueId val="{00000001-0F63-4BFE-B5D2-5578ABBEBA9B}"/>
            </c:ext>
          </c:extLst>
        </c:ser>
        <c:ser>
          <c:idx val="2"/>
          <c:order val="2"/>
          <c:tx>
            <c:strRef>
              <c:f>'Ch4. Granted Patents'!$AE$142</c:f>
              <c:strCache>
                <c:ptCount val="1"/>
                <c:pt idx="0">
                  <c:v>6 to 10</c:v>
                </c:pt>
              </c:strCache>
            </c:strRef>
          </c:tx>
          <c:spPr>
            <a:solidFill>
              <a:srgbClr val="92D050"/>
            </a:solidFill>
          </c:spPr>
          <c:invertIfNegative val="0"/>
          <c:dLbls>
            <c:spPr>
              <a:noFill/>
              <a:ln>
                <a:noFill/>
              </a:ln>
              <a:effectLst/>
            </c:spPr>
            <c:txPr>
              <a:bodyPr rot="0" spcFirstLastPara="0"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Patents'!$AF$138:$DE$139</c:f>
              <c:multiLvlStrCache>
                <c:ptCount val="78"/>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lvl>
                <c:lvl>
                  <c:pt idx="0">
                    <c:v>EPO</c:v>
                  </c:pt>
                  <c:pt idx="16">
                    <c:v>JPO</c:v>
                  </c:pt>
                  <c:pt idx="32">
                    <c:v>MOIP</c:v>
                  </c:pt>
                  <c:pt idx="48">
                    <c:v>CNIPA</c:v>
                  </c:pt>
                  <c:pt idx="64">
                    <c:v>USPTO</c:v>
                  </c:pt>
                </c:lvl>
              </c:multiLvlStrCache>
            </c:multiLvlStrRef>
          </c:cat>
          <c:val>
            <c:numRef>
              <c:f>'Ch4. Granted Patents'!$AF$142:$DE$142</c:f>
              <c:numCache>
                <c:formatCode>0%</c:formatCode>
                <c:ptCount val="78"/>
                <c:pt idx="0">
                  <c:v>3.7676519352810002E-2</c:v>
                </c:pt>
                <c:pt idx="1">
                  <c:v>3.2794879609874997E-2</c:v>
                </c:pt>
                <c:pt idx="2">
                  <c:v>3.4187036929000603E-2</c:v>
                </c:pt>
                <c:pt idx="3">
                  <c:v>3.5589874593590302E-2</c:v>
                </c:pt>
                <c:pt idx="4">
                  <c:v>3.2502896871378903E-2</c:v>
                </c:pt>
                <c:pt idx="5">
                  <c:v>3.3633163863902998E-2</c:v>
                </c:pt>
                <c:pt idx="6">
                  <c:v>3.4602980911705702E-2</c:v>
                </c:pt>
                <c:pt idx="7">
                  <c:v>3.3758094840192203E-2</c:v>
                </c:pt>
                <c:pt idx="8">
                  <c:v>3.63205239188528E-2</c:v>
                </c:pt>
                <c:pt idx="9">
                  <c:v>3.54271893007043E-2</c:v>
                </c:pt>
                <c:pt idx="10">
                  <c:v>3.67290612504865E-2</c:v>
                </c:pt>
                <c:pt idx="11">
                  <c:v>3.3815261044176703E-2</c:v>
                </c:pt>
                <c:pt idx="12">
                  <c:v>3.2897404703974002E-2</c:v>
                </c:pt>
                <c:pt idx="13">
                  <c:v>3.2920325594450503E-2</c:v>
                </c:pt>
                <c:pt idx="14">
                  <c:v>3.5455183711678002E-2</c:v>
                </c:pt>
                <c:pt idx="16">
                  <c:v>4.3349984912998303E-2</c:v>
                </c:pt>
                <c:pt idx="17">
                  <c:v>4.5063538611925698E-2</c:v>
                </c:pt>
                <c:pt idx="18">
                  <c:v>4.3480903041536297E-2</c:v>
                </c:pt>
                <c:pt idx="19">
                  <c:v>4.4917833231892898E-2</c:v>
                </c:pt>
                <c:pt idx="20">
                  <c:v>4.2687080346427098E-2</c:v>
                </c:pt>
                <c:pt idx="21">
                  <c:v>4.33121937157682E-2</c:v>
                </c:pt>
                <c:pt idx="22">
                  <c:v>4.1777933942375299E-2</c:v>
                </c:pt>
                <c:pt idx="23">
                  <c:v>4.1707556427870503E-2</c:v>
                </c:pt>
                <c:pt idx="24">
                  <c:v>4.2902767920511002E-2</c:v>
                </c:pt>
                <c:pt idx="25">
                  <c:v>4.3447166100482701E-2</c:v>
                </c:pt>
                <c:pt idx="26">
                  <c:v>4.2902767920511002E-2</c:v>
                </c:pt>
                <c:pt idx="27">
                  <c:v>4.41959904668442E-2</c:v>
                </c:pt>
                <c:pt idx="28">
                  <c:v>4.7981214075424099E-2</c:v>
                </c:pt>
                <c:pt idx="29">
                  <c:v>4.4544740973312402E-2</c:v>
                </c:pt>
                <c:pt idx="30">
                  <c:v>4.4570930919722598E-2</c:v>
                </c:pt>
                <c:pt idx="32">
                  <c:v>3.0507289794288E-2</c:v>
                </c:pt>
                <c:pt idx="33">
                  <c:v>3.5085623257666301E-2</c:v>
                </c:pt>
                <c:pt idx="34">
                  <c:v>3.1713878778287699E-2</c:v>
                </c:pt>
                <c:pt idx="35">
                  <c:v>3.1864423359092203E-2</c:v>
                </c:pt>
                <c:pt idx="36">
                  <c:v>2.9719194577550501E-2</c:v>
                </c:pt>
                <c:pt idx="37">
                  <c:v>2.7674585051634198E-2</c:v>
                </c:pt>
                <c:pt idx="38">
                  <c:v>2.6799756074076499E-2</c:v>
                </c:pt>
                <c:pt idx="39">
                  <c:v>2.72889568987503E-2</c:v>
                </c:pt>
                <c:pt idx="40">
                  <c:v>2.59906379272806E-2</c:v>
                </c:pt>
                <c:pt idx="41">
                  <c:v>2.56751120842456E-2</c:v>
                </c:pt>
                <c:pt idx="42">
                  <c:v>2.5734760083280898E-2</c:v>
                </c:pt>
                <c:pt idx="43">
                  <c:v>2.7911013658581198E-2</c:v>
                </c:pt>
                <c:pt idx="44">
                  <c:v>2.8012107979356899E-2</c:v>
                </c:pt>
                <c:pt idx="45">
                  <c:v>2.8808412945271401E-2</c:v>
                </c:pt>
                <c:pt idx="46">
                  <c:v>2.9079930081042399E-2</c:v>
                </c:pt>
                <c:pt idx="48">
                  <c:v>3.3005294659300202E-2</c:v>
                </c:pt>
                <c:pt idx="49">
                  <c:v>3.4770671107710302E-2</c:v>
                </c:pt>
                <c:pt idx="50">
                  <c:v>3.7020697768464401E-2</c:v>
                </c:pt>
                <c:pt idx="51">
                  <c:v>3.76775225937847E-2</c:v>
                </c:pt>
                <c:pt idx="52">
                  <c:v>4.0080261693589199E-2</c:v>
                </c:pt>
                <c:pt idx="53">
                  <c:v>4.6629861068980198E-2</c:v>
                </c:pt>
                <c:pt idx="54">
                  <c:v>4.7702507048693103E-2</c:v>
                </c:pt>
                <c:pt idx="55">
                  <c:v>4.5361542355720597E-2</c:v>
                </c:pt>
                <c:pt idx="56">
                  <c:v>4.6839746096687798E-2</c:v>
                </c:pt>
                <c:pt idx="57">
                  <c:v>4.4777837063076101E-2</c:v>
                </c:pt>
                <c:pt idx="58">
                  <c:v>5.0289807266387099E-2</c:v>
                </c:pt>
                <c:pt idx="59">
                  <c:v>4.7273126755147901E-2</c:v>
                </c:pt>
                <c:pt idx="60">
                  <c:v>4.5309243379031701E-2</c:v>
                </c:pt>
                <c:pt idx="61">
                  <c:v>5.15766635025608E-2</c:v>
                </c:pt>
                <c:pt idx="62">
                  <c:v>5.4652407785792598E-2</c:v>
                </c:pt>
                <c:pt idx="64">
                  <c:v>5.0126167905612799E-2</c:v>
                </c:pt>
                <c:pt idx="65">
                  <c:v>3.6211572206649799E-2</c:v>
                </c:pt>
                <c:pt idx="66">
                  <c:v>3.6635792259344997E-2</c:v>
                </c:pt>
                <c:pt idx="67">
                  <c:v>3.6674073652023603E-2</c:v>
                </c:pt>
                <c:pt idx="68">
                  <c:v>3.6133236784938502E-2</c:v>
                </c:pt>
                <c:pt idx="69">
                  <c:v>3.8963643656784501E-2</c:v>
                </c:pt>
                <c:pt idx="70">
                  <c:v>3.7715478461150899E-2</c:v>
                </c:pt>
                <c:pt idx="71">
                  <c:v>3.8637179947662803E-2</c:v>
                </c:pt>
                <c:pt idx="72">
                  <c:v>3.7212171052631603E-2</c:v>
                </c:pt>
                <c:pt idx="73">
                  <c:v>3.7729174357081299E-2</c:v>
                </c:pt>
                <c:pt idx="74">
                  <c:v>3.8511145167898303E-2</c:v>
                </c:pt>
                <c:pt idx="75">
                  <c:v>3.5781950370450198E-2</c:v>
                </c:pt>
                <c:pt idx="76">
                  <c:v>3.6194335741133198E-2</c:v>
                </c:pt>
                <c:pt idx="77">
                  <c:v>4.0693695648545303E-2</c:v>
                </c:pt>
              </c:numCache>
            </c:numRef>
          </c:val>
          <c:extLst>
            <c:ext xmlns:c16="http://schemas.microsoft.com/office/drawing/2014/chart" uri="{C3380CC4-5D6E-409C-BE32-E72D297353CC}">
              <c16:uniqueId val="{00000002-0F63-4BFE-B5D2-5578ABBEBA9B}"/>
            </c:ext>
          </c:extLst>
        </c:ser>
        <c:ser>
          <c:idx val="3"/>
          <c:order val="3"/>
          <c:tx>
            <c:strRef>
              <c:f>'Ch4. Granted Patents'!$AE$143</c:f>
              <c:strCache>
                <c:ptCount val="1"/>
                <c:pt idx="0">
                  <c:v>11 to 50</c:v>
                </c:pt>
              </c:strCache>
            </c:strRef>
          </c:tx>
          <c:spPr>
            <a:solidFill>
              <a:srgbClr val="9966FF"/>
            </a:solidFill>
          </c:spPr>
          <c:invertIfNegative val="0"/>
          <c:dLbls>
            <c:spPr>
              <a:noFill/>
              <a:ln>
                <a:noFill/>
              </a:ln>
              <a:effectLst/>
            </c:spPr>
            <c:txPr>
              <a:bodyPr rot="0" spcFirstLastPara="0" vertOverflow="ellipsis" vert="horz" wrap="square" lIns="38100" tIns="19050" rIns="38100" bIns="19050" anchor="ctr" anchorCtr="1">
                <a:spAutoFit/>
              </a:bodyPr>
              <a:lstStyle/>
              <a:p>
                <a:pPr>
                  <a:defRPr lang="zh-CN" sz="10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Patents'!$AF$138:$DE$139</c:f>
              <c:multiLvlStrCache>
                <c:ptCount val="78"/>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lvl>
                <c:lvl>
                  <c:pt idx="0">
                    <c:v>EPO</c:v>
                  </c:pt>
                  <c:pt idx="16">
                    <c:v>JPO</c:v>
                  </c:pt>
                  <c:pt idx="32">
                    <c:v>MOIP</c:v>
                  </c:pt>
                  <c:pt idx="48">
                    <c:v>CNIPA</c:v>
                  </c:pt>
                  <c:pt idx="64">
                    <c:v>USPTO</c:v>
                  </c:pt>
                </c:lvl>
              </c:multiLvlStrCache>
            </c:multiLvlStrRef>
          </c:cat>
          <c:val>
            <c:numRef>
              <c:f>'Ch4. Granted Patents'!$AF$143:$DE$143</c:f>
              <c:numCache>
                <c:formatCode>0%</c:formatCode>
                <c:ptCount val="78"/>
                <c:pt idx="0">
                  <c:v>3.5389628952032501E-2</c:v>
                </c:pt>
                <c:pt idx="1">
                  <c:v>3.1149039926851599E-2</c:v>
                </c:pt>
                <c:pt idx="2">
                  <c:v>3.1153374948952799E-2</c:v>
                </c:pt>
                <c:pt idx="3">
                  <c:v>3.15838365071993E-2</c:v>
                </c:pt>
                <c:pt idx="4">
                  <c:v>3.2097334878331399E-2</c:v>
                </c:pt>
                <c:pt idx="5">
                  <c:v>3.1677747360187698E-2</c:v>
                </c:pt>
                <c:pt idx="6">
                  <c:v>3.2249629565065802E-2</c:v>
                </c:pt>
                <c:pt idx="7">
                  <c:v>3.2421140589095503E-2</c:v>
                </c:pt>
                <c:pt idx="8">
                  <c:v>3.3460047423689299E-2</c:v>
                </c:pt>
                <c:pt idx="9">
                  <c:v>3.4146688482606498E-2</c:v>
                </c:pt>
                <c:pt idx="10">
                  <c:v>3.2978309330880001E-2</c:v>
                </c:pt>
                <c:pt idx="11">
                  <c:v>3.2730923694779097E-2</c:v>
                </c:pt>
                <c:pt idx="12">
                  <c:v>3.2491889699918897E-2</c:v>
                </c:pt>
                <c:pt idx="13">
                  <c:v>3.2639640723364997E-2</c:v>
                </c:pt>
                <c:pt idx="14">
                  <c:v>3.2295810905686902E-2</c:v>
                </c:pt>
                <c:pt idx="16">
                  <c:v>5.0591745733731201E-2</c:v>
                </c:pt>
                <c:pt idx="17">
                  <c:v>5.0439882697947198E-2</c:v>
                </c:pt>
                <c:pt idx="18">
                  <c:v>5.0955607547628401E-2</c:v>
                </c:pt>
                <c:pt idx="19">
                  <c:v>5.1034692635422998E-2</c:v>
                </c:pt>
                <c:pt idx="20">
                  <c:v>4.8752797690486203E-2</c:v>
                </c:pt>
                <c:pt idx="21">
                  <c:v>4.8717209570481403E-2</c:v>
                </c:pt>
                <c:pt idx="22">
                  <c:v>4.9754040758959901E-2</c:v>
                </c:pt>
                <c:pt idx="23">
                  <c:v>4.8997616711061301E-2</c:v>
                </c:pt>
                <c:pt idx="24">
                  <c:v>4.8403122782114998E-2</c:v>
                </c:pt>
                <c:pt idx="25">
                  <c:v>4.5199356338279997E-2</c:v>
                </c:pt>
                <c:pt idx="26">
                  <c:v>4.8403122782114998E-2</c:v>
                </c:pt>
                <c:pt idx="27">
                  <c:v>4.5983457170895803E-2</c:v>
                </c:pt>
                <c:pt idx="28">
                  <c:v>5.1345857283050599E-2</c:v>
                </c:pt>
                <c:pt idx="29">
                  <c:v>4.4773678702250103E-2</c:v>
                </c:pt>
                <c:pt idx="30">
                  <c:v>4.6281608659139703E-2</c:v>
                </c:pt>
                <c:pt idx="32">
                  <c:v>2.3017775114839201E-2</c:v>
                </c:pt>
                <c:pt idx="33">
                  <c:v>2.3576264436479501E-2</c:v>
                </c:pt>
                <c:pt idx="34">
                  <c:v>2.2313657224244301E-2</c:v>
                </c:pt>
                <c:pt idx="35">
                  <c:v>2.0028367406827698E-2</c:v>
                </c:pt>
                <c:pt idx="36">
                  <c:v>2.1103855798594699E-2</c:v>
                </c:pt>
                <c:pt idx="37">
                  <c:v>2.04492007770696E-2</c:v>
                </c:pt>
                <c:pt idx="38">
                  <c:v>2.0573225920338899E-2</c:v>
                </c:pt>
                <c:pt idx="39">
                  <c:v>1.9241123296211301E-2</c:v>
                </c:pt>
                <c:pt idx="40">
                  <c:v>1.88874374047464E-2</c:v>
                </c:pt>
                <c:pt idx="41">
                  <c:v>1.8845792930872698E-2</c:v>
                </c:pt>
                <c:pt idx="42">
                  <c:v>1.7890863312835899E-2</c:v>
                </c:pt>
                <c:pt idx="43">
                  <c:v>1.8477913297702299E-2</c:v>
                </c:pt>
                <c:pt idx="44">
                  <c:v>1.8633386264390601E-2</c:v>
                </c:pt>
                <c:pt idx="45">
                  <c:v>1.8637833567849101E-2</c:v>
                </c:pt>
                <c:pt idx="46">
                  <c:v>2.0207638116425699E-2</c:v>
                </c:pt>
                <c:pt idx="48">
                  <c:v>3.0616942909760601E-2</c:v>
                </c:pt>
                <c:pt idx="49">
                  <c:v>3.0359634514110799E-2</c:v>
                </c:pt>
                <c:pt idx="50">
                  <c:v>3.2572331899562497E-2</c:v>
                </c:pt>
                <c:pt idx="51">
                  <c:v>3.2531413088938602E-2</c:v>
                </c:pt>
                <c:pt idx="52">
                  <c:v>3.35379219640509E-2</c:v>
                </c:pt>
                <c:pt idx="53">
                  <c:v>3.68864891099921E-2</c:v>
                </c:pt>
                <c:pt idx="54">
                  <c:v>3.8242562131916701E-2</c:v>
                </c:pt>
                <c:pt idx="55">
                  <c:v>3.4973000337495799E-2</c:v>
                </c:pt>
                <c:pt idx="56">
                  <c:v>3.4555719342578901E-2</c:v>
                </c:pt>
                <c:pt idx="57">
                  <c:v>3.48806796187607E-2</c:v>
                </c:pt>
                <c:pt idx="58">
                  <c:v>3.77927524621837E-2</c:v>
                </c:pt>
                <c:pt idx="59">
                  <c:v>3.5580151466256503E-2</c:v>
                </c:pt>
                <c:pt idx="60">
                  <c:v>3.66055657084879E-2</c:v>
                </c:pt>
                <c:pt idx="61">
                  <c:v>4.0399720446034598E-2</c:v>
                </c:pt>
                <c:pt idx="62">
                  <c:v>3.9679729723965197E-2</c:v>
                </c:pt>
                <c:pt idx="64">
                  <c:v>5.2069835640728403E-2</c:v>
                </c:pt>
                <c:pt idx="65">
                  <c:v>3.60976276748479E-2</c:v>
                </c:pt>
                <c:pt idx="66">
                  <c:v>3.5643400595434999E-2</c:v>
                </c:pt>
                <c:pt idx="67">
                  <c:v>3.5420583822384298E-2</c:v>
                </c:pt>
                <c:pt idx="68">
                  <c:v>3.6784938450398298E-2</c:v>
                </c:pt>
                <c:pt idx="69">
                  <c:v>3.6629836268825398E-2</c:v>
                </c:pt>
                <c:pt idx="70">
                  <c:v>3.7121675603699597E-2</c:v>
                </c:pt>
                <c:pt idx="71">
                  <c:v>3.7046539073323399E-2</c:v>
                </c:pt>
                <c:pt idx="72">
                  <c:v>3.6766721491228102E-2</c:v>
                </c:pt>
                <c:pt idx="73">
                  <c:v>3.7006275378368397E-2</c:v>
                </c:pt>
                <c:pt idx="74">
                  <c:v>3.6386810919078E-2</c:v>
                </c:pt>
                <c:pt idx="75">
                  <c:v>3.5227430261394597E-2</c:v>
                </c:pt>
                <c:pt idx="76">
                  <c:v>3.52044051909483E-2</c:v>
                </c:pt>
                <c:pt idx="77">
                  <c:v>3.849042746741E-2</c:v>
                </c:pt>
              </c:numCache>
            </c:numRef>
          </c:val>
          <c:extLst>
            <c:ext xmlns:c16="http://schemas.microsoft.com/office/drawing/2014/chart" uri="{C3380CC4-5D6E-409C-BE32-E72D297353CC}">
              <c16:uniqueId val="{00000003-0F63-4BFE-B5D2-5578ABBEBA9B}"/>
            </c:ext>
          </c:extLst>
        </c:ser>
        <c:ser>
          <c:idx val="4"/>
          <c:order val="4"/>
          <c:tx>
            <c:strRef>
              <c:f>'Ch4. Granted Patents'!$AE$144</c:f>
              <c:strCache>
                <c:ptCount val="1"/>
                <c:pt idx="0">
                  <c:v>51 and more</c:v>
                </c:pt>
              </c:strCache>
            </c:strRef>
          </c:tx>
          <c:spPr>
            <a:solidFill>
              <a:schemeClr val="accent2"/>
            </a:solidFill>
          </c:spPr>
          <c:invertIfNegative val="0"/>
          <c:dLbls>
            <c:spPr>
              <a:noFill/>
              <a:ln>
                <a:noFill/>
              </a:ln>
              <a:effectLst/>
            </c:spPr>
            <c:txPr>
              <a:bodyPr rot="0" spcFirstLastPara="0"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multiLvlStrRef>
              <c:f>'Ch4. Granted Patents'!$AF$138:$DE$139</c:f>
              <c:multiLvlStrCache>
                <c:ptCount val="78"/>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lvl>
                <c:lvl>
                  <c:pt idx="0">
                    <c:v>EPO</c:v>
                  </c:pt>
                  <c:pt idx="16">
                    <c:v>JPO</c:v>
                  </c:pt>
                  <c:pt idx="32">
                    <c:v>MOIP</c:v>
                  </c:pt>
                  <c:pt idx="48">
                    <c:v>CNIPA</c:v>
                  </c:pt>
                  <c:pt idx="64">
                    <c:v>USPTO</c:v>
                  </c:pt>
                </c:lvl>
              </c:multiLvlStrCache>
            </c:multiLvlStrRef>
          </c:cat>
          <c:val>
            <c:numRef>
              <c:f>'Ch4. Granted Patents'!$AF$144:$DE$144</c:f>
              <c:numCache>
                <c:formatCode>0%</c:formatCode>
                <c:ptCount val="78"/>
                <c:pt idx="0">
                  <c:v>7.60391058258533E-3</c:v>
                </c:pt>
                <c:pt idx="1">
                  <c:v>1.02407802499238E-2</c:v>
                </c:pt>
                <c:pt idx="2">
                  <c:v>9.7427221282305604E-3</c:v>
                </c:pt>
                <c:pt idx="3">
                  <c:v>1.0624709707385001E-2</c:v>
                </c:pt>
                <c:pt idx="4">
                  <c:v>1.0544611819235199E-2</c:v>
                </c:pt>
                <c:pt idx="5">
                  <c:v>1.0224034862282801E-2</c:v>
                </c:pt>
                <c:pt idx="6">
                  <c:v>1.1069467445306401E-2</c:v>
                </c:pt>
                <c:pt idx="7">
                  <c:v>1.12805514936286E-2</c:v>
                </c:pt>
                <c:pt idx="8">
                  <c:v>1.2194662953065601E-2</c:v>
                </c:pt>
                <c:pt idx="9">
                  <c:v>1.1737924165896E-2</c:v>
                </c:pt>
                <c:pt idx="10">
                  <c:v>1.1641484731608901E-2</c:v>
                </c:pt>
                <c:pt idx="11">
                  <c:v>1.08835341365462E-2</c:v>
                </c:pt>
                <c:pt idx="12">
                  <c:v>1.0847526358475299E-2</c:v>
                </c:pt>
                <c:pt idx="13">
                  <c:v>1.04254380688881E-2</c:v>
                </c:pt>
                <c:pt idx="14">
                  <c:v>1.0687261096809401E-2</c:v>
                </c:pt>
                <c:pt idx="16">
                  <c:v>2.0350688973078099E-2</c:v>
                </c:pt>
                <c:pt idx="17">
                  <c:v>2.0821114369501501E-2</c:v>
                </c:pt>
                <c:pt idx="18">
                  <c:v>2.1877183920269799E-2</c:v>
                </c:pt>
                <c:pt idx="19">
                  <c:v>2.1545952525867301E-2</c:v>
                </c:pt>
                <c:pt idx="20">
                  <c:v>2.00460605274255E-2</c:v>
                </c:pt>
                <c:pt idx="21">
                  <c:v>1.8809455174401801E-2</c:v>
                </c:pt>
                <c:pt idx="22">
                  <c:v>1.9149683766690101E-2</c:v>
                </c:pt>
                <c:pt idx="23">
                  <c:v>1.9171456610122001E-2</c:v>
                </c:pt>
                <c:pt idx="24">
                  <c:v>1.9056068133428E-2</c:v>
                </c:pt>
                <c:pt idx="25">
                  <c:v>1.8165564097979599E-2</c:v>
                </c:pt>
                <c:pt idx="26">
                  <c:v>1.9056068133428E-2</c:v>
                </c:pt>
                <c:pt idx="27">
                  <c:v>1.80849572409926E-2</c:v>
                </c:pt>
                <c:pt idx="28">
                  <c:v>1.9627085377821402E-2</c:v>
                </c:pt>
                <c:pt idx="29">
                  <c:v>1.7072213500784899E-2</c:v>
                </c:pt>
                <c:pt idx="30">
                  <c:v>1.7200087089048601E-2</c:v>
                </c:pt>
                <c:pt idx="32">
                  <c:v>6.7405632115038897E-3</c:v>
                </c:pt>
                <c:pt idx="33">
                  <c:v>7.7658303464755102E-3</c:v>
                </c:pt>
                <c:pt idx="34">
                  <c:v>7.4378857414147802E-3</c:v>
                </c:pt>
                <c:pt idx="35">
                  <c:v>6.8228504352929702E-3</c:v>
                </c:pt>
                <c:pt idx="36">
                  <c:v>6.9270303150681502E-3</c:v>
                </c:pt>
                <c:pt idx="37">
                  <c:v>7.6343682901059903E-3</c:v>
                </c:pt>
                <c:pt idx="38">
                  <c:v>7.1893956414288904E-3</c:v>
                </c:pt>
                <c:pt idx="39">
                  <c:v>7.0843605656153502E-3</c:v>
                </c:pt>
                <c:pt idx="40">
                  <c:v>6.3956020030481201E-3</c:v>
                </c:pt>
                <c:pt idx="41">
                  <c:v>6.22979876967991E-3</c:v>
                </c:pt>
                <c:pt idx="42">
                  <c:v>6.1976468309688703E-3</c:v>
                </c:pt>
                <c:pt idx="43">
                  <c:v>6.3724818418528202E-3</c:v>
                </c:pt>
                <c:pt idx="44">
                  <c:v>6.4757840412862202E-3</c:v>
                </c:pt>
                <c:pt idx="45">
                  <c:v>6.5170702806783701E-3</c:v>
                </c:pt>
                <c:pt idx="46">
                  <c:v>6.6211134064304298E-3</c:v>
                </c:pt>
                <c:pt idx="48">
                  <c:v>8.3736187845303896E-3</c:v>
                </c:pt>
                <c:pt idx="49">
                  <c:v>9.2721789620560796E-3</c:v>
                </c:pt>
                <c:pt idx="50">
                  <c:v>9.3195103121208808E-3</c:v>
                </c:pt>
                <c:pt idx="51">
                  <c:v>8.67383121488189E-3</c:v>
                </c:pt>
                <c:pt idx="52">
                  <c:v>8.9872862779482691E-3</c:v>
                </c:pt>
                <c:pt idx="53">
                  <c:v>9.5006976885275707E-3</c:v>
                </c:pt>
                <c:pt idx="54">
                  <c:v>9.6994371931505199E-3</c:v>
                </c:pt>
                <c:pt idx="55">
                  <c:v>1.00615929800877E-2</c:v>
                </c:pt>
                <c:pt idx="56">
                  <c:v>9.4361381025440498E-3</c:v>
                </c:pt>
                <c:pt idx="57">
                  <c:v>1.0943368590649E-2</c:v>
                </c:pt>
                <c:pt idx="58">
                  <c:v>1.1092785448376601E-2</c:v>
                </c:pt>
                <c:pt idx="59">
                  <c:v>9.9970475752353405E-3</c:v>
                </c:pt>
                <c:pt idx="60">
                  <c:v>1.0341729366966399E-2</c:v>
                </c:pt>
                <c:pt idx="61">
                  <c:v>1.0019088946144099E-2</c:v>
                </c:pt>
                <c:pt idx="62">
                  <c:v>8.1773857106903197E-3</c:v>
                </c:pt>
                <c:pt idx="64">
                  <c:v>1.69815181067994E-2</c:v>
                </c:pt>
                <c:pt idx="65">
                  <c:v>1.1508397711993801E-2</c:v>
                </c:pt>
                <c:pt idx="66">
                  <c:v>1.20740985775719E-2</c:v>
                </c:pt>
                <c:pt idx="67">
                  <c:v>1.20410992725961E-2</c:v>
                </c:pt>
                <c:pt idx="68">
                  <c:v>1.24909485879797E-2</c:v>
                </c:pt>
                <c:pt idx="69">
                  <c:v>1.2544214710279699E-2</c:v>
                </c:pt>
                <c:pt idx="70">
                  <c:v>1.2433871954511099E-2</c:v>
                </c:pt>
                <c:pt idx="71">
                  <c:v>1.2827748986607801E-2</c:v>
                </c:pt>
                <c:pt idx="72">
                  <c:v>1.2232730263157901E-2</c:v>
                </c:pt>
                <c:pt idx="73">
                  <c:v>1.2612280054140499E-2</c:v>
                </c:pt>
                <c:pt idx="74">
                  <c:v>1.2032836137960299E-2</c:v>
                </c:pt>
                <c:pt idx="75">
                  <c:v>1.1383065572002899E-2</c:v>
                </c:pt>
                <c:pt idx="76">
                  <c:v>1.13377983325857E-2</c:v>
                </c:pt>
                <c:pt idx="77">
                  <c:v>1.2385037806079E-2</c:v>
                </c:pt>
              </c:numCache>
            </c:numRef>
          </c:val>
          <c:extLst>
            <c:ext xmlns:c16="http://schemas.microsoft.com/office/drawing/2014/chart" uri="{C3380CC4-5D6E-409C-BE32-E72D297353CC}">
              <c16:uniqueId val="{00000004-0F63-4BFE-B5D2-5578ABBEBA9B}"/>
            </c:ext>
          </c:extLst>
        </c:ser>
        <c:ser>
          <c:idx val="5"/>
          <c:order val="5"/>
          <c:spPr>
            <a:noFill/>
            <a:ln>
              <a:noFill/>
            </a:ln>
          </c:spPr>
          <c:invertIfNegative val="0"/>
          <c:dLbls>
            <c:spPr>
              <a:noFill/>
              <a:ln>
                <a:noFill/>
              </a:ln>
              <a:effectLst/>
            </c:spPr>
            <c:txPr>
              <a:bodyPr rot="0" spcFirstLastPara="0" vertOverflow="ellipsis" vert="horz" wrap="square" lIns="38100" tIns="19050" rIns="38100" bIns="19050" anchor="ctr" anchorCtr="1">
                <a:spAutoFit/>
              </a:bodyPr>
              <a:lstStyle/>
              <a:p>
                <a:pPr>
                  <a:defRPr lang="zh-CN" sz="800" b="0" i="0" u="none" strike="noStrike" kern="1200" baseline="0">
                    <a:solidFill>
                      <a:schemeClr val="tx1"/>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'Ch4. Granted Patents'!$AF$138:$DE$139</c:f>
              <c:multiLvlStrCache>
                <c:ptCount val="78"/>
                <c:lvl>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6">
                    <c:v>2010</c:v>
                  </c:pt>
                  <c:pt idx="17">
                    <c:v>2011</c:v>
                  </c:pt>
                  <c:pt idx="18">
                    <c:v>2012</c:v>
                  </c:pt>
                  <c:pt idx="19">
                    <c:v>2013</c:v>
                  </c:pt>
                  <c:pt idx="20">
                    <c:v>2014</c:v>
                  </c:pt>
                  <c:pt idx="21">
                    <c:v>2015</c:v>
                  </c:pt>
                  <c:pt idx="22">
                    <c:v>2016</c:v>
                  </c:pt>
                  <c:pt idx="23">
                    <c:v>2017</c:v>
                  </c:pt>
                  <c:pt idx="24">
                    <c:v>2018</c:v>
                  </c:pt>
                  <c:pt idx="25">
                    <c:v>2019</c:v>
                  </c:pt>
                  <c:pt idx="26">
                    <c:v>2020</c:v>
                  </c:pt>
                  <c:pt idx="27">
                    <c:v>2021</c:v>
                  </c:pt>
                  <c:pt idx="28">
                    <c:v>2022</c:v>
                  </c:pt>
                  <c:pt idx="29">
                    <c:v>2023</c:v>
                  </c:pt>
                  <c:pt idx="30">
                    <c:v>2024</c:v>
                  </c:pt>
                  <c:pt idx="32">
                    <c:v>2010</c:v>
                  </c:pt>
                  <c:pt idx="33">
                    <c:v>2011</c:v>
                  </c:pt>
                  <c:pt idx="34">
                    <c:v>2012</c:v>
                  </c:pt>
                  <c:pt idx="35">
                    <c:v>2013</c:v>
                  </c:pt>
                  <c:pt idx="36">
                    <c:v>2014</c:v>
                  </c:pt>
                  <c:pt idx="37">
                    <c:v>2015</c:v>
                  </c:pt>
                  <c:pt idx="38">
                    <c:v>2016</c:v>
                  </c:pt>
                  <c:pt idx="39">
                    <c:v>2017</c:v>
                  </c:pt>
                  <c:pt idx="40">
                    <c:v>2018</c:v>
                  </c:pt>
                  <c:pt idx="41">
                    <c:v>2019</c:v>
                  </c:pt>
                  <c:pt idx="42">
                    <c:v>2020</c:v>
                  </c:pt>
                  <c:pt idx="43">
                    <c:v>2021</c:v>
                  </c:pt>
                  <c:pt idx="44">
                    <c:v>2022</c:v>
                  </c:pt>
                  <c:pt idx="45">
                    <c:v>2023</c:v>
                  </c:pt>
                  <c:pt idx="46">
                    <c:v>2024</c:v>
                  </c:pt>
                  <c:pt idx="48">
                    <c:v>2010</c:v>
                  </c:pt>
                  <c:pt idx="49">
                    <c:v>2011</c:v>
                  </c:pt>
                  <c:pt idx="50">
                    <c:v>2012</c:v>
                  </c:pt>
                  <c:pt idx="51">
                    <c:v>2013</c:v>
                  </c:pt>
                  <c:pt idx="52">
                    <c:v>2014</c:v>
                  </c:pt>
                  <c:pt idx="53">
                    <c:v>2015</c:v>
                  </c:pt>
                  <c:pt idx="54">
                    <c:v>2016</c:v>
                  </c:pt>
                  <c:pt idx="55">
                    <c:v>2017</c:v>
                  </c:pt>
                  <c:pt idx="56">
                    <c:v>2018</c:v>
                  </c:pt>
                  <c:pt idx="57">
                    <c:v>2019</c:v>
                  </c:pt>
                  <c:pt idx="58">
                    <c:v>2020</c:v>
                  </c:pt>
                  <c:pt idx="59">
                    <c:v>2021</c:v>
                  </c:pt>
                  <c:pt idx="60">
                    <c:v>2022</c:v>
                  </c:pt>
                  <c:pt idx="61">
                    <c:v>2023</c:v>
                  </c:pt>
                  <c:pt idx="62">
                    <c:v>2024</c:v>
                  </c:pt>
                  <c:pt idx="64">
                    <c:v>2010</c:v>
                  </c:pt>
                  <c:pt idx="65">
                    <c:v>2011</c:v>
                  </c:pt>
                  <c:pt idx="66">
                    <c:v>2012</c:v>
                  </c:pt>
                  <c:pt idx="67">
                    <c:v>2013</c:v>
                  </c:pt>
                  <c:pt idx="68">
                    <c:v>2014</c:v>
                  </c:pt>
                  <c:pt idx="69">
                    <c:v>2015</c:v>
                  </c:pt>
                  <c:pt idx="70">
                    <c:v>2016</c:v>
                  </c:pt>
                  <c:pt idx="71">
                    <c:v>2017</c:v>
                  </c:pt>
                  <c:pt idx="72">
                    <c:v>2018</c:v>
                  </c:pt>
                  <c:pt idx="73">
                    <c:v>2019</c:v>
                  </c:pt>
                  <c:pt idx="74">
                    <c:v>2020</c:v>
                  </c:pt>
                  <c:pt idx="75">
                    <c:v>2021</c:v>
                  </c:pt>
                  <c:pt idx="76">
                    <c:v>2022</c:v>
                  </c:pt>
                  <c:pt idx="77">
                    <c:v>2023</c:v>
                  </c:pt>
                </c:lvl>
                <c:lvl>
                  <c:pt idx="0">
                    <c:v>EPO</c:v>
                  </c:pt>
                  <c:pt idx="16">
                    <c:v>JPO</c:v>
                  </c:pt>
                  <c:pt idx="32">
                    <c:v>MOIP</c:v>
                  </c:pt>
                  <c:pt idx="48">
                    <c:v>CNIPA</c:v>
                  </c:pt>
                  <c:pt idx="64">
                    <c:v>USPTO</c:v>
                  </c:pt>
                </c:lvl>
              </c:multiLvlStrCache>
            </c:multiLvlStrRef>
          </c:cat>
          <c:val>
            <c:numRef>
              <c:f>'Ch4. Granted Patents'!$AF$145:$DE$145</c:f>
              <c:numCache>
                <c:formatCode>#,##0</c:formatCode>
                <c:ptCount val="78"/>
                <c:pt idx="0">
                  <c:v>17491</c:v>
                </c:pt>
                <c:pt idx="1">
                  <c:v>16405</c:v>
                </c:pt>
                <c:pt idx="2">
                  <c:v>17141</c:v>
                </c:pt>
                <c:pt idx="3">
                  <c:v>17224</c:v>
                </c:pt>
                <c:pt idx="4">
                  <c:v>17260</c:v>
                </c:pt>
                <c:pt idx="5">
                  <c:v>17899</c:v>
                </c:pt>
                <c:pt idx="6">
                  <c:v>22946</c:v>
                </c:pt>
                <c:pt idx="7">
                  <c:v>23935</c:v>
                </c:pt>
                <c:pt idx="8">
                  <c:v>26569</c:v>
                </c:pt>
                <c:pt idx="9">
                  <c:v>28114</c:v>
                </c:pt>
                <c:pt idx="10">
                  <c:v>28261</c:v>
                </c:pt>
                <c:pt idx="11">
                  <c:v>24900</c:v>
                </c:pt>
                <c:pt idx="12">
                  <c:v>19728</c:v>
                </c:pt>
                <c:pt idx="13">
                  <c:v>24939</c:v>
                </c:pt>
                <c:pt idx="14">
                  <c:v>25638</c:v>
                </c:pt>
                <c:pt idx="16">
                  <c:v>29827</c:v>
                </c:pt>
                <c:pt idx="17">
                  <c:v>30690</c:v>
                </c:pt>
                <c:pt idx="18">
                  <c:v>32911</c:v>
                </c:pt>
                <c:pt idx="19">
                  <c:v>32860</c:v>
                </c:pt>
                <c:pt idx="20">
                  <c:v>30829</c:v>
                </c:pt>
                <c:pt idx="21">
                  <c:v>27752</c:v>
                </c:pt>
                <c:pt idx="22">
                  <c:v>28460</c:v>
                </c:pt>
                <c:pt idx="23">
                  <c:v>28532</c:v>
                </c:pt>
                <c:pt idx="24">
                  <c:v>28180</c:v>
                </c:pt>
                <c:pt idx="25">
                  <c:v>27965</c:v>
                </c:pt>
                <c:pt idx="26">
                  <c:v>28180</c:v>
                </c:pt>
                <c:pt idx="27">
                  <c:v>28532</c:v>
                </c:pt>
                <c:pt idx="28">
                  <c:v>28532</c:v>
                </c:pt>
                <c:pt idx="29">
                  <c:v>30576</c:v>
                </c:pt>
                <c:pt idx="30">
                  <c:v>32151</c:v>
                </c:pt>
                <c:pt idx="32">
                  <c:v>20028</c:v>
                </c:pt>
                <c:pt idx="33">
                  <c:v>25110</c:v>
                </c:pt>
                <c:pt idx="34">
                  <c:v>31595</c:v>
                </c:pt>
                <c:pt idx="35">
                  <c:v>40892</c:v>
                </c:pt>
                <c:pt idx="36">
                  <c:v>40277</c:v>
                </c:pt>
                <c:pt idx="37">
                  <c:v>29341</c:v>
                </c:pt>
                <c:pt idx="38">
                  <c:v>31157</c:v>
                </c:pt>
                <c:pt idx="39">
                  <c:v>35289</c:v>
                </c:pt>
                <c:pt idx="40">
                  <c:v>36744</c:v>
                </c:pt>
                <c:pt idx="41">
                  <c:v>38364</c:v>
                </c:pt>
                <c:pt idx="42">
                  <c:v>41306</c:v>
                </c:pt>
                <c:pt idx="43">
                  <c:v>43782</c:v>
                </c:pt>
                <c:pt idx="44">
                  <c:v>40304</c:v>
                </c:pt>
                <c:pt idx="45">
                  <c:v>40509</c:v>
                </c:pt>
                <c:pt idx="46">
                  <c:v>37758</c:v>
                </c:pt>
                <c:pt idx="48">
                  <c:v>24194</c:v>
                </c:pt>
                <c:pt idx="49">
                  <c:v>30086</c:v>
                </c:pt>
                <c:pt idx="50">
                  <c:v>35799</c:v>
                </c:pt>
                <c:pt idx="51">
                  <c:v>36153</c:v>
                </c:pt>
                <c:pt idx="52">
                  <c:v>38371</c:v>
                </c:pt>
                <c:pt idx="53">
                  <c:v>50644</c:v>
                </c:pt>
                <c:pt idx="54">
                  <c:v>55914</c:v>
                </c:pt>
                <c:pt idx="55">
                  <c:v>58928</c:v>
                </c:pt>
                <c:pt idx="56">
                  <c:v>61677</c:v>
                </c:pt>
                <c:pt idx="57">
                  <c:v>60190</c:v>
                </c:pt>
                <c:pt idx="58">
                  <c:v>64822</c:v>
                </c:pt>
                <c:pt idx="59">
                  <c:v>89190</c:v>
                </c:pt>
                <c:pt idx="60">
                  <c:v>98525</c:v>
                </c:pt>
                <c:pt idx="61">
                  <c:v>111475</c:v>
                </c:pt>
                <c:pt idx="62">
                  <c:v>131888</c:v>
                </c:pt>
                <c:pt idx="64">
                  <c:v>17650</c:v>
                </c:pt>
                <c:pt idx="65">
                  <c:v>30686</c:v>
                </c:pt>
                <c:pt idx="66">
                  <c:v>33594</c:v>
                </c:pt>
                <c:pt idx="67">
                  <c:v>36468</c:v>
                </c:pt>
                <c:pt idx="68">
                  <c:v>38195</c:v>
                </c:pt>
                <c:pt idx="69">
                  <c:v>37864</c:v>
                </c:pt>
                <c:pt idx="70">
                  <c:v>38339</c:v>
                </c:pt>
                <c:pt idx="71">
                  <c:v>39873</c:v>
                </c:pt>
                <c:pt idx="72">
                  <c:v>40370</c:v>
                </c:pt>
                <c:pt idx="73">
                  <c:v>44633</c:v>
                </c:pt>
                <c:pt idx="74">
                  <c:v>45579</c:v>
                </c:pt>
                <c:pt idx="75">
                  <c:v>45001</c:v>
                </c:pt>
                <c:pt idx="76">
                  <c:v>45342</c:v>
                </c:pt>
                <c:pt idx="77">
                  <c:v>40497</c:v>
                </c:pt>
              </c:numCache>
            </c:numRef>
          </c:val>
          <c:extLst>
            <c:ext xmlns:c16="http://schemas.microsoft.com/office/drawing/2014/chart" uri="{C3380CC4-5D6E-409C-BE32-E72D297353CC}">
              <c16:uniqueId val="{00000005-0F63-4BFE-B5D2-5578ABBEBA9B}"/>
            </c:ext>
          </c:extLst>
        </c:ser>
        <c:dLbls>
          <c:showLegendKey val="0"/>
          <c:showVal val="0"/>
          <c:showCatName val="0"/>
          <c:showSerName val="0"/>
          <c:showPercent val="0"/>
          <c:showBubbleSize val="0"/>
        </c:dLbls>
        <c:gapWidth val="6"/>
        <c:overlap val="100"/>
        <c:axId val="1801084176"/>
        <c:axId val="1801084720"/>
      </c:barChart>
      <c:catAx>
        <c:axId val="1801084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lang="zh-CN" sz="1200" b="0" i="0" u="none" strike="noStrike" kern="1200" baseline="0">
                <a:solidFill>
                  <a:sysClr val="windowText" lastClr="000000"/>
                </a:solidFill>
                <a:latin typeface="+mn-lt"/>
                <a:ea typeface="+mn-ea"/>
                <a:cs typeface="+mn-cs"/>
              </a:defRPr>
            </a:pPr>
            <a:endParaRPr lang="zh-CN"/>
          </a:p>
        </c:txPr>
        <c:crossAx val="1801084720"/>
        <c:crosses val="autoZero"/>
        <c:auto val="1"/>
        <c:lblAlgn val="ctr"/>
        <c:lblOffset val="100"/>
        <c:noMultiLvlLbl val="0"/>
      </c:catAx>
      <c:valAx>
        <c:axId val="1801084720"/>
        <c:scaling>
          <c:orientation val="minMax"/>
          <c:max val="1.03"/>
          <c:min val="0"/>
        </c:scaling>
        <c:delete val="1"/>
        <c:axPos val="l"/>
        <c:numFmt formatCode="0%" sourceLinked="1"/>
        <c:majorTickMark val="out"/>
        <c:minorTickMark val="none"/>
        <c:tickLblPos val="nextTo"/>
        <c:crossAx val="1801084176"/>
        <c:crosses val="autoZero"/>
        <c:crossBetween val="between"/>
      </c:valAx>
      <c:spPr>
        <a:noFill/>
        <a:ln>
          <a:noFill/>
        </a:ln>
        <a:effectLst/>
      </c:spPr>
    </c:plotArea>
    <c:legend>
      <c:legendPos val="b"/>
      <c:legendEntry>
        <c:idx val="5"/>
        <c:delete val="1"/>
      </c:legendEntry>
      <c:layout>
        <c:manualLayout>
          <c:xMode val="edge"/>
          <c:yMode val="edge"/>
          <c:x val="0.278191798983628"/>
          <c:y val="1.1891725404678401E-2"/>
          <c:w val="0.24632826405334701"/>
          <c:h val="4.3452694096592498E-2"/>
        </c:manualLayout>
      </c:layout>
      <c:overlay val="0"/>
      <c:spPr>
        <a:noFill/>
        <a:ln>
          <a:noFill/>
        </a:ln>
        <a:effectLst/>
      </c:spPr>
      <c:txPr>
        <a:bodyPr rot="0" spcFirstLastPara="1" vertOverflow="ellipsis" vert="horz" wrap="square" anchor="ctr" anchorCtr="1"/>
        <a:lstStyle/>
        <a:p>
          <a:pPr>
            <a:defRPr lang="zh-CN" sz="11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d464d526-2c3c-42a8-b84f-34e399cda31e}"/>
      </c:ext>
    </c:extLst>
  </c:chart>
  <c:spPr>
    <a:solidFill>
      <a:schemeClr val="bg1"/>
    </a:solidFill>
    <a:ln w="9525" cap="flat" cmpd="sng" algn="ctr">
      <a:solidFill>
        <a:schemeClr val="tx1"/>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GB" b="1"/>
              <a:t>Fig. 4.7: GRANTED PATENTS - </a:t>
            </a:r>
            <a:r>
              <a:rPr lang="en-GB" b="1" baseline="0"/>
              <a:t>SECTOR OF TECHNOLOGY</a:t>
            </a:r>
            <a:endParaRPr lang="en-GB" b="1"/>
          </a:p>
        </c:rich>
      </c:tx>
      <c:layout>
        <c:manualLayout>
          <c:xMode val="edge"/>
          <c:yMode val="edge"/>
          <c:x val="7.0866612525452297E-3"/>
          <c:y val="1.3333333333333299E-2"/>
        </c:manualLayout>
      </c:layout>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6.57698056801196E-3"/>
          <c:y val="8.2422222222222202E-2"/>
          <c:w val="0.98684603886397604"/>
          <c:h val="0.81373423322084704"/>
        </c:manualLayout>
      </c:layout>
      <c:barChart>
        <c:barDir val="col"/>
        <c:grouping val="stacked"/>
        <c:varyColors val="0"/>
        <c:ser>
          <c:idx val="0"/>
          <c:order val="0"/>
          <c:tx>
            <c:strRef>
              <c:f>'Ch4. Grants technology'!$B$8</c:f>
              <c:strCache>
                <c:ptCount val="1"/>
                <c:pt idx="0">
                  <c:v>Electrical engineering</c:v>
                </c:pt>
              </c:strCache>
            </c:strRef>
          </c:tx>
          <c:spPr>
            <a:solidFill>
              <a:srgbClr val="D0C094">
                <a:alpha val="96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technology'!$M$46:$BI$47</c:f>
              <c:multiLvlStrCache>
                <c:ptCount val="49"/>
                <c:lvl>
                  <c:pt idx="0">
                    <c:v>2016</c:v>
                  </c:pt>
                  <c:pt idx="1">
                    <c:v>2017</c:v>
                  </c:pt>
                  <c:pt idx="2">
                    <c:v>2018</c:v>
                  </c:pt>
                  <c:pt idx="3">
                    <c:v>2019</c:v>
                  </c:pt>
                  <c:pt idx="4">
                    <c:v>2020</c:v>
                  </c:pt>
                  <c:pt idx="5">
                    <c:v>2021</c:v>
                  </c:pt>
                  <c:pt idx="6">
                    <c:v>2022</c:v>
                  </c:pt>
                  <c:pt idx="7">
                    <c:v>2023</c:v>
                  </c:pt>
                  <c:pt idx="8">
                    <c:v>2024</c:v>
                  </c:pt>
                  <c:pt idx="10">
                    <c:v>2016</c:v>
                  </c:pt>
                  <c:pt idx="11">
                    <c:v>2017</c:v>
                  </c:pt>
                  <c:pt idx="12">
                    <c:v>2018</c:v>
                  </c:pt>
                  <c:pt idx="13">
                    <c:v>2019</c:v>
                  </c:pt>
                  <c:pt idx="14">
                    <c:v>2020</c:v>
                  </c:pt>
                  <c:pt idx="15">
                    <c:v>2021</c:v>
                  </c:pt>
                  <c:pt idx="16">
                    <c:v>2022</c:v>
                  </c:pt>
                  <c:pt idx="17">
                    <c:v>2023</c:v>
                  </c:pt>
                  <c:pt idx="18">
                    <c:v>2024</c:v>
                  </c:pt>
                  <c:pt idx="20">
                    <c:v>2016</c:v>
                  </c:pt>
                  <c:pt idx="21">
                    <c:v>2017</c:v>
                  </c:pt>
                  <c:pt idx="22">
                    <c:v>2018</c:v>
                  </c:pt>
                  <c:pt idx="23">
                    <c:v>2019</c:v>
                  </c:pt>
                  <c:pt idx="24">
                    <c:v>2020</c:v>
                  </c:pt>
                  <c:pt idx="25">
                    <c:v>2021</c:v>
                  </c:pt>
                  <c:pt idx="26">
                    <c:v>2022</c:v>
                  </c:pt>
                  <c:pt idx="27">
                    <c:v>2023</c:v>
                  </c:pt>
                  <c:pt idx="28">
                    <c:v>2024</c:v>
                  </c:pt>
                  <c:pt idx="30">
                    <c:v>2016</c:v>
                  </c:pt>
                  <c:pt idx="31">
                    <c:v>2017</c:v>
                  </c:pt>
                  <c:pt idx="32">
                    <c:v>2018</c:v>
                  </c:pt>
                  <c:pt idx="33">
                    <c:v>2019</c:v>
                  </c:pt>
                  <c:pt idx="34">
                    <c:v>2020</c:v>
                  </c:pt>
                  <c:pt idx="35">
                    <c:v>2021</c:v>
                  </c:pt>
                  <c:pt idx="36">
                    <c:v>2022</c:v>
                  </c:pt>
                  <c:pt idx="37">
                    <c:v>2023</c:v>
                  </c:pt>
                  <c:pt idx="38">
                    <c:v>2024</c:v>
                  </c:pt>
                  <c:pt idx="40">
                    <c:v>2016</c:v>
                  </c:pt>
                  <c:pt idx="41">
                    <c:v>2017</c:v>
                  </c:pt>
                  <c:pt idx="42">
                    <c:v>2018</c:v>
                  </c:pt>
                  <c:pt idx="43">
                    <c:v>2019</c:v>
                  </c:pt>
                  <c:pt idx="44">
                    <c:v>2020</c:v>
                  </c:pt>
                  <c:pt idx="45">
                    <c:v>2021</c:v>
                  </c:pt>
                  <c:pt idx="46">
                    <c:v>2022</c:v>
                  </c:pt>
                  <c:pt idx="47">
                    <c:v>2023</c:v>
                  </c:pt>
                  <c:pt idx="48">
                    <c:v>2024</c:v>
                  </c:pt>
                </c:lvl>
                <c:lvl>
                  <c:pt idx="0">
                    <c:v>EPO</c:v>
                  </c:pt>
                  <c:pt idx="10">
                    <c:v>JPO</c:v>
                  </c:pt>
                  <c:pt idx="20">
                    <c:v>MOIP</c:v>
                  </c:pt>
                  <c:pt idx="30">
                    <c:v>CNIPA</c:v>
                  </c:pt>
                  <c:pt idx="40">
                    <c:v>USPTO</c:v>
                  </c:pt>
                </c:lvl>
              </c:multiLvlStrCache>
            </c:multiLvlStrRef>
          </c:cat>
          <c:val>
            <c:numRef>
              <c:f>'Ch4. Grants technology'!$M$48:$BI$48</c:f>
              <c:numCache>
                <c:formatCode>0%</c:formatCode>
                <c:ptCount val="49"/>
                <c:pt idx="0">
                  <c:v>0.238470038780701</c:v>
                </c:pt>
                <c:pt idx="1">
                  <c:v>0.26335476661710799</c:v>
                </c:pt>
                <c:pt idx="2">
                  <c:v>0.29230286878821099</c:v>
                </c:pt>
                <c:pt idx="3">
                  <c:v>0.29702783365163299</c:v>
                </c:pt>
                <c:pt idx="4">
                  <c:v>0.29469004027006401</c:v>
                </c:pt>
                <c:pt idx="5">
                  <c:v>0.29451462827090302</c:v>
                </c:pt>
                <c:pt idx="6">
                  <c:v>0.29062767649577897</c:v>
                </c:pt>
                <c:pt idx="7">
                  <c:v>0.28122938043280798</c:v>
                </c:pt>
                <c:pt idx="8">
                  <c:v>0.27434218337580302</c:v>
                </c:pt>
                <c:pt idx="10">
                  <c:v>0.312508017327294</c:v>
                </c:pt>
                <c:pt idx="11">
                  <c:v>0.31953883373319802</c:v>
                </c:pt>
                <c:pt idx="12">
                  <c:v>0.315726080421668</c:v>
                </c:pt>
                <c:pt idx="13">
                  <c:v>0.312192570500122</c:v>
                </c:pt>
                <c:pt idx="14">
                  <c:v>0.29888897564893402</c:v>
                </c:pt>
                <c:pt idx="15">
                  <c:v>0.29308434964867902</c:v>
                </c:pt>
                <c:pt idx="16">
                  <c:v>0.30227304323648002</c:v>
                </c:pt>
                <c:pt idx="17">
                  <c:v>0.30928361944611599</c:v>
                </c:pt>
                <c:pt idx="18">
                  <c:v>0.32825029709298298</c:v>
                </c:pt>
                <c:pt idx="20">
                  <c:v>0.35633651452663301</c:v>
                </c:pt>
                <c:pt idx="21">
                  <c:v>0.33186918831114998</c:v>
                </c:pt>
                <c:pt idx="22">
                  <c:v>0.31796793600645301</c:v>
                </c:pt>
                <c:pt idx="23">
                  <c:v>0.32956923787014297</c:v>
                </c:pt>
                <c:pt idx="24">
                  <c:v>0.342912900880044</c:v>
                </c:pt>
                <c:pt idx="25">
                  <c:v>0.34804156784250301</c:v>
                </c:pt>
                <c:pt idx="26">
                  <c:v>0.36559402278443598</c:v>
                </c:pt>
                <c:pt idx="27">
                  <c:v>0.35739308563540001</c:v>
                </c:pt>
                <c:pt idx="28">
                  <c:v>0.36726262665779902</c:v>
                </c:pt>
                <c:pt idx="30">
                  <c:v>0.26644153338033899</c:v>
                </c:pt>
                <c:pt idx="31">
                  <c:v>0.29683049133516398</c:v>
                </c:pt>
                <c:pt idx="32">
                  <c:v>0.32342910892098398</c:v>
                </c:pt>
                <c:pt idx="33">
                  <c:v>0.34879992226217099</c:v>
                </c:pt>
                <c:pt idx="34">
                  <c:v>0.34530600387833799</c:v>
                </c:pt>
                <c:pt idx="35">
                  <c:v>0.34005799300520401</c:v>
                </c:pt>
                <c:pt idx="36">
                  <c:v>0.34803537809999902</c:v>
                </c:pt>
                <c:pt idx="37">
                  <c:v>0.37287154497679698</c:v>
                </c:pt>
                <c:pt idx="38">
                  <c:v>0.384434190262611</c:v>
                </c:pt>
                <c:pt idx="40">
                  <c:v>0.49416760985847202</c:v>
                </c:pt>
                <c:pt idx="41">
                  <c:v>0.48428306171352598</c:v>
                </c:pt>
                <c:pt idx="42">
                  <c:v>0.47636624761582902</c:v>
                </c:pt>
                <c:pt idx="43">
                  <c:v>0.47656236774539401</c:v>
                </c:pt>
                <c:pt idx="44">
                  <c:v>0.48085227272727299</c:v>
                </c:pt>
                <c:pt idx="45">
                  <c:v>0.47925099877593103</c:v>
                </c:pt>
                <c:pt idx="46">
                  <c:v>0.480215905754871</c:v>
                </c:pt>
                <c:pt idx="47">
                  <c:v>0.47913326963428099</c:v>
                </c:pt>
                <c:pt idx="48">
                  <c:v>0.47625611061748202</c:v>
                </c:pt>
              </c:numCache>
            </c:numRef>
          </c:val>
          <c:extLst>
            <c:ext xmlns:c16="http://schemas.microsoft.com/office/drawing/2014/chart" uri="{C3380CC4-5D6E-409C-BE32-E72D297353CC}">
              <c16:uniqueId val="{00000000-18A5-4D16-AFF0-93A4AE87ABD8}"/>
            </c:ext>
          </c:extLst>
        </c:ser>
        <c:ser>
          <c:idx val="1"/>
          <c:order val="1"/>
          <c:tx>
            <c:strRef>
              <c:f>'Ch4. Grants technology'!$B$9</c:f>
              <c:strCache>
                <c:ptCount val="1"/>
                <c:pt idx="0">
                  <c:v>Instruments</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technology'!$M$46:$BI$47</c:f>
              <c:multiLvlStrCache>
                <c:ptCount val="49"/>
                <c:lvl>
                  <c:pt idx="0">
                    <c:v>2016</c:v>
                  </c:pt>
                  <c:pt idx="1">
                    <c:v>2017</c:v>
                  </c:pt>
                  <c:pt idx="2">
                    <c:v>2018</c:v>
                  </c:pt>
                  <c:pt idx="3">
                    <c:v>2019</c:v>
                  </c:pt>
                  <c:pt idx="4">
                    <c:v>2020</c:v>
                  </c:pt>
                  <c:pt idx="5">
                    <c:v>2021</c:v>
                  </c:pt>
                  <c:pt idx="6">
                    <c:v>2022</c:v>
                  </c:pt>
                  <c:pt idx="7">
                    <c:v>2023</c:v>
                  </c:pt>
                  <c:pt idx="8">
                    <c:v>2024</c:v>
                  </c:pt>
                  <c:pt idx="10">
                    <c:v>2016</c:v>
                  </c:pt>
                  <c:pt idx="11">
                    <c:v>2017</c:v>
                  </c:pt>
                  <c:pt idx="12">
                    <c:v>2018</c:v>
                  </c:pt>
                  <c:pt idx="13">
                    <c:v>2019</c:v>
                  </c:pt>
                  <c:pt idx="14">
                    <c:v>2020</c:v>
                  </c:pt>
                  <c:pt idx="15">
                    <c:v>2021</c:v>
                  </c:pt>
                  <c:pt idx="16">
                    <c:v>2022</c:v>
                  </c:pt>
                  <c:pt idx="17">
                    <c:v>2023</c:v>
                  </c:pt>
                  <c:pt idx="18">
                    <c:v>2024</c:v>
                  </c:pt>
                  <c:pt idx="20">
                    <c:v>2016</c:v>
                  </c:pt>
                  <c:pt idx="21">
                    <c:v>2017</c:v>
                  </c:pt>
                  <c:pt idx="22">
                    <c:v>2018</c:v>
                  </c:pt>
                  <c:pt idx="23">
                    <c:v>2019</c:v>
                  </c:pt>
                  <c:pt idx="24">
                    <c:v>2020</c:v>
                  </c:pt>
                  <c:pt idx="25">
                    <c:v>2021</c:v>
                  </c:pt>
                  <c:pt idx="26">
                    <c:v>2022</c:v>
                  </c:pt>
                  <c:pt idx="27">
                    <c:v>2023</c:v>
                  </c:pt>
                  <c:pt idx="28">
                    <c:v>2024</c:v>
                  </c:pt>
                  <c:pt idx="30">
                    <c:v>2016</c:v>
                  </c:pt>
                  <c:pt idx="31">
                    <c:v>2017</c:v>
                  </c:pt>
                  <c:pt idx="32">
                    <c:v>2018</c:v>
                  </c:pt>
                  <c:pt idx="33">
                    <c:v>2019</c:v>
                  </c:pt>
                  <c:pt idx="34">
                    <c:v>2020</c:v>
                  </c:pt>
                  <c:pt idx="35">
                    <c:v>2021</c:v>
                  </c:pt>
                  <c:pt idx="36">
                    <c:v>2022</c:v>
                  </c:pt>
                  <c:pt idx="37">
                    <c:v>2023</c:v>
                  </c:pt>
                  <c:pt idx="38">
                    <c:v>2024</c:v>
                  </c:pt>
                  <c:pt idx="40">
                    <c:v>2016</c:v>
                  </c:pt>
                  <c:pt idx="41">
                    <c:v>2017</c:v>
                  </c:pt>
                  <c:pt idx="42">
                    <c:v>2018</c:v>
                  </c:pt>
                  <c:pt idx="43">
                    <c:v>2019</c:v>
                  </c:pt>
                  <c:pt idx="44">
                    <c:v>2020</c:v>
                  </c:pt>
                  <c:pt idx="45">
                    <c:v>2021</c:v>
                  </c:pt>
                  <c:pt idx="46">
                    <c:v>2022</c:v>
                  </c:pt>
                  <c:pt idx="47">
                    <c:v>2023</c:v>
                  </c:pt>
                  <c:pt idx="48">
                    <c:v>2024</c:v>
                  </c:pt>
                </c:lvl>
                <c:lvl>
                  <c:pt idx="0">
                    <c:v>EPO</c:v>
                  </c:pt>
                  <c:pt idx="10">
                    <c:v>JPO</c:v>
                  </c:pt>
                  <c:pt idx="20">
                    <c:v>MOIP</c:v>
                  </c:pt>
                  <c:pt idx="30">
                    <c:v>CNIPA</c:v>
                  </c:pt>
                  <c:pt idx="40">
                    <c:v>USPTO</c:v>
                  </c:pt>
                </c:lvl>
              </c:multiLvlStrCache>
            </c:multiLvlStrRef>
          </c:cat>
          <c:val>
            <c:numRef>
              <c:f>'Ch4. Grants technology'!$M$49:$BI$49</c:f>
              <c:numCache>
                <c:formatCode>0%</c:formatCode>
                <c:ptCount val="49"/>
                <c:pt idx="0">
                  <c:v>0.17125015637379601</c:v>
                </c:pt>
                <c:pt idx="1">
                  <c:v>0.16600535989924101</c:v>
                </c:pt>
                <c:pt idx="2">
                  <c:v>0.16022887599937299</c:v>
                </c:pt>
                <c:pt idx="3">
                  <c:v>0.168664812542208</c:v>
                </c:pt>
                <c:pt idx="4">
                  <c:v>0.175593946017156</c:v>
                </c:pt>
                <c:pt idx="5">
                  <c:v>0.18051341461172099</c:v>
                </c:pt>
                <c:pt idx="6">
                  <c:v>0.19259757738896399</c:v>
                </c:pt>
                <c:pt idx="7">
                  <c:v>0.20135216547292301</c:v>
                </c:pt>
                <c:pt idx="8">
                  <c:v>0.215807691956416</c:v>
                </c:pt>
                <c:pt idx="10">
                  <c:v>0.16458462844005001</c:v>
                </c:pt>
                <c:pt idx="11">
                  <c:v>0.166291897969222</c:v>
                </c:pt>
                <c:pt idx="12">
                  <c:v>0.17291894006465</c:v>
                </c:pt>
                <c:pt idx="13">
                  <c:v>0.174263838500746</c:v>
                </c:pt>
                <c:pt idx="14">
                  <c:v>0.17648108692984699</c:v>
                </c:pt>
                <c:pt idx="15">
                  <c:v>0.175649699720898</c:v>
                </c:pt>
                <c:pt idx="16">
                  <c:v>0.17663502214454499</c:v>
                </c:pt>
                <c:pt idx="17">
                  <c:v>0.181192025143534</c:v>
                </c:pt>
                <c:pt idx="18">
                  <c:v>0.17899477715529699</c:v>
                </c:pt>
                <c:pt idx="20">
                  <c:v>0.12459928905381699</c:v>
                </c:pt>
                <c:pt idx="21">
                  <c:v>0.131938804263148</c:v>
                </c:pt>
                <c:pt idx="22">
                  <c:v>0.13566699156387599</c:v>
                </c:pt>
                <c:pt idx="23">
                  <c:v>0.138985047071088</c:v>
                </c:pt>
                <c:pt idx="24">
                  <c:v>0.14126708516985001</c:v>
                </c:pt>
                <c:pt idx="25">
                  <c:v>0.14755761505874601</c:v>
                </c:pt>
                <c:pt idx="26">
                  <c:v>0.14786950732356899</c:v>
                </c:pt>
                <c:pt idx="27">
                  <c:v>0.15235204180088199</c:v>
                </c:pt>
                <c:pt idx="28">
                  <c:v>0.149501193224052</c:v>
                </c:pt>
                <c:pt idx="30">
                  <c:v>0.139995794213332</c:v>
                </c:pt>
                <c:pt idx="31">
                  <c:v>0.15110991810694899</c:v>
                </c:pt>
                <c:pt idx="32">
                  <c:v>0.14651996830648201</c:v>
                </c:pt>
                <c:pt idx="33">
                  <c:v>0.15729543025238299</c:v>
                </c:pt>
                <c:pt idx="34">
                  <c:v>0.155465513728863</c:v>
                </c:pt>
                <c:pt idx="35">
                  <c:v>0.15322740557457001</c:v>
                </c:pt>
                <c:pt idx="36">
                  <c:v>0.15406082818624001</c:v>
                </c:pt>
                <c:pt idx="37">
                  <c:v>0.147932714811191</c:v>
                </c:pt>
                <c:pt idx="38">
                  <c:v>0.16920165738717399</c:v>
                </c:pt>
                <c:pt idx="40">
                  <c:v>0.16324422783114301</c:v>
                </c:pt>
                <c:pt idx="41">
                  <c:v>0.16676076128821801</c:v>
                </c:pt>
                <c:pt idx="42">
                  <c:v>0.16762791664906601</c:v>
                </c:pt>
                <c:pt idx="43">
                  <c:v>0.17443218689162901</c:v>
                </c:pt>
                <c:pt idx="44">
                  <c:v>0.172119318181818</c:v>
                </c:pt>
                <c:pt idx="45">
                  <c:v>0.17273760006105701</c:v>
                </c:pt>
                <c:pt idx="46">
                  <c:v>0.17342510587462501</c:v>
                </c:pt>
                <c:pt idx="47">
                  <c:v>0.178294918148834</c:v>
                </c:pt>
                <c:pt idx="48">
                  <c:v>0.17711293143235701</c:v>
                </c:pt>
              </c:numCache>
            </c:numRef>
          </c:val>
          <c:extLst>
            <c:ext xmlns:c16="http://schemas.microsoft.com/office/drawing/2014/chart" uri="{C3380CC4-5D6E-409C-BE32-E72D297353CC}">
              <c16:uniqueId val="{00000001-18A5-4D16-AFF0-93A4AE87ABD8}"/>
            </c:ext>
          </c:extLst>
        </c:ser>
        <c:ser>
          <c:idx val="2"/>
          <c:order val="2"/>
          <c:tx>
            <c:strRef>
              <c:f>'Ch4. Grants technology'!$B$10</c:f>
              <c:strCache>
                <c:ptCount val="1"/>
                <c:pt idx="0">
                  <c:v>Chemistry</c:v>
                </c:pt>
              </c:strCache>
            </c:strRef>
          </c:tx>
          <c:spPr>
            <a:solidFill>
              <a:srgbClr val="FFFF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technology'!$M$46:$BI$47</c:f>
              <c:multiLvlStrCache>
                <c:ptCount val="49"/>
                <c:lvl>
                  <c:pt idx="0">
                    <c:v>2016</c:v>
                  </c:pt>
                  <c:pt idx="1">
                    <c:v>2017</c:v>
                  </c:pt>
                  <c:pt idx="2">
                    <c:v>2018</c:v>
                  </c:pt>
                  <c:pt idx="3">
                    <c:v>2019</c:v>
                  </c:pt>
                  <c:pt idx="4">
                    <c:v>2020</c:v>
                  </c:pt>
                  <c:pt idx="5">
                    <c:v>2021</c:v>
                  </c:pt>
                  <c:pt idx="6">
                    <c:v>2022</c:v>
                  </c:pt>
                  <c:pt idx="7">
                    <c:v>2023</c:v>
                  </c:pt>
                  <c:pt idx="8">
                    <c:v>2024</c:v>
                  </c:pt>
                  <c:pt idx="10">
                    <c:v>2016</c:v>
                  </c:pt>
                  <c:pt idx="11">
                    <c:v>2017</c:v>
                  </c:pt>
                  <c:pt idx="12">
                    <c:v>2018</c:v>
                  </c:pt>
                  <c:pt idx="13">
                    <c:v>2019</c:v>
                  </c:pt>
                  <c:pt idx="14">
                    <c:v>2020</c:v>
                  </c:pt>
                  <c:pt idx="15">
                    <c:v>2021</c:v>
                  </c:pt>
                  <c:pt idx="16">
                    <c:v>2022</c:v>
                  </c:pt>
                  <c:pt idx="17">
                    <c:v>2023</c:v>
                  </c:pt>
                  <c:pt idx="18">
                    <c:v>2024</c:v>
                  </c:pt>
                  <c:pt idx="20">
                    <c:v>2016</c:v>
                  </c:pt>
                  <c:pt idx="21">
                    <c:v>2017</c:v>
                  </c:pt>
                  <c:pt idx="22">
                    <c:v>2018</c:v>
                  </c:pt>
                  <c:pt idx="23">
                    <c:v>2019</c:v>
                  </c:pt>
                  <c:pt idx="24">
                    <c:v>2020</c:v>
                  </c:pt>
                  <c:pt idx="25">
                    <c:v>2021</c:v>
                  </c:pt>
                  <c:pt idx="26">
                    <c:v>2022</c:v>
                  </c:pt>
                  <c:pt idx="27">
                    <c:v>2023</c:v>
                  </c:pt>
                  <c:pt idx="28">
                    <c:v>2024</c:v>
                  </c:pt>
                  <c:pt idx="30">
                    <c:v>2016</c:v>
                  </c:pt>
                  <c:pt idx="31">
                    <c:v>2017</c:v>
                  </c:pt>
                  <c:pt idx="32">
                    <c:v>2018</c:v>
                  </c:pt>
                  <c:pt idx="33">
                    <c:v>2019</c:v>
                  </c:pt>
                  <c:pt idx="34">
                    <c:v>2020</c:v>
                  </c:pt>
                  <c:pt idx="35">
                    <c:v>2021</c:v>
                  </c:pt>
                  <c:pt idx="36">
                    <c:v>2022</c:v>
                  </c:pt>
                  <c:pt idx="37">
                    <c:v>2023</c:v>
                  </c:pt>
                  <c:pt idx="38">
                    <c:v>2024</c:v>
                  </c:pt>
                  <c:pt idx="40">
                    <c:v>2016</c:v>
                  </c:pt>
                  <c:pt idx="41">
                    <c:v>2017</c:v>
                  </c:pt>
                  <c:pt idx="42">
                    <c:v>2018</c:v>
                  </c:pt>
                  <c:pt idx="43">
                    <c:v>2019</c:v>
                  </c:pt>
                  <c:pt idx="44">
                    <c:v>2020</c:v>
                  </c:pt>
                  <c:pt idx="45">
                    <c:v>2021</c:v>
                  </c:pt>
                  <c:pt idx="46">
                    <c:v>2022</c:v>
                  </c:pt>
                  <c:pt idx="47">
                    <c:v>2023</c:v>
                  </c:pt>
                  <c:pt idx="48">
                    <c:v>2024</c:v>
                  </c:pt>
                </c:lvl>
                <c:lvl>
                  <c:pt idx="0">
                    <c:v>EPO</c:v>
                  </c:pt>
                  <c:pt idx="10">
                    <c:v>JPO</c:v>
                  </c:pt>
                  <c:pt idx="20">
                    <c:v>MOIP</c:v>
                  </c:pt>
                  <c:pt idx="30">
                    <c:v>CNIPA</c:v>
                  </c:pt>
                  <c:pt idx="40">
                    <c:v>USPTO</c:v>
                  </c:pt>
                </c:lvl>
              </c:multiLvlStrCache>
            </c:multiLvlStrRef>
          </c:cat>
          <c:val>
            <c:numRef>
              <c:f>'Ch4. Grants technology'!$M$50:$BI$50</c:f>
              <c:numCache>
                <c:formatCode>0%</c:formatCode>
                <c:ptCount val="49"/>
                <c:pt idx="0">
                  <c:v>0.243453150410742</c:v>
                </c:pt>
                <c:pt idx="1">
                  <c:v>0.238363999659088</c:v>
                </c:pt>
                <c:pt idx="2">
                  <c:v>0.22436118513873601</c:v>
                </c:pt>
                <c:pt idx="3">
                  <c:v>0.209605623370682</c:v>
                </c:pt>
                <c:pt idx="4">
                  <c:v>0.20281740744621901</c:v>
                </c:pt>
                <c:pt idx="5">
                  <c:v>0.19453485592394401</c:v>
                </c:pt>
                <c:pt idx="6">
                  <c:v>0.18088829071332399</c:v>
                </c:pt>
                <c:pt idx="7">
                  <c:v>0.174892180581986</c:v>
                </c:pt>
                <c:pt idx="8">
                  <c:v>0.17408736791151799</c:v>
                </c:pt>
                <c:pt idx="10">
                  <c:v>0.18272105621503201</c:v>
                </c:pt>
                <c:pt idx="11">
                  <c:v>0.174668982201833</c:v>
                </c:pt>
                <c:pt idx="12">
                  <c:v>0.17048425950709301</c:v>
                </c:pt>
                <c:pt idx="13">
                  <c:v>0.170797257895791</c:v>
                </c:pt>
                <c:pt idx="14">
                  <c:v>0.17751848918536001</c:v>
                </c:pt>
                <c:pt idx="15">
                  <c:v>0.18730791368469099</c:v>
                </c:pt>
                <c:pt idx="16">
                  <c:v>0.182568370042303</c:v>
                </c:pt>
                <c:pt idx="17">
                  <c:v>0.17922410416606999</c:v>
                </c:pt>
                <c:pt idx="18">
                  <c:v>0.17534477765461301</c:v>
                </c:pt>
                <c:pt idx="20">
                  <c:v>0.20806657542551099</c:v>
                </c:pt>
                <c:pt idx="21">
                  <c:v>0.22777676484725901</c:v>
                </c:pt>
                <c:pt idx="22">
                  <c:v>0.223506873256478</c:v>
                </c:pt>
                <c:pt idx="23">
                  <c:v>0.213582575341594</c:v>
                </c:pt>
                <c:pt idx="24">
                  <c:v>0.20939999703189199</c:v>
                </c:pt>
                <c:pt idx="25">
                  <c:v>0.20908679617773299</c:v>
                </c:pt>
                <c:pt idx="26">
                  <c:v>0.19641958869655299</c:v>
                </c:pt>
                <c:pt idx="27">
                  <c:v>0.20549378775958599</c:v>
                </c:pt>
                <c:pt idx="28">
                  <c:v>0.20327060756621401</c:v>
                </c:pt>
                <c:pt idx="30">
                  <c:v>0.26630546381168002</c:v>
                </c:pt>
                <c:pt idx="31">
                  <c:v>0.21976216536426099</c:v>
                </c:pt>
                <c:pt idx="32">
                  <c:v>0.22102290366375199</c:v>
                </c:pt>
                <c:pt idx="33">
                  <c:v>0.207237568572716</c:v>
                </c:pt>
                <c:pt idx="34">
                  <c:v>0.21324444846866</c:v>
                </c:pt>
                <c:pt idx="35">
                  <c:v>0.225770390231426</c:v>
                </c:pt>
                <c:pt idx="36">
                  <c:v>0.223416634621286</c:v>
                </c:pt>
                <c:pt idx="37">
                  <c:v>0.210551294150611</c:v>
                </c:pt>
                <c:pt idx="38">
                  <c:v>0.16848475799141799</c:v>
                </c:pt>
                <c:pt idx="40">
                  <c:v>0.13757181181921099</c:v>
                </c:pt>
                <c:pt idx="41">
                  <c:v>0.13679162432408701</c:v>
                </c:pt>
                <c:pt idx="42">
                  <c:v>0.13534616371901401</c:v>
                </c:pt>
                <c:pt idx="43">
                  <c:v>0.12720142200152401</c:v>
                </c:pt>
                <c:pt idx="44">
                  <c:v>0.12742613636363601</c:v>
                </c:pt>
                <c:pt idx="45">
                  <c:v>0.12942550936838601</c:v>
                </c:pt>
                <c:pt idx="46">
                  <c:v>0.124462633596772</c:v>
                </c:pt>
                <c:pt idx="47">
                  <c:v>0.11894687054596</c:v>
                </c:pt>
                <c:pt idx="48">
                  <c:v>0.118956493345432</c:v>
                </c:pt>
              </c:numCache>
            </c:numRef>
          </c:val>
          <c:extLst>
            <c:ext xmlns:c16="http://schemas.microsoft.com/office/drawing/2014/chart" uri="{C3380CC4-5D6E-409C-BE32-E72D297353CC}">
              <c16:uniqueId val="{00000002-18A5-4D16-AFF0-93A4AE87ABD8}"/>
            </c:ext>
          </c:extLst>
        </c:ser>
        <c:ser>
          <c:idx val="3"/>
          <c:order val="3"/>
          <c:tx>
            <c:strRef>
              <c:f>'Ch4. Grants technology'!$B$11</c:f>
              <c:strCache>
                <c:ptCount val="1"/>
                <c:pt idx="0">
                  <c:v>Mechanical engineering</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technology'!$M$46:$BI$47</c:f>
              <c:multiLvlStrCache>
                <c:ptCount val="49"/>
                <c:lvl>
                  <c:pt idx="0">
                    <c:v>2016</c:v>
                  </c:pt>
                  <c:pt idx="1">
                    <c:v>2017</c:v>
                  </c:pt>
                  <c:pt idx="2">
                    <c:v>2018</c:v>
                  </c:pt>
                  <c:pt idx="3">
                    <c:v>2019</c:v>
                  </c:pt>
                  <c:pt idx="4">
                    <c:v>2020</c:v>
                  </c:pt>
                  <c:pt idx="5">
                    <c:v>2021</c:v>
                  </c:pt>
                  <c:pt idx="6">
                    <c:v>2022</c:v>
                  </c:pt>
                  <c:pt idx="7">
                    <c:v>2023</c:v>
                  </c:pt>
                  <c:pt idx="8">
                    <c:v>2024</c:v>
                  </c:pt>
                  <c:pt idx="10">
                    <c:v>2016</c:v>
                  </c:pt>
                  <c:pt idx="11">
                    <c:v>2017</c:v>
                  </c:pt>
                  <c:pt idx="12">
                    <c:v>2018</c:v>
                  </c:pt>
                  <c:pt idx="13">
                    <c:v>2019</c:v>
                  </c:pt>
                  <c:pt idx="14">
                    <c:v>2020</c:v>
                  </c:pt>
                  <c:pt idx="15">
                    <c:v>2021</c:v>
                  </c:pt>
                  <c:pt idx="16">
                    <c:v>2022</c:v>
                  </c:pt>
                  <c:pt idx="17">
                    <c:v>2023</c:v>
                  </c:pt>
                  <c:pt idx="18">
                    <c:v>2024</c:v>
                  </c:pt>
                  <c:pt idx="20">
                    <c:v>2016</c:v>
                  </c:pt>
                  <c:pt idx="21">
                    <c:v>2017</c:v>
                  </c:pt>
                  <c:pt idx="22">
                    <c:v>2018</c:v>
                  </c:pt>
                  <c:pt idx="23">
                    <c:v>2019</c:v>
                  </c:pt>
                  <c:pt idx="24">
                    <c:v>2020</c:v>
                  </c:pt>
                  <c:pt idx="25">
                    <c:v>2021</c:v>
                  </c:pt>
                  <c:pt idx="26">
                    <c:v>2022</c:v>
                  </c:pt>
                  <c:pt idx="27">
                    <c:v>2023</c:v>
                  </c:pt>
                  <c:pt idx="28">
                    <c:v>2024</c:v>
                  </c:pt>
                  <c:pt idx="30">
                    <c:v>2016</c:v>
                  </c:pt>
                  <c:pt idx="31">
                    <c:v>2017</c:v>
                  </c:pt>
                  <c:pt idx="32">
                    <c:v>2018</c:v>
                  </c:pt>
                  <c:pt idx="33">
                    <c:v>2019</c:v>
                  </c:pt>
                  <c:pt idx="34">
                    <c:v>2020</c:v>
                  </c:pt>
                  <c:pt idx="35">
                    <c:v>2021</c:v>
                  </c:pt>
                  <c:pt idx="36">
                    <c:v>2022</c:v>
                  </c:pt>
                  <c:pt idx="37">
                    <c:v>2023</c:v>
                  </c:pt>
                  <c:pt idx="38">
                    <c:v>2024</c:v>
                  </c:pt>
                  <c:pt idx="40">
                    <c:v>2016</c:v>
                  </c:pt>
                  <c:pt idx="41">
                    <c:v>2017</c:v>
                  </c:pt>
                  <c:pt idx="42">
                    <c:v>2018</c:v>
                  </c:pt>
                  <c:pt idx="43">
                    <c:v>2019</c:v>
                  </c:pt>
                  <c:pt idx="44">
                    <c:v>2020</c:v>
                  </c:pt>
                  <c:pt idx="45">
                    <c:v>2021</c:v>
                  </c:pt>
                  <c:pt idx="46">
                    <c:v>2022</c:v>
                  </c:pt>
                  <c:pt idx="47">
                    <c:v>2023</c:v>
                  </c:pt>
                  <c:pt idx="48">
                    <c:v>2024</c:v>
                  </c:pt>
                </c:lvl>
                <c:lvl>
                  <c:pt idx="0">
                    <c:v>EPO</c:v>
                  </c:pt>
                  <c:pt idx="10">
                    <c:v>JPO</c:v>
                  </c:pt>
                  <c:pt idx="20">
                    <c:v>MOIP</c:v>
                  </c:pt>
                  <c:pt idx="30">
                    <c:v>CNIPA</c:v>
                  </c:pt>
                  <c:pt idx="40">
                    <c:v>USPTO</c:v>
                  </c:pt>
                </c:lvl>
              </c:multiLvlStrCache>
            </c:multiLvlStrRef>
          </c:cat>
          <c:val>
            <c:numRef>
              <c:f>'Ch4. Grants technology'!$M$51:$BI$51</c:f>
              <c:numCache>
                <c:formatCode>0%</c:formatCode>
                <c:ptCount val="49"/>
                <c:pt idx="0">
                  <c:v>0.26445936366290002</c:v>
                </c:pt>
                <c:pt idx="1">
                  <c:v>0.25177321754940901</c:v>
                </c:pt>
                <c:pt idx="2">
                  <c:v>0.24779746041699299</c:v>
                </c:pt>
                <c:pt idx="3">
                  <c:v>0.25321143554254899</c:v>
                </c:pt>
                <c:pt idx="4">
                  <c:v>0.25450979805086898</c:v>
                </c:pt>
                <c:pt idx="5">
                  <c:v>0.25778304922675199</c:v>
                </c:pt>
                <c:pt idx="6">
                  <c:v>0.25869325828949002</c:v>
                </c:pt>
                <c:pt idx="7">
                  <c:v>0.256739311294502</c:v>
                </c:pt>
                <c:pt idx="8">
                  <c:v>0.25246823939867202</c:v>
                </c:pt>
                <c:pt idx="10">
                  <c:v>0.23227553950445501</c:v>
                </c:pt>
                <c:pt idx="11">
                  <c:v>0.22942369274320601</c:v>
                </c:pt>
                <c:pt idx="12">
                  <c:v>0.228623195865676</c:v>
                </c:pt>
                <c:pt idx="13">
                  <c:v>0.23217187117452001</c:v>
                </c:pt>
                <c:pt idx="14">
                  <c:v>0.228490635492543</c:v>
                </c:pt>
                <c:pt idx="15">
                  <c:v>0.22371064606162</c:v>
                </c:pt>
                <c:pt idx="16">
                  <c:v>0.216520029393657</c:v>
                </c:pt>
                <c:pt idx="17">
                  <c:v>0.208790683900305</c:v>
                </c:pt>
                <c:pt idx="18">
                  <c:v>0.20555339185316099</c:v>
                </c:pt>
                <c:pt idx="20">
                  <c:v>0.214229946081988</c:v>
                </c:pt>
                <c:pt idx="21">
                  <c:v>0.21049709104771999</c:v>
                </c:pt>
                <c:pt idx="22">
                  <c:v>0.21991899976473001</c:v>
                </c:pt>
                <c:pt idx="23">
                  <c:v>0.21504683235052999</c:v>
                </c:pt>
                <c:pt idx="24">
                  <c:v>0.20389415728002599</c:v>
                </c:pt>
                <c:pt idx="25">
                  <c:v>0.19321780617211201</c:v>
                </c:pt>
                <c:pt idx="26">
                  <c:v>0.19349755881047501</c:v>
                </c:pt>
                <c:pt idx="27">
                  <c:v>0.19020440274912001</c:v>
                </c:pt>
                <c:pt idx="28">
                  <c:v>0.183592191228825</c:v>
                </c:pt>
                <c:pt idx="30">
                  <c:v>0.25265892307121401</c:v>
                </c:pt>
                <c:pt idx="31">
                  <c:v>0.25792724268712902</c:v>
                </c:pt>
                <c:pt idx="32">
                  <c:v>0.237191694815515</c:v>
                </c:pt>
                <c:pt idx="33">
                  <c:v>0.22249140908649201</c:v>
                </c:pt>
                <c:pt idx="34">
                  <c:v>0.21892047898227601</c:v>
                </c:pt>
                <c:pt idx="35">
                  <c:v>0.21282973104235101</c:v>
                </c:pt>
                <c:pt idx="36">
                  <c:v>0.21145942804319401</c:v>
                </c:pt>
                <c:pt idx="37">
                  <c:v>0.20639837010763501</c:v>
                </c:pt>
                <c:pt idx="38">
                  <c:v>0.21485159033937401</c:v>
                </c:pt>
                <c:pt idx="40">
                  <c:v>0.14782757903837301</c:v>
                </c:pt>
                <c:pt idx="41">
                  <c:v>0.15426185905880299</c:v>
                </c:pt>
                <c:pt idx="42">
                  <c:v>0.161051342121595</c:v>
                </c:pt>
                <c:pt idx="43">
                  <c:v>0.161772423327596</c:v>
                </c:pt>
                <c:pt idx="44">
                  <c:v>0.16038352272727299</c:v>
                </c:pt>
                <c:pt idx="45">
                  <c:v>0.160074207363789</c:v>
                </c:pt>
                <c:pt idx="46">
                  <c:v>0.163955249259532</c:v>
                </c:pt>
                <c:pt idx="47">
                  <c:v>0.16367693787437701</c:v>
                </c:pt>
                <c:pt idx="48">
                  <c:v>0.165571438887546</c:v>
                </c:pt>
              </c:numCache>
            </c:numRef>
          </c:val>
          <c:extLst>
            <c:ext xmlns:c16="http://schemas.microsoft.com/office/drawing/2014/chart" uri="{C3380CC4-5D6E-409C-BE32-E72D297353CC}">
              <c16:uniqueId val="{00000003-18A5-4D16-AFF0-93A4AE87ABD8}"/>
            </c:ext>
          </c:extLst>
        </c:ser>
        <c:ser>
          <c:idx val="4"/>
          <c:order val="4"/>
          <c:tx>
            <c:strRef>
              <c:f>'Ch4. Grants technology'!$B$12</c:f>
              <c:strCache>
                <c:ptCount val="1"/>
                <c:pt idx="0">
                  <c:v>other field</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100" b="0" i="0" u="none" strike="noStrike" kern="1200" baseline="0">
                    <a:solidFill>
                      <a:schemeClr val="tx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'Ch4. Grants technology'!$M$46:$BI$47</c:f>
              <c:multiLvlStrCache>
                <c:ptCount val="49"/>
                <c:lvl>
                  <c:pt idx="0">
                    <c:v>2016</c:v>
                  </c:pt>
                  <c:pt idx="1">
                    <c:v>2017</c:v>
                  </c:pt>
                  <c:pt idx="2">
                    <c:v>2018</c:v>
                  </c:pt>
                  <c:pt idx="3">
                    <c:v>2019</c:v>
                  </c:pt>
                  <c:pt idx="4">
                    <c:v>2020</c:v>
                  </c:pt>
                  <c:pt idx="5">
                    <c:v>2021</c:v>
                  </c:pt>
                  <c:pt idx="6">
                    <c:v>2022</c:v>
                  </c:pt>
                  <c:pt idx="7">
                    <c:v>2023</c:v>
                  </c:pt>
                  <c:pt idx="8">
                    <c:v>2024</c:v>
                  </c:pt>
                  <c:pt idx="10">
                    <c:v>2016</c:v>
                  </c:pt>
                  <c:pt idx="11">
                    <c:v>2017</c:v>
                  </c:pt>
                  <c:pt idx="12">
                    <c:v>2018</c:v>
                  </c:pt>
                  <c:pt idx="13">
                    <c:v>2019</c:v>
                  </c:pt>
                  <c:pt idx="14">
                    <c:v>2020</c:v>
                  </c:pt>
                  <c:pt idx="15">
                    <c:v>2021</c:v>
                  </c:pt>
                  <c:pt idx="16">
                    <c:v>2022</c:v>
                  </c:pt>
                  <c:pt idx="17">
                    <c:v>2023</c:v>
                  </c:pt>
                  <c:pt idx="18">
                    <c:v>2024</c:v>
                  </c:pt>
                  <c:pt idx="20">
                    <c:v>2016</c:v>
                  </c:pt>
                  <c:pt idx="21">
                    <c:v>2017</c:v>
                  </c:pt>
                  <c:pt idx="22">
                    <c:v>2018</c:v>
                  </c:pt>
                  <c:pt idx="23">
                    <c:v>2019</c:v>
                  </c:pt>
                  <c:pt idx="24">
                    <c:v>2020</c:v>
                  </c:pt>
                  <c:pt idx="25">
                    <c:v>2021</c:v>
                  </c:pt>
                  <c:pt idx="26">
                    <c:v>2022</c:v>
                  </c:pt>
                  <c:pt idx="27">
                    <c:v>2023</c:v>
                  </c:pt>
                  <c:pt idx="28">
                    <c:v>2024</c:v>
                  </c:pt>
                  <c:pt idx="30">
                    <c:v>2016</c:v>
                  </c:pt>
                  <c:pt idx="31">
                    <c:v>2017</c:v>
                  </c:pt>
                  <c:pt idx="32">
                    <c:v>2018</c:v>
                  </c:pt>
                  <c:pt idx="33">
                    <c:v>2019</c:v>
                  </c:pt>
                  <c:pt idx="34">
                    <c:v>2020</c:v>
                  </c:pt>
                  <c:pt idx="35">
                    <c:v>2021</c:v>
                  </c:pt>
                  <c:pt idx="36">
                    <c:v>2022</c:v>
                  </c:pt>
                  <c:pt idx="37">
                    <c:v>2023</c:v>
                  </c:pt>
                  <c:pt idx="38">
                    <c:v>2024</c:v>
                  </c:pt>
                  <c:pt idx="40">
                    <c:v>2016</c:v>
                  </c:pt>
                  <c:pt idx="41">
                    <c:v>2017</c:v>
                  </c:pt>
                  <c:pt idx="42">
                    <c:v>2018</c:v>
                  </c:pt>
                  <c:pt idx="43">
                    <c:v>2019</c:v>
                  </c:pt>
                  <c:pt idx="44">
                    <c:v>2020</c:v>
                  </c:pt>
                  <c:pt idx="45">
                    <c:v>2021</c:v>
                  </c:pt>
                  <c:pt idx="46">
                    <c:v>2022</c:v>
                  </c:pt>
                  <c:pt idx="47">
                    <c:v>2023</c:v>
                  </c:pt>
                  <c:pt idx="48">
                    <c:v>2024</c:v>
                  </c:pt>
                </c:lvl>
                <c:lvl>
                  <c:pt idx="0">
                    <c:v>EPO</c:v>
                  </c:pt>
                  <c:pt idx="10">
                    <c:v>JPO</c:v>
                  </c:pt>
                  <c:pt idx="20">
                    <c:v>MOIP</c:v>
                  </c:pt>
                  <c:pt idx="30">
                    <c:v>CNIPA</c:v>
                  </c:pt>
                  <c:pt idx="40">
                    <c:v>USPTO</c:v>
                  </c:pt>
                </c:lvl>
              </c:multiLvlStrCache>
            </c:multiLvlStrRef>
          </c:cat>
          <c:val>
            <c:numRef>
              <c:f>'Ch4. Grants technology'!$M$52:$BI$52</c:f>
              <c:numCache>
                <c:formatCode>0%</c:formatCode>
                <c:ptCount val="49"/>
                <c:pt idx="0">
                  <c:v>8.2367290771861099E-2</c:v>
                </c:pt>
                <c:pt idx="1">
                  <c:v>8.05026562751541E-2</c:v>
                </c:pt>
                <c:pt idx="2">
                  <c:v>7.5309609656685997E-2</c:v>
                </c:pt>
                <c:pt idx="3">
                  <c:v>7.1490294892927894E-2</c:v>
                </c:pt>
                <c:pt idx="4">
                  <c:v>7.2388808215691894E-2</c:v>
                </c:pt>
                <c:pt idx="5">
                  <c:v>7.2654051966679498E-2</c:v>
                </c:pt>
                <c:pt idx="6">
                  <c:v>7.7193197112443407E-2</c:v>
                </c:pt>
                <c:pt idx="7">
                  <c:v>8.5786962217780899E-2</c:v>
                </c:pt>
                <c:pt idx="8">
                  <c:v>8.3294517357590997E-2</c:v>
                </c:pt>
                <c:pt idx="10">
                  <c:v>0.107910758513168</c:v>
                </c:pt>
                <c:pt idx="11">
                  <c:v>0.11007659335254</c:v>
                </c:pt>
                <c:pt idx="12">
                  <c:v>0.112247524140913</c:v>
                </c:pt>
                <c:pt idx="13">
                  <c:v>0.11057446192882101</c:v>
                </c:pt>
                <c:pt idx="14">
                  <c:v>0.118620812743315</c:v>
                </c:pt>
                <c:pt idx="15">
                  <c:v>0.120247390884113</c:v>
                </c:pt>
                <c:pt idx="16">
                  <c:v>0.122003535183015</c:v>
                </c:pt>
                <c:pt idx="17">
                  <c:v>0.121509567343975</c:v>
                </c:pt>
                <c:pt idx="18">
                  <c:v>0.111856756243946</c:v>
                </c:pt>
                <c:pt idx="20">
                  <c:v>9.6767674912050294E-2</c:v>
                </c:pt>
                <c:pt idx="21">
                  <c:v>9.7918151530722197E-2</c:v>
                </c:pt>
                <c:pt idx="22">
                  <c:v>0.10293919940846299</c:v>
                </c:pt>
                <c:pt idx="23">
                  <c:v>0.102816307366645</c:v>
                </c:pt>
                <c:pt idx="24">
                  <c:v>0.102525859638188</c:v>
                </c:pt>
                <c:pt idx="25">
                  <c:v>0.102096214748907</c:v>
                </c:pt>
                <c:pt idx="26">
                  <c:v>9.6619322384968204E-2</c:v>
                </c:pt>
                <c:pt idx="27">
                  <c:v>9.4556682055012095E-2</c:v>
                </c:pt>
                <c:pt idx="28">
                  <c:v>9.6373381323109394E-2</c:v>
                </c:pt>
                <c:pt idx="30">
                  <c:v>7.4598285523434907E-2</c:v>
                </c:pt>
                <c:pt idx="31">
                  <c:v>7.4370182506496602E-2</c:v>
                </c:pt>
                <c:pt idx="32">
                  <c:v>7.1836324293267001E-2</c:v>
                </c:pt>
                <c:pt idx="33">
                  <c:v>6.4175669826238305E-2</c:v>
                </c:pt>
                <c:pt idx="34">
                  <c:v>6.7063554941862696E-2</c:v>
                </c:pt>
                <c:pt idx="35">
                  <c:v>6.8114480146448206E-2</c:v>
                </c:pt>
                <c:pt idx="36">
                  <c:v>6.3027731049280597E-2</c:v>
                </c:pt>
                <c:pt idx="37">
                  <c:v>6.2246075953766099E-2</c:v>
                </c:pt>
                <c:pt idx="38">
                  <c:v>6.3027804019422304E-2</c:v>
                </c:pt>
                <c:pt idx="40">
                  <c:v>5.71887714528014E-2</c:v>
                </c:pt>
                <c:pt idx="41">
                  <c:v>5.7902693615366298E-2</c:v>
                </c:pt>
                <c:pt idx="42">
                  <c:v>5.9608329894495403E-2</c:v>
                </c:pt>
                <c:pt idx="43">
                  <c:v>6.0031600033857199E-2</c:v>
                </c:pt>
                <c:pt idx="44">
                  <c:v>5.9218750000000001E-2</c:v>
                </c:pt>
                <c:pt idx="45">
                  <c:v>5.8511684430837201E-2</c:v>
                </c:pt>
                <c:pt idx="46">
                  <c:v>5.7941105514200397E-2</c:v>
                </c:pt>
                <c:pt idx="47">
                  <c:v>5.9948003796548202E-2</c:v>
                </c:pt>
                <c:pt idx="48">
                  <c:v>6.2103025717183201E-2</c:v>
                </c:pt>
              </c:numCache>
            </c:numRef>
          </c:val>
          <c:extLst>
            <c:ext xmlns:c16="http://schemas.microsoft.com/office/drawing/2014/chart" uri="{C3380CC4-5D6E-409C-BE32-E72D297353CC}">
              <c16:uniqueId val="{00000004-18A5-4D16-AFF0-93A4AE87ABD8}"/>
            </c:ext>
          </c:extLst>
        </c:ser>
        <c:dLbls>
          <c:showLegendKey val="0"/>
          <c:showVal val="0"/>
          <c:showCatName val="0"/>
          <c:showSerName val="0"/>
          <c:showPercent val="0"/>
          <c:showBubbleSize val="0"/>
        </c:dLbls>
        <c:gapWidth val="4"/>
        <c:overlap val="100"/>
        <c:axId val="1808651120"/>
        <c:axId val="1808645136"/>
      </c:barChart>
      <c:catAx>
        <c:axId val="1808651120"/>
        <c:scaling>
          <c:orientation val="minMax"/>
        </c:scaling>
        <c:delete val="0"/>
        <c:axPos val="b"/>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lang="zh-CN" sz="1100" b="0" i="0" u="none" strike="noStrike" kern="1200" baseline="0">
                <a:solidFill>
                  <a:schemeClr val="tx1"/>
                </a:solidFill>
                <a:latin typeface="+mn-lt"/>
                <a:ea typeface="+mn-ea"/>
                <a:cs typeface="+mn-cs"/>
              </a:defRPr>
            </a:pPr>
            <a:endParaRPr lang="zh-CN"/>
          </a:p>
        </c:txPr>
        <c:crossAx val="1808645136"/>
        <c:crosses val="autoZero"/>
        <c:auto val="1"/>
        <c:lblAlgn val="ctr"/>
        <c:lblOffset val="100"/>
        <c:noMultiLvlLbl val="0"/>
      </c:catAx>
      <c:valAx>
        <c:axId val="1808645136"/>
        <c:scaling>
          <c:orientation val="minMax"/>
          <c:max val="1"/>
          <c:min val="0"/>
        </c:scaling>
        <c:delete val="1"/>
        <c:axPos val="l"/>
        <c:numFmt formatCode="0%" sourceLinked="1"/>
        <c:majorTickMark val="out"/>
        <c:minorTickMark val="none"/>
        <c:tickLblPos val="nextTo"/>
        <c:crossAx val="1808651120"/>
        <c:crosses val="autoZero"/>
        <c:crossBetween val="between"/>
      </c:valAx>
      <c:spPr>
        <a:noFill/>
        <a:ln>
          <a:noFill/>
        </a:ln>
        <a:effectLst/>
      </c:spPr>
    </c:plotArea>
    <c:legend>
      <c:legendPos val="t"/>
      <c:layout>
        <c:manualLayout>
          <c:xMode val="edge"/>
          <c:yMode val="edge"/>
          <c:x val="0.20828686884491199"/>
          <c:y val="1.7314285714285699E-2"/>
          <c:w val="0.32038635107388302"/>
          <c:h val="3.9054368203974503E-2"/>
        </c:manualLayout>
      </c:layout>
      <c:overlay val="0"/>
      <c:spPr>
        <a:noFill/>
        <a:ln>
          <a:noFill/>
        </a:ln>
        <a:effectLst/>
      </c:spPr>
      <c:txPr>
        <a:bodyPr rot="0" spcFirstLastPara="1" vertOverflow="ellipsis" vert="horz" wrap="square" anchor="ctr" anchorCtr="1"/>
        <a:lstStyle/>
        <a:p>
          <a:pPr>
            <a:defRPr lang="zh-CN" sz="1200" b="0" i="0" u="none" strike="noStrike" kern="1200" baseline="0">
              <a:solidFill>
                <a:schemeClr val="tx1"/>
              </a:solidFill>
              <a:latin typeface="+mn-lt"/>
              <a:ea typeface="+mn-ea"/>
              <a:cs typeface="+mn-cs"/>
            </a:defRPr>
          </a:pPr>
          <a:endParaRPr lang="zh-CN"/>
        </a:p>
      </c:txPr>
    </c:legend>
    <c:plotVisOnly val="1"/>
    <c:dispBlanksAs val="gap"/>
    <c:showDLblsOverMax val="0"/>
    <c:extLst>
      <c:ext uri="{0b15fc19-7d7d-44ad-8c2d-2c3a37ce22c3}">
        <chartProps xmlns="https://web.wps.cn/et/2018/main" chartId="{beff078f-de85-4ab6-92d6-b3acb98b3f57}"/>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EPO - leading fields</a:t>
            </a:r>
          </a:p>
        </c:rich>
      </c:tx>
      <c:overlay val="0"/>
      <c:spPr>
        <a:noFill/>
        <a:ln>
          <a:noFill/>
        </a:ln>
        <a:effectLst/>
      </c:spPr>
    </c:title>
    <c:autoTitleDeleted val="0"/>
    <c:plotArea>
      <c:layout>
        <c:manualLayout>
          <c:layoutTarget val="inner"/>
          <c:xMode val="edge"/>
          <c:yMode val="edge"/>
          <c:x val="3.1496068199486298E-2"/>
          <c:y val="0.18008873548340701"/>
          <c:w val="0.72913381348441697"/>
          <c:h val="0.80932067110845396"/>
        </c:manualLayout>
      </c:layout>
      <c:lineChart>
        <c:grouping val="standard"/>
        <c:varyColors val="0"/>
        <c:ser>
          <c:idx val="0"/>
          <c:order val="0"/>
          <c:tx>
            <c:strRef>
              <c:f>'Ch4. Grants leading Tech'!$V$150</c:f>
              <c:strCache>
                <c:ptCount val="1"/>
                <c:pt idx="0">
                  <c:v>Other special machines</c:v>
                </c:pt>
              </c:strCache>
            </c:strRef>
          </c:tx>
          <c:spPr>
            <a:ln w="28575" cap="rnd" cmpd="sng" algn="ctr">
              <a:solidFill>
                <a:schemeClr val="accent1"/>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01-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02-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03-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04-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05-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06-19D0-4874-A0F6-AC4DF4A2A096}"/>
                </c:ext>
              </c:extLst>
            </c:dLbl>
            <c:dLbl>
              <c:idx val="7"/>
              <c:layout>
                <c:manualLayout>
                  <c:x val="8.0695818673440889E-2"/>
                  <c:y val="7.9330896979459761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23783190499866"/>
                      <c:h val="9.5544481502914294E-2"/>
                    </c:manualLayout>
                  </c15:layout>
                </c:ext>
                <c:ext xmlns:c16="http://schemas.microsoft.com/office/drawing/2014/chart" uri="{C3380CC4-5D6E-409C-BE32-E72D297353CC}">
                  <c16:uniqueId val="{00000007-19D0-4874-A0F6-AC4DF4A2A096}"/>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Tech'!$W$150:$AE$150</c:f>
              <c:numCache>
                <c:formatCode>General</c:formatCode>
                <c:ptCount val="9"/>
                <c:pt idx="0">
                  <c:v>10</c:v>
                </c:pt>
                <c:pt idx="1">
                  <c:v>10</c:v>
                </c:pt>
                <c:pt idx="2">
                  <c:v>8</c:v>
                </c:pt>
                <c:pt idx="3">
                  <c:v>8</c:v>
                </c:pt>
                <c:pt idx="4">
                  <c:v>8</c:v>
                </c:pt>
                <c:pt idx="5">
                  <c:v>8</c:v>
                </c:pt>
                <c:pt idx="6">
                  <c:v>7</c:v>
                </c:pt>
                <c:pt idx="7">
                  <c:v>7</c:v>
                </c:pt>
                <c:pt idx="8">
                  <c:v>7</c:v>
                </c:pt>
              </c:numCache>
            </c:numRef>
          </c:val>
          <c:smooth val="0"/>
          <c:extLst>
            <c:ext xmlns:c16="http://schemas.microsoft.com/office/drawing/2014/chart" uri="{C3380CC4-5D6E-409C-BE32-E72D297353CC}">
              <c16:uniqueId val="{00000008-19D0-4874-A0F6-AC4DF4A2A096}"/>
            </c:ext>
          </c:extLst>
        </c:ser>
        <c:ser>
          <c:idx val="1"/>
          <c:order val="1"/>
          <c:tx>
            <c:strRef>
              <c:f>'Ch4. Grants leading Tech'!$V$151</c:f>
              <c:strCache>
                <c:ptCount val="1"/>
                <c:pt idx="0">
                  <c:v>Engines, pumps, turbines</c:v>
                </c:pt>
              </c:strCache>
            </c:strRef>
          </c:tx>
          <c:spPr>
            <a:ln w="28575" cap="rnd" cmpd="sng" algn="ctr">
              <a:solidFill>
                <a:schemeClr val="accent2"/>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0A-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0B-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0C-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0D-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0E-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0F-19D0-4874-A0F6-AC4DF4A2A096}"/>
                </c:ext>
              </c:extLst>
            </c:dLbl>
            <c:dLbl>
              <c:idx val="7"/>
              <c:layout>
                <c:manualLayout>
                  <c:x val="8.4628005216562857E-2"/>
                  <c:y val="-5.9498172734595359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3980091955730801"/>
                      <c:h val="9.5544481502914294E-2"/>
                    </c:manualLayout>
                  </c15:layout>
                </c:ext>
                <c:ext xmlns:c16="http://schemas.microsoft.com/office/drawing/2014/chart" uri="{C3380CC4-5D6E-409C-BE32-E72D297353CC}">
                  <c16:uniqueId val="{00000010-19D0-4874-A0F6-AC4DF4A2A096}"/>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Tech'!$W$151:$AE$151</c:f>
              <c:numCache>
                <c:formatCode>General</c:formatCode>
                <c:ptCount val="9"/>
                <c:pt idx="0">
                  <c:v>7</c:v>
                </c:pt>
                <c:pt idx="1">
                  <c:v>7</c:v>
                </c:pt>
                <c:pt idx="2">
                  <c:v>7</c:v>
                </c:pt>
                <c:pt idx="3">
                  <c:v>7</c:v>
                </c:pt>
                <c:pt idx="4">
                  <c:v>7</c:v>
                </c:pt>
                <c:pt idx="5">
                  <c:v>7</c:v>
                </c:pt>
                <c:pt idx="6">
                  <c:v>8</c:v>
                </c:pt>
                <c:pt idx="7">
                  <c:v>9</c:v>
                </c:pt>
                <c:pt idx="8">
                  <c:v>8</c:v>
                </c:pt>
              </c:numCache>
            </c:numRef>
          </c:val>
          <c:smooth val="0"/>
          <c:extLst>
            <c:ext xmlns:c16="http://schemas.microsoft.com/office/drawing/2014/chart" uri="{C3380CC4-5D6E-409C-BE32-E72D297353CC}">
              <c16:uniqueId val="{00000011-19D0-4874-A0F6-AC4DF4A2A096}"/>
            </c:ext>
          </c:extLst>
        </c:ser>
        <c:ser>
          <c:idx val="2"/>
          <c:order val="2"/>
          <c:tx>
            <c:strRef>
              <c:f>'Ch4. Grants leading Tech'!$V$152</c:f>
              <c:strCache>
                <c:ptCount val="1"/>
                <c:pt idx="0">
                  <c:v>Civil engineering</c:v>
                </c:pt>
              </c:strCache>
            </c:strRef>
          </c:tx>
          <c:spPr>
            <a:ln w="28575" cap="rnd" cmpd="sng" algn="ctr">
              <a:solidFill>
                <a:schemeClr val="accent3"/>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13-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14-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15-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16-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17-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18-19D0-4874-A0F6-AC4DF4A2A096}"/>
                </c:ext>
              </c:extLst>
            </c:dLbl>
            <c:dLbl>
              <c:idx val="7"/>
              <c:layout>
                <c:manualLayout>
                  <c:x val="9.2528419276976206E-2"/>
                  <c:y val="7.933089697946048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19D0-4874-A0F6-AC4DF4A2A096}"/>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Tech'!$W$152:$AE$152</c:f>
              <c:numCache>
                <c:formatCode>General</c:formatCode>
                <c:ptCount val="9"/>
                <c:pt idx="0">
                  <c:v>9</c:v>
                </c:pt>
                <c:pt idx="1">
                  <c:v>9</c:v>
                </c:pt>
                <c:pt idx="2">
                  <c:v>11</c:v>
                </c:pt>
                <c:pt idx="3">
                  <c:v>10</c:v>
                </c:pt>
                <c:pt idx="4">
                  <c:v>9</c:v>
                </c:pt>
                <c:pt idx="5">
                  <c:v>11</c:v>
                </c:pt>
                <c:pt idx="6">
                  <c:v>9</c:v>
                </c:pt>
                <c:pt idx="7">
                  <c:v>8</c:v>
                </c:pt>
                <c:pt idx="8">
                  <c:v>9</c:v>
                </c:pt>
              </c:numCache>
            </c:numRef>
          </c:val>
          <c:smooth val="0"/>
          <c:extLst>
            <c:ext xmlns:c16="http://schemas.microsoft.com/office/drawing/2014/chart" uri="{C3380CC4-5D6E-409C-BE32-E72D297353CC}">
              <c16:uniqueId val="{0000001A-19D0-4874-A0F6-AC4DF4A2A096}"/>
            </c:ext>
          </c:extLst>
        </c:ser>
        <c:ser>
          <c:idx val="3"/>
          <c:order val="3"/>
          <c:tx>
            <c:strRef>
              <c:f>'Ch4. Grants leading Tech'!$V$153</c:f>
              <c:strCache>
                <c:ptCount val="1"/>
                <c:pt idx="0">
                  <c:v>Measurement</c:v>
                </c:pt>
              </c:strCache>
            </c:strRef>
          </c:tx>
          <c:spPr>
            <a:ln w="28575" cap="rnd" cmpd="sng" algn="ctr">
              <a:solidFill>
                <a:schemeClr val="accent4"/>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1C-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1D-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1E-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1F-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20-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21-19D0-4874-A0F6-AC4DF4A2A096}"/>
                </c:ext>
              </c:extLst>
            </c:dLbl>
            <c:dLbl>
              <c:idx val="7"/>
              <c:layout>
                <c:manualLayout>
                  <c:x val="9.2528419276976206E-2"/>
                  <c:y val="-7.13978072815144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19D0-4874-A0F6-AC4DF4A2A096}"/>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Tech'!$W$153:$AE$153</c:f>
              <c:numCache>
                <c:formatCode>General</c:formatCode>
                <c:ptCount val="9"/>
                <c:pt idx="0">
                  <c:v>5</c:v>
                </c:pt>
                <c:pt idx="1">
                  <c:v>5</c:v>
                </c:pt>
                <c:pt idx="2">
                  <c:v>6</c:v>
                </c:pt>
                <c:pt idx="3">
                  <c:v>6</c:v>
                </c:pt>
                <c:pt idx="4">
                  <c:v>6</c:v>
                </c:pt>
                <c:pt idx="5">
                  <c:v>6</c:v>
                </c:pt>
                <c:pt idx="6">
                  <c:v>6</c:v>
                </c:pt>
                <c:pt idx="7">
                  <c:v>5</c:v>
                </c:pt>
                <c:pt idx="8">
                  <c:v>4</c:v>
                </c:pt>
              </c:numCache>
            </c:numRef>
          </c:val>
          <c:smooth val="0"/>
          <c:extLst>
            <c:ext xmlns:c16="http://schemas.microsoft.com/office/drawing/2014/chart" uri="{C3380CC4-5D6E-409C-BE32-E72D297353CC}">
              <c16:uniqueId val="{00000023-19D0-4874-A0F6-AC4DF4A2A096}"/>
            </c:ext>
          </c:extLst>
        </c:ser>
        <c:ser>
          <c:idx val="4"/>
          <c:order val="4"/>
          <c:tx>
            <c:strRef>
              <c:f>'Ch4. Grants leading Tech'!$V$154</c:f>
              <c:strCache>
                <c:ptCount val="1"/>
                <c:pt idx="0">
                  <c:v>Computer technology</c:v>
                </c:pt>
              </c:strCache>
            </c:strRef>
          </c:tx>
          <c:spPr>
            <a:ln w="28575" cap="rnd" cmpd="sng" algn="ctr">
              <a:solidFill>
                <a:schemeClr val="accent5"/>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25-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26-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27-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28-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29-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2A-19D0-4874-A0F6-AC4DF4A2A096}"/>
                </c:ext>
              </c:extLst>
            </c:dLbl>
            <c:dLbl>
              <c:idx val="7"/>
              <c:layout>
                <c:manualLayout>
                  <c:x val="9.2528419276976206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B-19D0-4874-A0F6-AC4DF4A2A096}"/>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Tech'!$W$154:$AE$154</c:f>
              <c:numCache>
                <c:formatCode>General</c:formatCode>
                <c:ptCount val="9"/>
                <c:pt idx="0">
                  <c:v>6</c:v>
                </c:pt>
                <c:pt idx="1">
                  <c:v>6</c:v>
                </c:pt>
                <c:pt idx="2">
                  <c:v>5</c:v>
                </c:pt>
                <c:pt idx="3">
                  <c:v>5</c:v>
                </c:pt>
                <c:pt idx="4">
                  <c:v>5</c:v>
                </c:pt>
                <c:pt idx="5">
                  <c:v>5</c:v>
                </c:pt>
                <c:pt idx="6">
                  <c:v>5</c:v>
                </c:pt>
                <c:pt idx="7">
                  <c:v>3</c:v>
                </c:pt>
                <c:pt idx="8">
                  <c:v>3</c:v>
                </c:pt>
              </c:numCache>
            </c:numRef>
          </c:val>
          <c:smooth val="0"/>
          <c:extLst>
            <c:ext xmlns:c16="http://schemas.microsoft.com/office/drawing/2014/chart" uri="{C3380CC4-5D6E-409C-BE32-E72D297353CC}">
              <c16:uniqueId val="{0000002C-19D0-4874-A0F6-AC4DF4A2A096}"/>
            </c:ext>
          </c:extLst>
        </c:ser>
        <c:ser>
          <c:idx val="5"/>
          <c:order val="5"/>
          <c:tx>
            <c:strRef>
              <c:f>'Ch4. Grants leading Tech'!$V$155</c:f>
              <c:strCache>
                <c:ptCount val="1"/>
                <c:pt idx="0">
                  <c:v>Organic fine chemistry</c:v>
                </c:pt>
              </c:strCache>
            </c:strRef>
          </c:tx>
          <c:spPr>
            <a:ln w="28575" cap="rnd" cmpd="sng" algn="ctr">
              <a:solidFill>
                <a:schemeClr val="accent6"/>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2E-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2F-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30-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31-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32-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33-19D0-4874-A0F6-AC4DF4A2A096}"/>
                </c:ext>
              </c:extLst>
            </c:dLbl>
            <c:dLbl>
              <c:idx val="7"/>
              <c:delete val="1"/>
              <c:extLst>
                <c:ext xmlns:c15="http://schemas.microsoft.com/office/drawing/2012/chart" uri="{CE6537A1-D6FC-4f65-9D91-7224C49458BB}"/>
                <c:ext xmlns:c16="http://schemas.microsoft.com/office/drawing/2014/chart" uri="{C3380CC4-5D6E-409C-BE32-E72D297353CC}">
                  <c16:uniqueId val="{00000034-19D0-4874-A0F6-AC4DF4A2A096}"/>
                </c:ext>
              </c:extLst>
            </c:dLbl>
            <c:spPr>
              <a:noFill/>
              <a:ln>
                <a:noFill/>
              </a:ln>
              <a:effectLst/>
            </c:spPr>
            <c:txPr>
              <a:bodyPr rot="0" spcFirstLastPara="1" vertOverflow="ellipsis" vert="horz" wrap="square" lIns="38100" tIns="19050" rIns="38100" bIns="19050" anchor="ctr" anchorCtr="1"/>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Tech'!$W$155:$AE$155</c:f>
              <c:numCache>
                <c:formatCode>General</c:formatCode>
                <c:ptCount val="9"/>
                <c:pt idx="0">
                  <c:v>8</c:v>
                </c:pt>
                <c:pt idx="1">
                  <c:v>8</c:v>
                </c:pt>
                <c:pt idx="2">
                  <c:v>9</c:v>
                </c:pt>
                <c:pt idx="3">
                  <c:v>11</c:v>
                </c:pt>
                <c:pt idx="4">
                  <c:v>11</c:v>
                </c:pt>
                <c:pt idx="5">
                  <c:v>9</c:v>
                </c:pt>
                <c:pt idx="6">
                  <c:v>11</c:v>
                </c:pt>
                <c:pt idx="7">
                  <c:v>11</c:v>
                </c:pt>
                <c:pt idx="8">
                  <c:v>11</c:v>
                </c:pt>
              </c:numCache>
            </c:numRef>
          </c:val>
          <c:smooth val="0"/>
          <c:extLst>
            <c:ext xmlns:c16="http://schemas.microsoft.com/office/drawing/2014/chart" uri="{C3380CC4-5D6E-409C-BE32-E72D297353CC}">
              <c16:uniqueId val="{00000035-19D0-4874-A0F6-AC4DF4A2A096}"/>
            </c:ext>
          </c:extLst>
        </c:ser>
        <c:ser>
          <c:idx val="6"/>
          <c:order val="6"/>
          <c:tx>
            <c:strRef>
              <c:f>'Ch4. Grants leading Tech'!$V$156</c:f>
              <c:strCache>
                <c:ptCount val="1"/>
                <c:pt idx="0">
                  <c:v>Transport</c:v>
                </c:pt>
              </c:strCache>
            </c:strRef>
          </c:tx>
          <c:spPr>
            <a:ln w="28575" cap="rnd" cmpd="sng" algn="ctr">
              <a:solidFill>
                <a:schemeClr val="accent1">
                  <a:lumMod val="60000"/>
                </a:schemeClr>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37-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38-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39-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3A-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3B-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3C-19D0-4874-A0F6-AC4DF4A2A096}"/>
                </c:ext>
              </c:extLst>
            </c:dLbl>
            <c:dLbl>
              <c:idx val="7"/>
              <c:layout>
                <c:manualLayout>
                  <c:x val="9.0559729505125641E-2"/>
                  <c:y val="6.743126243254141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D-19D0-4874-A0F6-AC4DF4A2A096}"/>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Tech'!$W$156:$AE$156</c:f>
              <c:numCache>
                <c:formatCode>General</c:formatCode>
                <c:ptCount val="9"/>
                <c:pt idx="0">
                  <c:v>4</c:v>
                </c:pt>
                <c:pt idx="1">
                  <c:v>4</c:v>
                </c:pt>
                <c:pt idx="2">
                  <c:v>4</c:v>
                </c:pt>
                <c:pt idx="3">
                  <c:v>4</c:v>
                </c:pt>
                <c:pt idx="4">
                  <c:v>4</c:v>
                </c:pt>
                <c:pt idx="5">
                  <c:v>3</c:v>
                </c:pt>
                <c:pt idx="6">
                  <c:v>3</c:v>
                </c:pt>
                <c:pt idx="7">
                  <c:v>4</c:v>
                </c:pt>
                <c:pt idx="8">
                  <c:v>5</c:v>
                </c:pt>
              </c:numCache>
            </c:numRef>
          </c:val>
          <c:smooth val="0"/>
          <c:extLst>
            <c:ext xmlns:c16="http://schemas.microsoft.com/office/drawing/2014/chart" uri="{C3380CC4-5D6E-409C-BE32-E72D297353CC}">
              <c16:uniqueId val="{0000003E-19D0-4874-A0F6-AC4DF4A2A096}"/>
            </c:ext>
          </c:extLst>
        </c:ser>
        <c:ser>
          <c:idx val="7"/>
          <c:order val="7"/>
          <c:tx>
            <c:strRef>
              <c:f>'Ch4. Grants leading Tech'!$V$157</c:f>
              <c:strCache>
                <c:ptCount val="1"/>
                <c:pt idx="0">
                  <c:v>Electrical machinery, apparatus, energy</c:v>
                </c:pt>
              </c:strCache>
            </c:strRef>
          </c:tx>
          <c:spPr>
            <a:ln w="28575" cap="rnd" cmpd="sng" algn="ctr">
              <a:solidFill>
                <a:schemeClr val="accent2">
                  <a:lumMod val="60000"/>
                </a:schemeClr>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40-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41-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42-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43-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44-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45-19D0-4874-A0F6-AC4DF4A2A096}"/>
                </c:ext>
              </c:extLst>
            </c:dLbl>
            <c:dLbl>
              <c:idx val="7"/>
              <c:layout>
                <c:manualLayout>
                  <c:x val="9.0559729505125641E-2"/>
                  <c:y val="-7.2719148840026009E-1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6-19D0-4874-A0F6-AC4DF4A2A096}"/>
                </c:ext>
              </c:extLst>
            </c:dLbl>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Tech'!$W$157:$AE$157</c:f>
              <c:numCache>
                <c:formatCode>General</c:formatCode>
                <c:ptCount val="9"/>
                <c:pt idx="0">
                  <c:v>2</c:v>
                </c:pt>
                <c:pt idx="1">
                  <c:v>2</c:v>
                </c:pt>
                <c:pt idx="2">
                  <c:v>3</c:v>
                </c:pt>
                <c:pt idx="3">
                  <c:v>3</c:v>
                </c:pt>
                <c:pt idx="4">
                  <c:v>3</c:v>
                </c:pt>
                <c:pt idx="5">
                  <c:v>4</c:v>
                </c:pt>
                <c:pt idx="6">
                  <c:v>4</c:v>
                </c:pt>
                <c:pt idx="7">
                  <c:v>6</c:v>
                </c:pt>
                <c:pt idx="8">
                  <c:v>6</c:v>
                </c:pt>
              </c:numCache>
            </c:numRef>
          </c:val>
          <c:smooth val="0"/>
          <c:extLst>
            <c:ext xmlns:c16="http://schemas.microsoft.com/office/drawing/2014/chart" uri="{C3380CC4-5D6E-409C-BE32-E72D297353CC}">
              <c16:uniqueId val="{00000047-19D0-4874-A0F6-AC4DF4A2A096}"/>
            </c:ext>
          </c:extLst>
        </c:ser>
        <c:ser>
          <c:idx val="8"/>
          <c:order val="8"/>
          <c:tx>
            <c:strRef>
              <c:f>'Ch4. Grants leading Tech'!$V$158</c:f>
              <c:strCache>
                <c:ptCount val="1"/>
                <c:pt idx="0">
                  <c:v>Mechanical elements</c:v>
                </c:pt>
              </c:strCache>
            </c:strRef>
          </c:tx>
          <c:spPr>
            <a:ln w="28575" cap="rnd" cmpd="sng" algn="ctr">
              <a:solidFill>
                <a:schemeClr val="accent3">
                  <a:lumMod val="60000"/>
                </a:schemeClr>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48-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49-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4A-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4B-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4C-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4D-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4E-19D0-4874-A0F6-AC4DF4A2A096}"/>
                </c:ext>
              </c:extLst>
            </c:dLbl>
            <c:dLbl>
              <c:idx val="7"/>
              <c:layout>
                <c:manualLayout>
                  <c:x val="9.4481297524674893E-2"/>
                  <c:y val="1.0712794355887774E-3"/>
                </c:manualLayout>
              </c:layout>
              <c:spPr>
                <a:noFill/>
                <a:ln>
                  <a:noFill/>
                </a:ln>
                <a:effectLst/>
              </c:spPr>
              <c:txPr>
                <a:bodyPr rot="0" spcFirstLastPara="1" vertOverflow="ellipsis" vert="horz" wrap="square" lIns="38100" tIns="19050" rIns="38100" bIns="19050" anchor="ctr" anchorCtr="1"/>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F-19D0-4874-A0F6-AC4DF4A2A096}"/>
                </c:ext>
              </c:extLst>
            </c:dLbl>
            <c:spPr>
              <a:noFill/>
              <a:ln>
                <a:noFill/>
              </a:ln>
              <a:effectLst/>
            </c:spPr>
            <c:txPr>
              <a:bodyPr rot="0" spcFirstLastPara="1" vertOverflow="ellipsis" vert="horz" wrap="square" lIns="38100" tIns="19050" rIns="38100" bIns="19050" anchor="ctr" anchorCtr="1"/>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Tech'!$W$158:$AE$158</c:f>
              <c:numCache>
                <c:formatCode>General</c:formatCode>
                <c:ptCount val="9"/>
                <c:pt idx="0">
                  <c:v>11</c:v>
                </c:pt>
                <c:pt idx="1">
                  <c:v>11</c:v>
                </c:pt>
                <c:pt idx="2">
                  <c:v>11</c:v>
                </c:pt>
                <c:pt idx="3">
                  <c:v>11</c:v>
                </c:pt>
                <c:pt idx="4">
                  <c:v>10</c:v>
                </c:pt>
                <c:pt idx="5">
                  <c:v>11</c:v>
                </c:pt>
                <c:pt idx="6">
                  <c:v>10</c:v>
                </c:pt>
                <c:pt idx="7">
                  <c:v>11</c:v>
                </c:pt>
                <c:pt idx="8">
                  <c:v>11</c:v>
                </c:pt>
              </c:numCache>
            </c:numRef>
          </c:val>
          <c:smooth val="0"/>
          <c:extLst>
            <c:ext xmlns:c16="http://schemas.microsoft.com/office/drawing/2014/chart" uri="{C3380CC4-5D6E-409C-BE32-E72D297353CC}">
              <c16:uniqueId val="{00000050-19D0-4874-A0F6-AC4DF4A2A096}"/>
            </c:ext>
          </c:extLst>
        </c:ser>
        <c:ser>
          <c:idx val="9"/>
          <c:order val="9"/>
          <c:tx>
            <c:strRef>
              <c:f>'Ch4. Grants leading Tech'!$V$159</c:f>
              <c:strCache>
                <c:ptCount val="1"/>
                <c:pt idx="0">
                  <c:v>Telecommunications</c:v>
                </c:pt>
              </c:strCache>
            </c:strRef>
          </c:tx>
          <c:spPr>
            <a:ln w="28575" cap="rnd" cmpd="sng" algn="ctr">
              <a:solidFill>
                <a:schemeClr val="accent4">
                  <a:lumMod val="60000"/>
                </a:schemeClr>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1-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52-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53-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54-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55-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56-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57-19D0-4874-A0F6-AC4DF4A2A096}"/>
                </c:ext>
              </c:extLst>
            </c:dLbl>
            <c:dLbl>
              <c:idx val="7"/>
              <c:layout>
                <c:manualLayout>
                  <c:x val="9.2508732379257705E-2"/>
                  <c:y val="3.430905131178620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8-19D0-4874-A0F6-AC4DF4A2A096}"/>
                </c:ext>
              </c:extLst>
            </c:dLbl>
            <c:spPr>
              <a:noFill/>
              <a:ln>
                <a:noFill/>
              </a:ln>
              <a:effectLst/>
            </c:spPr>
            <c:txPr>
              <a:bodyPr rot="0" spcFirstLastPara="1" vertOverflow="ellipsis" vert="horz" wrap="square" lIns="38100" tIns="19050" rIns="38100" bIns="19050" anchor="ctr" anchorCtr="0"/>
              <a:lstStyle/>
              <a:p>
                <a:pPr algn="l">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Tech'!$W$159:$AE$159</c:f>
              <c:numCache>
                <c:formatCode>General</c:formatCode>
                <c:ptCount val="9"/>
                <c:pt idx="0">
                  <c:v>11</c:v>
                </c:pt>
                <c:pt idx="1">
                  <c:v>11</c:v>
                </c:pt>
                <c:pt idx="2">
                  <c:v>10</c:v>
                </c:pt>
                <c:pt idx="3">
                  <c:v>9</c:v>
                </c:pt>
                <c:pt idx="4">
                  <c:v>11</c:v>
                </c:pt>
                <c:pt idx="5">
                  <c:v>11</c:v>
                </c:pt>
                <c:pt idx="6">
                  <c:v>11</c:v>
                </c:pt>
                <c:pt idx="7">
                  <c:v>11</c:v>
                </c:pt>
                <c:pt idx="8">
                  <c:v>11</c:v>
                </c:pt>
              </c:numCache>
            </c:numRef>
          </c:val>
          <c:smooth val="0"/>
          <c:extLst>
            <c:ext xmlns:c16="http://schemas.microsoft.com/office/drawing/2014/chart" uri="{C3380CC4-5D6E-409C-BE32-E72D297353CC}">
              <c16:uniqueId val="{00000059-19D0-4874-A0F6-AC4DF4A2A096}"/>
            </c:ext>
          </c:extLst>
        </c:ser>
        <c:ser>
          <c:idx val="10"/>
          <c:order val="10"/>
          <c:tx>
            <c:strRef>
              <c:f>'Ch4. Grants leading Tech'!$V$160</c:f>
              <c:strCache>
                <c:ptCount val="1"/>
                <c:pt idx="0">
                  <c:v>Digital communication</c:v>
                </c:pt>
              </c:strCache>
            </c:strRef>
          </c:tx>
          <c:spPr>
            <a:ln w="28575" cap="rnd" cmpd="sng" algn="ctr">
              <a:solidFill>
                <a:schemeClr val="accent5">
                  <a:lumMod val="60000"/>
                </a:schemeClr>
              </a:solidFill>
              <a:prstDash val="solid"/>
              <a:round/>
            </a:ln>
            <a:effectLst/>
          </c:spPr>
          <c:marker>
            <c:symbol val="none"/>
          </c:marker>
          <c:dLbls>
            <c:dLbl>
              <c:idx val="0"/>
              <c:layout>
                <c:manualLayout>
                  <c:x val="-4.6337731609929947E-2"/>
                  <c:y val="-1.64307867662304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5B-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5C-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5D-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5E-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5F-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60-19D0-4874-A0F6-AC4DF4A2A096}"/>
                </c:ext>
              </c:extLst>
            </c:dLbl>
            <c:dLbl>
              <c:idx val="7"/>
              <c:layout>
                <c:manualLayout>
                  <c:x val="7.8701318913636534E-2"/>
                  <c:y val="0"/>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15:layout>
                    <c:manualLayout>
                      <c:w val="0.23022783156773799"/>
                      <c:h val="9.5544481502914294E-2"/>
                    </c:manualLayout>
                  </c15:layout>
                </c:ext>
                <c:ext xmlns:c16="http://schemas.microsoft.com/office/drawing/2014/chart" uri="{C3380CC4-5D6E-409C-BE32-E72D297353CC}">
                  <c16:uniqueId val="{00000061-19D0-4874-A0F6-AC4DF4A2A096}"/>
                </c:ext>
              </c:extLst>
            </c:dLbl>
            <c:spPr>
              <a:noFill/>
              <a:ln>
                <a:noFill/>
              </a:ln>
              <a:effectLst/>
            </c:spPr>
            <c:txPr>
              <a:bodyPr rot="0" spcFirstLastPara="1" vertOverflow="ellipsis" vert="horz" wrap="square" lIns="38100" tIns="19050" rIns="91440" bIns="19050" anchor="ctr" anchorCtr="0"/>
              <a:lstStyle/>
              <a:p>
                <a:pPr algn="l">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prstDash val="solid"/>
                      <a:round/>
                    </a:ln>
                    <a:effectLst/>
                  </c:spPr>
                </c15:leaderLines>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Tech'!$W$160:$AE$160</c:f>
              <c:numCache>
                <c:formatCode>General</c:formatCode>
                <c:ptCount val="9"/>
                <c:pt idx="0">
                  <c:v>3</c:v>
                </c:pt>
                <c:pt idx="1">
                  <c:v>3</c:v>
                </c:pt>
                <c:pt idx="2">
                  <c:v>1</c:v>
                </c:pt>
                <c:pt idx="3">
                  <c:v>1</c:v>
                </c:pt>
                <c:pt idx="4">
                  <c:v>1</c:v>
                </c:pt>
                <c:pt idx="5">
                  <c:v>1</c:v>
                </c:pt>
                <c:pt idx="6">
                  <c:v>1</c:v>
                </c:pt>
                <c:pt idx="7">
                  <c:v>2</c:v>
                </c:pt>
                <c:pt idx="8">
                  <c:v>2</c:v>
                </c:pt>
              </c:numCache>
            </c:numRef>
          </c:val>
          <c:smooth val="0"/>
          <c:extLst>
            <c:ext xmlns:c16="http://schemas.microsoft.com/office/drawing/2014/chart" uri="{C3380CC4-5D6E-409C-BE32-E72D297353CC}">
              <c16:uniqueId val="{00000062-19D0-4874-A0F6-AC4DF4A2A096}"/>
            </c:ext>
          </c:extLst>
        </c:ser>
        <c:ser>
          <c:idx val="11"/>
          <c:order val="11"/>
          <c:tx>
            <c:strRef>
              <c:f>'Ch4. Grants leading Tech'!$V$161</c:f>
              <c:strCache>
                <c:ptCount val="1"/>
                <c:pt idx="0">
                  <c:v>Medical technology</c:v>
                </c:pt>
              </c:strCache>
            </c:strRef>
          </c:tx>
          <c:spPr>
            <a:ln w="28575" cap="rnd" cmpd="sng" algn="ctr">
              <a:solidFill>
                <a:schemeClr val="accent6">
                  <a:lumMod val="60000"/>
                </a:schemeClr>
              </a:solidFill>
              <a:prstDash val="solid"/>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64-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65-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66-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67-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68-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69-19D0-4874-A0F6-AC4DF4A2A096}"/>
                </c:ext>
              </c:extLst>
            </c:dLbl>
            <c:dLbl>
              <c:idx val="7"/>
              <c:layout>
                <c:manualLayout>
                  <c:x val="9.4497109048826619E-2"/>
                  <c:y val="-3.9665448489730245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A-19D0-4874-A0F6-AC4DF4A2A096}"/>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Tech'!$W$161:$AE$161</c:f>
              <c:numCache>
                <c:formatCode>General</c:formatCode>
                <c:ptCount val="9"/>
                <c:pt idx="0">
                  <c:v>1</c:v>
                </c:pt>
                <c:pt idx="1">
                  <c:v>1</c:v>
                </c:pt>
                <c:pt idx="2">
                  <c:v>2</c:v>
                </c:pt>
                <c:pt idx="3">
                  <c:v>2</c:v>
                </c:pt>
                <c:pt idx="4">
                  <c:v>2</c:v>
                </c:pt>
                <c:pt idx="5">
                  <c:v>2</c:v>
                </c:pt>
                <c:pt idx="6">
                  <c:v>2</c:v>
                </c:pt>
                <c:pt idx="7">
                  <c:v>1</c:v>
                </c:pt>
                <c:pt idx="8">
                  <c:v>1</c:v>
                </c:pt>
              </c:numCache>
            </c:numRef>
          </c:val>
          <c:smooth val="0"/>
          <c:extLst>
            <c:ext xmlns:c16="http://schemas.microsoft.com/office/drawing/2014/chart" uri="{C3380CC4-5D6E-409C-BE32-E72D297353CC}">
              <c16:uniqueId val="{0000006B-19D0-4874-A0F6-AC4DF4A2A096}"/>
            </c:ext>
          </c:extLst>
        </c:ser>
        <c:ser>
          <c:idx val="12"/>
          <c:order val="12"/>
          <c:tx>
            <c:strRef>
              <c:f>'Ch4. Grants leading Tech'!$V$162</c:f>
              <c:strCache>
                <c:ptCount val="1"/>
                <c:pt idx="0">
                  <c:v>Handling</c:v>
                </c:pt>
              </c:strCache>
            </c:strRef>
          </c:tx>
          <c:spPr>
            <a:ln w="28575" cap="rnd" cmpd="sng" algn="ctr">
              <a:solidFill>
                <a:schemeClr val="accent1">
                  <a:lumMod val="80000"/>
                  <a:lumOff val="20000"/>
                </a:schemeClr>
              </a:solidFill>
              <a:prstDash val="solid"/>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6C-19D0-4874-A0F6-AC4DF4A2A096}"/>
                </c:ext>
              </c:extLst>
            </c:dLbl>
            <c:dLbl>
              <c:idx val="1"/>
              <c:delete val="1"/>
              <c:extLst>
                <c:ext xmlns:c15="http://schemas.microsoft.com/office/drawing/2012/chart" uri="{CE6537A1-D6FC-4f65-9D91-7224C49458BB}"/>
                <c:ext xmlns:c16="http://schemas.microsoft.com/office/drawing/2014/chart" uri="{C3380CC4-5D6E-409C-BE32-E72D297353CC}">
                  <c16:uniqueId val="{0000006D-19D0-4874-A0F6-AC4DF4A2A096}"/>
                </c:ext>
              </c:extLst>
            </c:dLbl>
            <c:dLbl>
              <c:idx val="2"/>
              <c:delete val="1"/>
              <c:extLst>
                <c:ext xmlns:c15="http://schemas.microsoft.com/office/drawing/2012/chart" uri="{CE6537A1-D6FC-4f65-9D91-7224C49458BB}"/>
                <c:ext xmlns:c16="http://schemas.microsoft.com/office/drawing/2014/chart" uri="{C3380CC4-5D6E-409C-BE32-E72D297353CC}">
                  <c16:uniqueId val="{0000006E-19D0-4874-A0F6-AC4DF4A2A096}"/>
                </c:ext>
              </c:extLst>
            </c:dLbl>
            <c:dLbl>
              <c:idx val="3"/>
              <c:delete val="1"/>
              <c:extLst>
                <c:ext xmlns:c15="http://schemas.microsoft.com/office/drawing/2012/chart" uri="{CE6537A1-D6FC-4f65-9D91-7224C49458BB}"/>
                <c:ext xmlns:c16="http://schemas.microsoft.com/office/drawing/2014/chart" uri="{C3380CC4-5D6E-409C-BE32-E72D297353CC}">
                  <c16:uniqueId val="{0000006F-19D0-4874-A0F6-AC4DF4A2A096}"/>
                </c:ext>
              </c:extLst>
            </c:dLbl>
            <c:dLbl>
              <c:idx val="4"/>
              <c:delete val="1"/>
              <c:extLst>
                <c:ext xmlns:c15="http://schemas.microsoft.com/office/drawing/2012/chart" uri="{CE6537A1-D6FC-4f65-9D91-7224C49458BB}"/>
                <c:ext xmlns:c16="http://schemas.microsoft.com/office/drawing/2014/chart" uri="{C3380CC4-5D6E-409C-BE32-E72D297353CC}">
                  <c16:uniqueId val="{00000070-19D0-4874-A0F6-AC4DF4A2A096}"/>
                </c:ext>
              </c:extLst>
            </c:dLbl>
            <c:dLbl>
              <c:idx val="5"/>
              <c:delete val="1"/>
              <c:extLst>
                <c:ext xmlns:c15="http://schemas.microsoft.com/office/drawing/2012/chart" uri="{CE6537A1-D6FC-4f65-9D91-7224C49458BB}"/>
                <c:ext xmlns:c16="http://schemas.microsoft.com/office/drawing/2014/chart" uri="{C3380CC4-5D6E-409C-BE32-E72D297353CC}">
                  <c16:uniqueId val="{00000071-19D0-4874-A0F6-AC4DF4A2A096}"/>
                </c:ext>
              </c:extLst>
            </c:dLbl>
            <c:dLbl>
              <c:idx val="6"/>
              <c:delete val="1"/>
              <c:extLst>
                <c:ext xmlns:c15="http://schemas.microsoft.com/office/drawing/2012/chart" uri="{CE6537A1-D6FC-4f65-9D91-7224C49458BB}"/>
                <c:ext xmlns:c16="http://schemas.microsoft.com/office/drawing/2014/chart" uri="{C3380CC4-5D6E-409C-BE32-E72D297353CC}">
                  <c16:uniqueId val="{00000072-19D0-4874-A0F6-AC4DF4A2A096}"/>
                </c:ext>
              </c:extLst>
            </c:dLbl>
            <c:dLbl>
              <c:idx val="7"/>
              <c:layout>
                <c:manualLayout>
                  <c:x val="9.4497109048826619E-2"/>
                  <c:y val="2.776581394281117E-2"/>
                </c:manualLayout>
              </c:layout>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73-19D0-4874-A0F6-AC4DF4A2A096}"/>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Tech'!$W$149:$AE$149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Tech'!$W$162:$AE$162</c:f>
              <c:numCache>
                <c:formatCode>General</c:formatCode>
                <c:ptCount val="9"/>
                <c:pt idx="0">
                  <c:v>11</c:v>
                </c:pt>
                <c:pt idx="1">
                  <c:v>11</c:v>
                </c:pt>
                <c:pt idx="2">
                  <c:v>11</c:v>
                </c:pt>
                <c:pt idx="3">
                  <c:v>11</c:v>
                </c:pt>
                <c:pt idx="4">
                  <c:v>11</c:v>
                </c:pt>
                <c:pt idx="5">
                  <c:v>11</c:v>
                </c:pt>
                <c:pt idx="6">
                  <c:v>11</c:v>
                </c:pt>
                <c:pt idx="7">
                  <c:v>10</c:v>
                </c:pt>
                <c:pt idx="8">
                  <c:v>11</c:v>
                </c:pt>
              </c:numCache>
            </c:numRef>
          </c:val>
          <c:smooth val="0"/>
          <c:extLst>
            <c:ext xmlns:c16="http://schemas.microsoft.com/office/drawing/2014/chart" uri="{C3380CC4-5D6E-409C-BE32-E72D297353CC}">
              <c16:uniqueId val="{00000074-19D0-4874-A0F6-AC4DF4A2A096}"/>
            </c:ext>
          </c:extLst>
        </c:ser>
        <c:dLbls>
          <c:showLegendKey val="0"/>
          <c:showVal val="0"/>
          <c:showCatName val="0"/>
          <c:showSerName val="0"/>
          <c:showPercent val="0"/>
          <c:showBubbleSize val="0"/>
        </c:dLbls>
        <c:smooth val="0"/>
        <c:axId val="1808648944"/>
        <c:axId val="1808644592"/>
      </c:lineChart>
      <c:catAx>
        <c:axId val="1808648944"/>
        <c:scaling>
          <c:orientation val="minMax"/>
        </c:scaling>
        <c:delete val="0"/>
        <c:axPos val="t"/>
        <c:numFmt formatCode="General" sourceLinked="1"/>
        <c:majorTickMark val="none"/>
        <c:minorTickMark val="none"/>
        <c:tickLblPos val="low"/>
        <c:spPr>
          <a:noFill/>
          <a:ln w="9525" cap="flat" cmpd="sng" algn="ctr">
            <a:noFill/>
            <a:prstDash val="solid"/>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8644592"/>
        <c:crosses val="autoZero"/>
        <c:auto val="1"/>
        <c:lblAlgn val="ctr"/>
        <c:lblOffset val="100"/>
        <c:noMultiLvlLbl val="0"/>
      </c:catAx>
      <c:valAx>
        <c:axId val="1808644592"/>
        <c:scaling>
          <c:orientation val="maxMin"/>
          <c:min val="0"/>
        </c:scaling>
        <c:delete val="0"/>
        <c:axPos val="l"/>
        <c:numFmt formatCode="General" sourceLinked="1"/>
        <c:majorTickMark val="out"/>
        <c:minorTickMark val="none"/>
        <c:tickLblPos val="none"/>
        <c:spPr>
          <a:noFill/>
          <a:ln w="6350" cap="flat" cmpd="sng" algn="ctr">
            <a:noFill/>
            <a:prstDash val="solid"/>
            <a:round/>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8648944"/>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97fd6d87-df22-49e1-9998-9e38b5ab3dd5}"/>
      </c:ext>
    </c:extLst>
  </c:chart>
  <c:spPr>
    <a:solidFill>
      <a:schemeClr val="bg1"/>
    </a:solidFill>
    <a:ln w="9525" cap="flat" cmpd="sng" algn="ctr">
      <a:solidFill>
        <a:schemeClr val="tx1"/>
      </a:solidFill>
      <a:prstDash val="solid"/>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1"/>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JPO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298E-2"/>
          <c:y val="0.18008873548340701"/>
          <c:w val="0.72913381348441697"/>
          <c:h val="0.81297258675998796"/>
        </c:manualLayout>
      </c:layout>
      <c:lineChart>
        <c:grouping val="standard"/>
        <c:varyColors val="0"/>
        <c:ser>
          <c:idx val="0"/>
          <c:order val="0"/>
          <c:tx>
            <c:strRef>
              <c:f>'Ch4. Grants leading Tech'!$AJ$150</c:f>
              <c:strCache>
                <c:ptCount val="1"/>
                <c:pt idx="0">
                  <c:v>Semiconductors</c:v>
                </c:pt>
              </c:strCache>
            </c:strRef>
          </c:tx>
          <c:spPr>
            <a:ln w="28575"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01-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02-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03-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04-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05-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06-C412-4CFD-83A1-144CD6A03822}"/>
                </c:ext>
              </c:extLst>
            </c:dLbl>
            <c:dLbl>
              <c:idx val="7"/>
              <c:layout>
                <c:manualLayout>
                  <c:x val="0.10528775733792005"/>
                  <c:y val="-6.689815058683831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Tech'!$AK$150:$AS$150</c:f>
              <c:numCache>
                <c:formatCode>General</c:formatCode>
                <c:ptCount val="9"/>
                <c:pt idx="0">
                  <c:v>8</c:v>
                </c:pt>
                <c:pt idx="1">
                  <c:v>8</c:v>
                </c:pt>
                <c:pt idx="2">
                  <c:v>8</c:v>
                </c:pt>
                <c:pt idx="3">
                  <c:v>9</c:v>
                </c:pt>
                <c:pt idx="4">
                  <c:v>8</c:v>
                </c:pt>
                <c:pt idx="5">
                  <c:v>10</c:v>
                </c:pt>
                <c:pt idx="6">
                  <c:v>10</c:v>
                </c:pt>
                <c:pt idx="7">
                  <c:v>8</c:v>
                </c:pt>
                <c:pt idx="8">
                  <c:v>7</c:v>
                </c:pt>
              </c:numCache>
            </c:numRef>
          </c:val>
          <c:smooth val="0"/>
          <c:extLst>
            <c:ext xmlns:c16="http://schemas.microsoft.com/office/drawing/2014/chart" uri="{C3380CC4-5D6E-409C-BE32-E72D297353CC}">
              <c16:uniqueId val="{00000008-C412-4CFD-83A1-144CD6A03822}"/>
            </c:ext>
          </c:extLst>
        </c:ser>
        <c:ser>
          <c:idx val="1"/>
          <c:order val="1"/>
          <c:tx>
            <c:strRef>
              <c:f>'Ch4. Grants leading Tech'!$AJ$151</c:f>
              <c:strCache>
                <c:ptCount val="1"/>
                <c:pt idx="0">
                  <c:v>Civil engineering</c:v>
                </c:pt>
              </c:strCache>
            </c:strRef>
          </c:tx>
          <c:spPr>
            <a:ln w="28575"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0A-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0B-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0C-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0D-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0E-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0F-C412-4CFD-83A1-144CD6A03822}"/>
                </c:ext>
              </c:extLst>
            </c:dLbl>
            <c:dLbl>
              <c:idx val="7"/>
              <c:layout>
                <c:manualLayout>
                  <c:x val="0.10528775733792005"/>
                  <c:y val="2.754629730046272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Tech'!$AK$151:$AS$151</c:f>
              <c:numCache>
                <c:formatCode>General</c:formatCode>
                <c:ptCount val="9"/>
                <c:pt idx="0">
                  <c:v>10</c:v>
                </c:pt>
                <c:pt idx="1">
                  <c:v>10</c:v>
                </c:pt>
                <c:pt idx="2">
                  <c:v>10</c:v>
                </c:pt>
                <c:pt idx="3">
                  <c:v>10</c:v>
                </c:pt>
                <c:pt idx="4">
                  <c:v>11</c:v>
                </c:pt>
                <c:pt idx="5">
                  <c:v>8</c:v>
                </c:pt>
                <c:pt idx="6">
                  <c:v>11</c:v>
                </c:pt>
                <c:pt idx="7">
                  <c:v>10</c:v>
                </c:pt>
                <c:pt idx="8">
                  <c:v>11</c:v>
                </c:pt>
              </c:numCache>
            </c:numRef>
          </c:val>
          <c:smooth val="0"/>
          <c:extLst>
            <c:ext xmlns:c16="http://schemas.microsoft.com/office/drawing/2014/chart" uri="{C3380CC4-5D6E-409C-BE32-E72D297353CC}">
              <c16:uniqueId val="{00000011-C412-4CFD-83A1-144CD6A03822}"/>
            </c:ext>
          </c:extLst>
        </c:ser>
        <c:ser>
          <c:idx val="2"/>
          <c:order val="2"/>
          <c:tx>
            <c:strRef>
              <c:f>'Ch4. Grants leading Tech'!$AJ$152</c:f>
              <c:strCache>
                <c:ptCount val="1"/>
                <c:pt idx="0">
                  <c:v>Optics</c:v>
                </c:pt>
              </c:strCache>
            </c:strRef>
          </c:tx>
          <c:spPr>
            <a:ln w="28575"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13-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14-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15-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16-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17-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18-C412-4CFD-83A1-144CD6A03822}"/>
                </c:ext>
              </c:extLst>
            </c:dLbl>
            <c:dLbl>
              <c:idx val="7"/>
              <c:layout>
                <c:manualLayout>
                  <c:x val="0.10528775733792005"/>
                  <c:y val="8.263889190138859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Tech'!$AK$152:$AS$152</c:f>
              <c:numCache>
                <c:formatCode>General</c:formatCode>
                <c:ptCount val="9"/>
                <c:pt idx="0">
                  <c:v>4</c:v>
                </c:pt>
                <c:pt idx="1">
                  <c:v>4</c:v>
                </c:pt>
                <c:pt idx="2">
                  <c:v>7</c:v>
                </c:pt>
                <c:pt idx="3">
                  <c:v>7</c:v>
                </c:pt>
                <c:pt idx="4">
                  <c:v>7</c:v>
                </c:pt>
                <c:pt idx="5">
                  <c:v>7</c:v>
                </c:pt>
                <c:pt idx="6">
                  <c:v>9</c:v>
                </c:pt>
                <c:pt idx="7">
                  <c:v>7</c:v>
                </c:pt>
                <c:pt idx="8">
                  <c:v>8</c:v>
                </c:pt>
              </c:numCache>
            </c:numRef>
          </c:val>
          <c:smooth val="0"/>
          <c:extLst>
            <c:ext xmlns:c16="http://schemas.microsoft.com/office/drawing/2014/chart" uri="{C3380CC4-5D6E-409C-BE32-E72D297353CC}">
              <c16:uniqueId val="{0000001A-C412-4CFD-83A1-144CD6A03822}"/>
            </c:ext>
          </c:extLst>
        </c:ser>
        <c:ser>
          <c:idx val="3"/>
          <c:order val="3"/>
          <c:tx>
            <c:strRef>
              <c:f>'Ch4. Grants leading Tech'!$AJ$153</c:f>
              <c:strCache>
                <c:ptCount val="1"/>
                <c:pt idx="0">
                  <c:v>Audio-visual technology</c:v>
                </c:pt>
              </c:strCache>
            </c:strRef>
          </c:tx>
          <c:spPr>
            <a:ln w="28575"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1C-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1D-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1E-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1F-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20-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21-C412-4CFD-83A1-144CD6A03822}"/>
                </c:ext>
              </c:extLst>
            </c:dLbl>
            <c:dLbl>
              <c:idx val="7"/>
              <c:layout>
                <c:manualLayout>
                  <c:x val="9.0011960038517247E-2"/>
                  <c:y val="2.4747667860442836E-2"/>
                </c:manualLayout>
              </c:layout>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15:layout>
                    <c:manualLayout>
                      <c:w val="0.21572316138141401"/>
                      <c:h val="9.6430976430976395E-2"/>
                    </c:manualLayout>
                  </c15:layout>
                </c:ext>
                <c:ext xmlns:c16="http://schemas.microsoft.com/office/drawing/2014/chart" uri="{C3380CC4-5D6E-409C-BE32-E72D297353CC}">
                  <c16:uniqueId val="{00000022-C412-4CFD-83A1-144CD6A03822}"/>
                </c:ext>
              </c:extLst>
            </c:dLbl>
            <c:dLbl>
              <c:idx val="8"/>
              <c:delete val="1"/>
              <c:extLst>
                <c:ext xmlns:c15="http://schemas.microsoft.com/office/drawing/2012/chart" uri="{CE6537A1-D6FC-4f65-9D91-7224C49458BB}"/>
                <c:ext xmlns:c16="http://schemas.microsoft.com/office/drawing/2014/chart" uri="{C3380CC4-5D6E-409C-BE32-E72D297353CC}">
                  <c16:uniqueId val="{00000003-0A96-4F48-8E67-2D03C6A31B10}"/>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Tech'!$AK$153:$AS$153</c:f>
              <c:numCache>
                <c:formatCode>General</c:formatCode>
                <c:ptCount val="9"/>
                <c:pt idx="0">
                  <c:v>9</c:v>
                </c:pt>
                <c:pt idx="1">
                  <c:v>9</c:v>
                </c:pt>
                <c:pt idx="2">
                  <c:v>9</c:v>
                </c:pt>
                <c:pt idx="3">
                  <c:v>8</c:v>
                </c:pt>
                <c:pt idx="4">
                  <c:v>9</c:v>
                </c:pt>
                <c:pt idx="5">
                  <c:v>11</c:v>
                </c:pt>
                <c:pt idx="6">
                  <c:v>2</c:v>
                </c:pt>
                <c:pt idx="7">
                  <c:v>11</c:v>
                </c:pt>
                <c:pt idx="8">
                  <c:v>11</c:v>
                </c:pt>
              </c:numCache>
            </c:numRef>
          </c:val>
          <c:smooth val="0"/>
          <c:extLst>
            <c:ext xmlns:c16="http://schemas.microsoft.com/office/drawing/2014/chart" uri="{C3380CC4-5D6E-409C-BE32-E72D297353CC}">
              <c16:uniqueId val="{00000023-C412-4CFD-83A1-144CD6A03822}"/>
            </c:ext>
          </c:extLst>
        </c:ser>
        <c:ser>
          <c:idx val="4"/>
          <c:order val="4"/>
          <c:tx>
            <c:strRef>
              <c:f>'Ch4. Grants leading Tech'!$AJ$154</c:f>
              <c:strCache>
                <c:ptCount val="1"/>
                <c:pt idx="0">
                  <c:v>Transport</c:v>
                </c:pt>
              </c:strCache>
            </c:strRef>
          </c:tx>
          <c:spPr>
            <a:ln w="28575"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25-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26-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27-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28-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29-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2A-C412-4CFD-83A1-144CD6A03822}"/>
                </c:ext>
              </c:extLst>
            </c:dLbl>
            <c:dLbl>
              <c:idx val="7"/>
              <c:layout>
                <c:manualLayout>
                  <c:x val="0.10131463441950797"/>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B-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Tech'!$AK$154:$AS$154</c:f>
              <c:numCache>
                <c:formatCode>General</c:formatCode>
                <c:ptCount val="9"/>
                <c:pt idx="0">
                  <c:v>5</c:v>
                </c:pt>
                <c:pt idx="1">
                  <c:v>5</c:v>
                </c:pt>
                <c:pt idx="2">
                  <c:v>5</c:v>
                </c:pt>
                <c:pt idx="3">
                  <c:v>4</c:v>
                </c:pt>
                <c:pt idx="4">
                  <c:v>6</c:v>
                </c:pt>
                <c:pt idx="5">
                  <c:v>6</c:v>
                </c:pt>
                <c:pt idx="6">
                  <c:v>8</c:v>
                </c:pt>
                <c:pt idx="7">
                  <c:v>6</c:v>
                </c:pt>
                <c:pt idx="8">
                  <c:v>6</c:v>
                </c:pt>
              </c:numCache>
            </c:numRef>
          </c:val>
          <c:smooth val="0"/>
          <c:extLst>
            <c:ext xmlns:c16="http://schemas.microsoft.com/office/drawing/2014/chart" uri="{C3380CC4-5D6E-409C-BE32-E72D297353CC}">
              <c16:uniqueId val="{0000002C-C412-4CFD-83A1-144CD6A03822}"/>
            </c:ext>
          </c:extLst>
        </c:ser>
        <c:ser>
          <c:idx val="5"/>
          <c:order val="5"/>
          <c:tx>
            <c:strRef>
              <c:f>'Ch4. Grants leading Tech'!$AJ$155</c:f>
              <c:strCache>
                <c:ptCount val="1"/>
                <c:pt idx="0">
                  <c:v>Measurement</c:v>
                </c:pt>
              </c:strCache>
            </c:strRef>
          </c:tx>
          <c:spPr>
            <a:ln w="28575"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2E-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2F-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30-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31-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32-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33-C412-4CFD-83A1-144CD6A03822}"/>
                </c:ext>
              </c:extLst>
            </c:dLbl>
            <c:dLbl>
              <c:idx val="7"/>
              <c:layout>
                <c:manualLayout>
                  <c:x val="0.103301195878714"/>
                  <c:y val="-3.935185328637552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4-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Tech'!$AK$155:$AS$155</c:f>
              <c:numCache>
                <c:formatCode>General</c:formatCode>
                <c:ptCount val="9"/>
                <c:pt idx="0">
                  <c:v>7</c:v>
                </c:pt>
                <c:pt idx="1">
                  <c:v>7</c:v>
                </c:pt>
                <c:pt idx="2">
                  <c:v>4</c:v>
                </c:pt>
                <c:pt idx="3">
                  <c:v>5</c:v>
                </c:pt>
                <c:pt idx="4">
                  <c:v>4</c:v>
                </c:pt>
                <c:pt idx="5">
                  <c:v>5</c:v>
                </c:pt>
                <c:pt idx="6">
                  <c:v>7</c:v>
                </c:pt>
                <c:pt idx="7">
                  <c:v>5</c:v>
                </c:pt>
                <c:pt idx="8">
                  <c:v>5</c:v>
                </c:pt>
              </c:numCache>
            </c:numRef>
          </c:val>
          <c:smooth val="0"/>
          <c:extLst>
            <c:ext xmlns:c16="http://schemas.microsoft.com/office/drawing/2014/chart" uri="{C3380CC4-5D6E-409C-BE32-E72D297353CC}">
              <c16:uniqueId val="{00000035-C412-4CFD-83A1-144CD6A03822}"/>
            </c:ext>
          </c:extLst>
        </c:ser>
        <c:ser>
          <c:idx val="6"/>
          <c:order val="6"/>
          <c:tx>
            <c:strRef>
              <c:f>'Ch4. Grants leading Tech'!$AJ$156</c:f>
              <c:strCache>
                <c:ptCount val="1"/>
                <c:pt idx="0">
                  <c:v>Medical technology</c:v>
                </c:pt>
              </c:strCache>
            </c:strRef>
          </c:tx>
          <c:spPr>
            <a:ln w="28575"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37-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38-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39-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3A-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3B-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3C-C412-4CFD-83A1-144CD6A03822}"/>
                </c:ext>
              </c:extLst>
            </c:dLbl>
            <c:dLbl>
              <c:idx val="7"/>
              <c:layout>
                <c:manualLayout>
                  <c:x val="0.10131463441950797"/>
                  <c:y val="-3.935185328637552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D-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Tech'!$AK$156:$AS$156</c:f>
              <c:numCache>
                <c:formatCode>General</c:formatCode>
                <c:ptCount val="9"/>
                <c:pt idx="0">
                  <c:v>6</c:v>
                </c:pt>
                <c:pt idx="1">
                  <c:v>6</c:v>
                </c:pt>
                <c:pt idx="2">
                  <c:v>6</c:v>
                </c:pt>
                <c:pt idx="3">
                  <c:v>6</c:v>
                </c:pt>
                <c:pt idx="4">
                  <c:v>5</c:v>
                </c:pt>
                <c:pt idx="5">
                  <c:v>4</c:v>
                </c:pt>
                <c:pt idx="6">
                  <c:v>6</c:v>
                </c:pt>
                <c:pt idx="7">
                  <c:v>4</c:v>
                </c:pt>
                <c:pt idx="8">
                  <c:v>4</c:v>
                </c:pt>
              </c:numCache>
            </c:numRef>
          </c:val>
          <c:smooth val="0"/>
          <c:extLst>
            <c:ext xmlns:c16="http://schemas.microsoft.com/office/drawing/2014/chart" uri="{C3380CC4-5D6E-409C-BE32-E72D297353CC}">
              <c16:uniqueId val="{0000003E-C412-4CFD-83A1-144CD6A03822}"/>
            </c:ext>
          </c:extLst>
        </c:ser>
        <c:ser>
          <c:idx val="7"/>
          <c:order val="7"/>
          <c:tx>
            <c:strRef>
              <c:f>'Ch4. Grants leading Tech'!$AJ$157</c:f>
              <c:strCache>
                <c:ptCount val="1"/>
                <c:pt idx="0">
                  <c:v>Handling</c:v>
                </c:pt>
              </c:strCache>
            </c:strRef>
          </c:tx>
          <c:spPr>
            <a:ln w="28575" cap="rnd">
              <a:solidFill>
                <a:schemeClr val="accent2">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F-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40-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41-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42-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43-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44-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45-C412-4CFD-83A1-144CD6A03822}"/>
                </c:ext>
              </c:extLst>
            </c:dLbl>
            <c:dLbl>
              <c:idx val="7"/>
              <c:layout>
                <c:manualLayout>
                  <c:x val="0.10528775733792005"/>
                  <c:y val="0.1337963011736766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6-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Tech'!$AK$157:$AS$157</c:f>
              <c:numCache>
                <c:formatCode>General</c:formatCode>
                <c:ptCount val="9"/>
                <c:pt idx="0">
                  <c:v>11</c:v>
                </c:pt>
                <c:pt idx="1">
                  <c:v>11</c:v>
                </c:pt>
                <c:pt idx="2">
                  <c:v>11</c:v>
                </c:pt>
                <c:pt idx="3">
                  <c:v>11</c:v>
                </c:pt>
                <c:pt idx="4">
                  <c:v>10</c:v>
                </c:pt>
                <c:pt idx="5">
                  <c:v>9</c:v>
                </c:pt>
                <c:pt idx="6">
                  <c:v>11</c:v>
                </c:pt>
                <c:pt idx="7">
                  <c:v>9</c:v>
                </c:pt>
                <c:pt idx="8">
                  <c:v>11</c:v>
                </c:pt>
              </c:numCache>
            </c:numRef>
          </c:val>
          <c:smooth val="0"/>
          <c:extLst>
            <c:ext xmlns:c16="http://schemas.microsoft.com/office/drawing/2014/chart" uri="{C3380CC4-5D6E-409C-BE32-E72D297353CC}">
              <c16:uniqueId val="{00000047-C412-4CFD-83A1-144CD6A03822}"/>
            </c:ext>
          </c:extLst>
        </c:ser>
        <c:ser>
          <c:idx val="8"/>
          <c:order val="8"/>
          <c:tx>
            <c:strRef>
              <c:f>'Ch4. Grants leading Tech'!$AJ$158</c:f>
              <c:strCache>
                <c:ptCount val="1"/>
                <c:pt idx="0">
                  <c:v>Computer technology</c:v>
                </c:pt>
              </c:strCache>
            </c:strRef>
          </c:tx>
          <c:spPr>
            <a:ln w="28575"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49-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4A-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4B-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4C-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4D-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4E-C412-4CFD-83A1-144CD6A03822}"/>
                </c:ext>
              </c:extLst>
            </c:dLbl>
            <c:dLbl>
              <c:idx val="7"/>
              <c:layout>
                <c:manualLayout>
                  <c:x val="0.10131463441950797"/>
                  <c:y val="-5.3124847008050709E-2"/>
                </c:manualLayout>
              </c:layout>
              <c:spPr>
                <a:noFill/>
                <a:ln>
                  <a:noFill/>
                </a:ln>
                <a:effectLst/>
              </c:spPr>
              <c:txPr>
                <a:bodyPr rot="0" spcFirstLastPara="1" vertOverflow="ellipsis" vert="horz" wrap="square" lIns="38100" tIns="19050" rIns="38100" bIns="19050" anchor="ctr" anchorCtr="1">
                  <a:no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15:layout>
                    <c:manualLayout>
                      <c:w val="0.19610349265660518"/>
                      <c:h val="5.8319446570408516E-2"/>
                    </c:manualLayout>
                  </c15:layout>
                </c:ext>
                <c:ext xmlns:c16="http://schemas.microsoft.com/office/drawing/2014/chart" uri="{C3380CC4-5D6E-409C-BE32-E72D297353CC}">
                  <c16:uniqueId val="{0000004F-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Tech'!$AK$158:$AS$158</c:f>
              <c:numCache>
                <c:formatCode>General</c:formatCode>
                <c:ptCount val="9"/>
                <c:pt idx="0">
                  <c:v>2</c:v>
                </c:pt>
                <c:pt idx="1">
                  <c:v>2</c:v>
                </c:pt>
                <c:pt idx="2">
                  <c:v>2</c:v>
                </c:pt>
                <c:pt idx="3">
                  <c:v>2</c:v>
                </c:pt>
                <c:pt idx="4">
                  <c:v>3</c:v>
                </c:pt>
                <c:pt idx="5">
                  <c:v>3</c:v>
                </c:pt>
                <c:pt idx="6">
                  <c:v>5</c:v>
                </c:pt>
                <c:pt idx="7">
                  <c:v>3</c:v>
                </c:pt>
                <c:pt idx="8">
                  <c:v>2</c:v>
                </c:pt>
              </c:numCache>
            </c:numRef>
          </c:val>
          <c:smooth val="0"/>
          <c:extLst>
            <c:ext xmlns:c16="http://schemas.microsoft.com/office/drawing/2014/chart" uri="{C3380CC4-5D6E-409C-BE32-E72D297353CC}">
              <c16:uniqueId val="{00000050-C412-4CFD-83A1-144CD6A03822}"/>
            </c:ext>
          </c:extLst>
        </c:ser>
        <c:ser>
          <c:idx val="9"/>
          <c:order val="9"/>
          <c:tx>
            <c:strRef>
              <c:f>'Ch4. Grants leading Tech'!$AJ$159</c:f>
              <c:strCache>
                <c:ptCount val="1"/>
                <c:pt idx="0">
                  <c:v>Furniture, games</c:v>
                </c:pt>
              </c:strCache>
            </c:strRef>
          </c:tx>
          <c:spPr>
            <a:ln w="28575" cap="rnd">
              <a:solidFill>
                <a:schemeClr val="accent4">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1-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52-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53-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54-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55-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56-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57-C412-4CFD-83A1-144CD6A03822}"/>
                </c:ext>
              </c:extLst>
            </c:dLbl>
            <c:dLbl>
              <c:idx val="7"/>
              <c:layout>
                <c:manualLayout>
                  <c:x val="0.103301195878714"/>
                  <c:y val="7.476852124411341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8-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Tech'!$AK$159:$AS$159</c:f>
              <c:numCache>
                <c:formatCode>General</c:formatCode>
                <c:ptCount val="9"/>
                <c:pt idx="0">
                  <c:v>3</c:v>
                </c:pt>
                <c:pt idx="1">
                  <c:v>3</c:v>
                </c:pt>
                <c:pt idx="2">
                  <c:v>3</c:v>
                </c:pt>
                <c:pt idx="3">
                  <c:v>3</c:v>
                </c:pt>
                <c:pt idx="4">
                  <c:v>2</c:v>
                </c:pt>
                <c:pt idx="5">
                  <c:v>2</c:v>
                </c:pt>
                <c:pt idx="6">
                  <c:v>4</c:v>
                </c:pt>
                <c:pt idx="7">
                  <c:v>2</c:v>
                </c:pt>
                <c:pt idx="8">
                  <c:v>3</c:v>
                </c:pt>
              </c:numCache>
            </c:numRef>
          </c:val>
          <c:smooth val="0"/>
          <c:extLst>
            <c:ext xmlns:c16="http://schemas.microsoft.com/office/drawing/2014/chart" uri="{C3380CC4-5D6E-409C-BE32-E72D297353CC}">
              <c16:uniqueId val="{00000059-C412-4CFD-83A1-144CD6A03822}"/>
            </c:ext>
          </c:extLst>
        </c:ser>
        <c:ser>
          <c:idx val="10"/>
          <c:order val="10"/>
          <c:tx>
            <c:strRef>
              <c:f>'Ch4. Grants leading Tech'!$AJ$160</c:f>
              <c:strCache>
                <c:ptCount val="1"/>
                <c:pt idx="0">
                  <c:v>Electrical machinery, apparatus, energy</c:v>
                </c:pt>
              </c:strCache>
            </c:strRef>
          </c:tx>
          <c:spPr>
            <a:ln w="28575"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A-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5B-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5C-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5D-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5E-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5F-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60-C412-4CFD-83A1-144CD6A03822}"/>
                </c:ext>
              </c:extLst>
            </c:dLbl>
            <c:dLbl>
              <c:idx val="7"/>
              <c:layout>
                <c:manualLayout>
                  <c:x val="0.10131463441950797"/>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1-C412-4CFD-83A1-144CD6A03822}"/>
                </c:ext>
              </c:extLst>
            </c:dLbl>
            <c:spPr>
              <a:noFill/>
              <a:ln>
                <a:noFill/>
              </a:ln>
              <a:effectLst/>
            </c:spPr>
            <c:txPr>
              <a:bodyPr rot="0" spcFirstLastPara="1" vertOverflow="ellipsis" vert="horz" wrap="square" lIns="38100" tIns="19050" rIns="38100" bIns="19050" anchor="ctr" anchorCtr="0">
                <a:spAutoFit/>
              </a:bodyPr>
              <a:lstStyle/>
              <a:p>
                <a:pPr algn="l">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Tech'!$AK$160:$AS$160</c:f>
              <c:numCache>
                <c:formatCode>General</c:formatCode>
                <c:ptCount val="9"/>
                <c:pt idx="0">
                  <c:v>1</c:v>
                </c:pt>
                <c:pt idx="1">
                  <c:v>1</c:v>
                </c:pt>
                <c:pt idx="2">
                  <c:v>1</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62-C412-4CFD-83A1-144CD6A03822}"/>
            </c:ext>
          </c:extLst>
        </c:ser>
        <c:ser>
          <c:idx val="11"/>
          <c:order val="11"/>
          <c:tx>
            <c:strRef>
              <c:f>'Ch4. Grants leading Tech'!$AJ$161</c:f>
              <c:strCache>
                <c:ptCount val="1"/>
                <c:pt idx="0">
                  <c:v>Digital communication</c:v>
                </c:pt>
              </c:strCache>
            </c:strRef>
          </c:tx>
          <c:spPr>
            <a:ln w="28575" cap="rnd">
              <a:solidFill>
                <a:schemeClr val="accent6">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63-C412-4CFD-83A1-144CD6A03822}"/>
                </c:ext>
              </c:extLst>
            </c:dLbl>
            <c:dLbl>
              <c:idx val="1"/>
              <c:delete val="1"/>
              <c:extLst>
                <c:ext xmlns:c15="http://schemas.microsoft.com/office/drawing/2012/chart" uri="{CE6537A1-D6FC-4f65-9D91-7224C49458BB}"/>
                <c:ext xmlns:c16="http://schemas.microsoft.com/office/drawing/2014/chart" uri="{C3380CC4-5D6E-409C-BE32-E72D297353CC}">
                  <c16:uniqueId val="{00000064-C412-4CFD-83A1-144CD6A03822}"/>
                </c:ext>
              </c:extLst>
            </c:dLbl>
            <c:dLbl>
              <c:idx val="2"/>
              <c:delete val="1"/>
              <c:extLst>
                <c:ext xmlns:c15="http://schemas.microsoft.com/office/drawing/2012/chart" uri="{CE6537A1-D6FC-4f65-9D91-7224C49458BB}"/>
                <c:ext xmlns:c16="http://schemas.microsoft.com/office/drawing/2014/chart" uri="{C3380CC4-5D6E-409C-BE32-E72D297353CC}">
                  <c16:uniqueId val="{00000065-C412-4CFD-83A1-144CD6A03822}"/>
                </c:ext>
              </c:extLst>
            </c:dLbl>
            <c:dLbl>
              <c:idx val="3"/>
              <c:delete val="1"/>
              <c:extLst>
                <c:ext xmlns:c15="http://schemas.microsoft.com/office/drawing/2012/chart" uri="{CE6537A1-D6FC-4f65-9D91-7224C49458BB}"/>
                <c:ext xmlns:c16="http://schemas.microsoft.com/office/drawing/2014/chart" uri="{C3380CC4-5D6E-409C-BE32-E72D297353CC}">
                  <c16:uniqueId val="{00000066-C412-4CFD-83A1-144CD6A03822}"/>
                </c:ext>
              </c:extLst>
            </c:dLbl>
            <c:dLbl>
              <c:idx val="4"/>
              <c:delete val="1"/>
              <c:extLst>
                <c:ext xmlns:c15="http://schemas.microsoft.com/office/drawing/2012/chart" uri="{CE6537A1-D6FC-4f65-9D91-7224C49458BB}"/>
                <c:ext xmlns:c16="http://schemas.microsoft.com/office/drawing/2014/chart" uri="{C3380CC4-5D6E-409C-BE32-E72D297353CC}">
                  <c16:uniqueId val="{00000067-C412-4CFD-83A1-144CD6A03822}"/>
                </c:ext>
              </c:extLst>
            </c:dLbl>
            <c:dLbl>
              <c:idx val="5"/>
              <c:delete val="1"/>
              <c:extLst>
                <c:ext xmlns:c15="http://schemas.microsoft.com/office/drawing/2012/chart" uri="{CE6537A1-D6FC-4f65-9D91-7224C49458BB}"/>
                <c:ext xmlns:c16="http://schemas.microsoft.com/office/drawing/2014/chart" uri="{C3380CC4-5D6E-409C-BE32-E72D297353CC}">
                  <c16:uniqueId val="{00000068-C412-4CFD-83A1-144CD6A03822}"/>
                </c:ext>
              </c:extLst>
            </c:dLbl>
            <c:dLbl>
              <c:idx val="6"/>
              <c:delete val="1"/>
              <c:extLst>
                <c:ext xmlns:c15="http://schemas.microsoft.com/office/drawing/2012/chart" uri="{CE6537A1-D6FC-4f65-9D91-7224C49458BB}"/>
                <c:ext xmlns:c16="http://schemas.microsoft.com/office/drawing/2014/chart" uri="{C3380CC4-5D6E-409C-BE32-E72D297353CC}">
                  <c16:uniqueId val="{00000069-C412-4CFD-83A1-144CD6A03822}"/>
                </c:ext>
              </c:extLst>
            </c:dLbl>
            <c:dLbl>
              <c:idx val="7"/>
              <c:layout>
                <c:manualLayout>
                  <c:x val="0.10528775733792005"/>
                  <c:y val="-9.72852178946200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A-C412-4CFD-83A1-144CD6A03822}"/>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Tech'!$AK$149:$AS$149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Tech'!$AK$161:$AS$161</c:f>
              <c:numCache>
                <c:formatCode>General</c:formatCode>
                <c:ptCount val="9"/>
                <c:pt idx="0">
                  <c:v>11</c:v>
                </c:pt>
                <c:pt idx="1">
                  <c:v>11</c:v>
                </c:pt>
                <c:pt idx="2">
                  <c:v>11</c:v>
                </c:pt>
                <c:pt idx="3">
                  <c:v>11</c:v>
                </c:pt>
                <c:pt idx="4">
                  <c:v>11</c:v>
                </c:pt>
                <c:pt idx="5">
                  <c:v>11</c:v>
                </c:pt>
                <c:pt idx="6">
                  <c:v>3</c:v>
                </c:pt>
                <c:pt idx="7">
                  <c:v>11</c:v>
                </c:pt>
                <c:pt idx="8">
                  <c:v>10</c:v>
                </c:pt>
              </c:numCache>
            </c:numRef>
          </c:val>
          <c:smooth val="0"/>
          <c:extLst>
            <c:ext xmlns:c16="http://schemas.microsoft.com/office/drawing/2014/chart" uri="{C3380CC4-5D6E-409C-BE32-E72D297353CC}">
              <c16:uniqueId val="{0000006B-C412-4CFD-83A1-144CD6A03822}"/>
            </c:ext>
          </c:extLst>
        </c:ser>
        <c:dLbls>
          <c:showLegendKey val="0"/>
          <c:showVal val="0"/>
          <c:showCatName val="0"/>
          <c:showSerName val="0"/>
          <c:showPercent val="0"/>
          <c:showBubbleSize val="0"/>
        </c:dLbls>
        <c:smooth val="0"/>
        <c:axId val="1808652208"/>
        <c:axId val="1808641328"/>
      </c:lineChart>
      <c:catAx>
        <c:axId val="1808652208"/>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8641328"/>
        <c:crosses val="autoZero"/>
        <c:auto val="1"/>
        <c:lblAlgn val="ctr"/>
        <c:lblOffset val="100"/>
        <c:noMultiLvlLbl val="0"/>
      </c:catAx>
      <c:valAx>
        <c:axId val="1808641328"/>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8652208"/>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488d258d-8de8-43ee-88bf-3921516cb22b}"/>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MOIP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298E-2"/>
          <c:y val="0.18008873548340701"/>
          <c:w val="0.72913381348441697"/>
          <c:h val="0.81297258675998796"/>
        </c:manualLayout>
      </c:layout>
      <c:lineChart>
        <c:grouping val="standard"/>
        <c:varyColors val="0"/>
        <c:ser>
          <c:idx val="0"/>
          <c:order val="0"/>
          <c:tx>
            <c:strRef>
              <c:f>'Ch4. Grants leading Tech'!$AX$150</c:f>
              <c:strCache>
                <c:ptCount val="1"/>
                <c:pt idx="0">
                  <c:v>Digital communication</c:v>
                </c:pt>
              </c:strCache>
            </c:strRef>
          </c:tx>
          <c:spPr>
            <a:ln w="28575"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01-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02-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03-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04-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05-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06-41A6-4E8E-9896-9CDC9973EB37}"/>
                </c:ext>
              </c:extLst>
            </c:dLbl>
            <c:dLbl>
              <c:idx val="7"/>
              <c:layout>
                <c:manualLayout>
                  <c:x val="9.7320683597790919E-2"/>
                  <c:y val="-7.8703682185856782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Tech'!$AY$150:$BG$150</c:f>
              <c:numCache>
                <c:formatCode>General</c:formatCode>
                <c:ptCount val="9"/>
                <c:pt idx="0">
                  <c:v>7</c:v>
                </c:pt>
                <c:pt idx="1">
                  <c:v>7</c:v>
                </c:pt>
                <c:pt idx="2">
                  <c:v>8</c:v>
                </c:pt>
                <c:pt idx="3">
                  <c:v>7</c:v>
                </c:pt>
                <c:pt idx="4">
                  <c:v>7</c:v>
                </c:pt>
                <c:pt idx="5">
                  <c:v>7</c:v>
                </c:pt>
                <c:pt idx="6">
                  <c:v>7</c:v>
                </c:pt>
                <c:pt idx="7">
                  <c:v>10</c:v>
                </c:pt>
                <c:pt idx="8">
                  <c:v>10</c:v>
                </c:pt>
              </c:numCache>
            </c:numRef>
          </c:val>
          <c:smooth val="0"/>
          <c:extLst>
            <c:ext xmlns:c16="http://schemas.microsoft.com/office/drawing/2014/chart" uri="{C3380CC4-5D6E-409C-BE32-E72D297353CC}">
              <c16:uniqueId val="{00000008-41A6-4E8E-9896-9CDC9973EB37}"/>
            </c:ext>
          </c:extLst>
        </c:ser>
        <c:ser>
          <c:idx val="1"/>
          <c:order val="1"/>
          <c:tx>
            <c:strRef>
              <c:f>'Ch4. Grants leading Tech'!$AX$151</c:f>
              <c:strCache>
                <c:ptCount val="1"/>
                <c:pt idx="0">
                  <c:v>Audio-visual technology</c:v>
                </c:pt>
              </c:strCache>
            </c:strRef>
          </c:tx>
          <c:spPr>
            <a:ln w="28575"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0A-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0B-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0C-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0D-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0E-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0F-41A6-4E8E-9896-9CDC9973EB37}"/>
                </c:ext>
              </c:extLst>
            </c:dLbl>
            <c:dLbl>
              <c:idx val="7"/>
              <c:layout>
                <c:manualLayout>
                  <c:x val="7.4027277738986735E-2"/>
                  <c:y val="0"/>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4688848054190801"/>
                      <c:h val="9.4908376239297806E-2"/>
                    </c:manualLayout>
                  </c15:layout>
                </c:ext>
                <c:ext xmlns:c16="http://schemas.microsoft.com/office/drawing/2014/chart" uri="{C3380CC4-5D6E-409C-BE32-E72D297353CC}">
                  <c16:uniqueId val="{00000010-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Tech'!$AY$151:$BG$151</c:f>
              <c:numCache>
                <c:formatCode>General</c:formatCode>
                <c:ptCount val="9"/>
                <c:pt idx="0">
                  <c:v>9</c:v>
                </c:pt>
                <c:pt idx="1">
                  <c:v>9</c:v>
                </c:pt>
                <c:pt idx="2">
                  <c:v>11</c:v>
                </c:pt>
                <c:pt idx="3">
                  <c:v>10</c:v>
                </c:pt>
                <c:pt idx="4">
                  <c:v>10</c:v>
                </c:pt>
                <c:pt idx="5">
                  <c:v>11</c:v>
                </c:pt>
                <c:pt idx="6">
                  <c:v>9</c:v>
                </c:pt>
                <c:pt idx="7">
                  <c:v>9</c:v>
                </c:pt>
                <c:pt idx="8">
                  <c:v>9</c:v>
                </c:pt>
              </c:numCache>
            </c:numRef>
          </c:val>
          <c:smooth val="0"/>
          <c:extLst>
            <c:ext xmlns:c16="http://schemas.microsoft.com/office/drawing/2014/chart" uri="{C3380CC4-5D6E-409C-BE32-E72D297353CC}">
              <c16:uniqueId val="{00000011-41A6-4E8E-9896-9CDC9973EB37}"/>
            </c:ext>
          </c:extLst>
        </c:ser>
        <c:ser>
          <c:idx val="2"/>
          <c:order val="2"/>
          <c:tx>
            <c:strRef>
              <c:f>'Ch4. Grants leading Tech'!$AX$152</c:f>
              <c:strCache>
                <c:ptCount val="1"/>
                <c:pt idx="0">
                  <c:v>Measurement</c:v>
                </c:pt>
              </c:strCache>
            </c:strRef>
          </c:tx>
          <c:spPr>
            <a:ln w="28575"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13-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14-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15-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16-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17-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18-41A6-4E8E-9896-9CDC9973EB37}"/>
                </c:ext>
              </c:extLst>
            </c:dLbl>
            <c:dLbl>
              <c:idx val="7"/>
              <c:layout>
                <c:manualLayout>
                  <c:x val="9.9228932295786956E-2"/>
                  <c:y val="7.8703682185855342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Tech'!$AY$152:$BG$152</c:f>
              <c:numCache>
                <c:formatCode>General</c:formatCode>
                <c:ptCount val="9"/>
                <c:pt idx="0">
                  <c:v>6</c:v>
                </c:pt>
                <c:pt idx="1">
                  <c:v>6</c:v>
                </c:pt>
                <c:pt idx="2">
                  <c:v>6</c:v>
                </c:pt>
                <c:pt idx="3">
                  <c:v>6</c:v>
                </c:pt>
                <c:pt idx="4">
                  <c:v>6</c:v>
                </c:pt>
                <c:pt idx="5">
                  <c:v>9</c:v>
                </c:pt>
                <c:pt idx="6">
                  <c:v>10</c:v>
                </c:pt>
                <c:pt idx="7">
                  <c:v>7</c:v>
                </c:pt>
                <c:pt idx="8">
                  <c:v>7</c:v>
                </c:pt>
              </c:numCache>
            </c:numRef>
          </c:val>
          <c:smooth val="0"/>
          <c:extLst>
            <c:ext xmlns:c16="http://schemas.microsoft.com/office/drawing/2014/chart" uri="{C3380CC4-5D6E-409C-BE32-E72D297353CC}">
              <c16:uniqueId val="{0000001A-41A6-4E8E-9896-9CDC9973EB37}"/>
            </c:ext>
          </c:extLst>
        </c:ser>
        <c:ser>
          <c:idx val="3"/>
          <c:order val="3"/>
          <c:tx>
            <c:strRef>
              <c:f>'Ch4. Grants leading Tech'!$AX$153</c:f>
              <c:strCache>
                <c:ptCount val="1"/>
                <c:pt idx="0">
                  <c:v>Medical technology</c:v>
                </c:pt>
              </c:strCache>
            </c:strRef>
          </c:tx>
          <c:spPr>
            <a:ln w="28575"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1C-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1D-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1E-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1F-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20-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21-41A6-4E8E-9896-9CDC9973EB37}"/>
                </c:ext>
              </c:extLst>
            </c:dLbl>
            <c:dLbl>
              <c:idx val="7"/>
              <c:layout>
                <c:manualLayout>
                  <c:x val="0.10304542969177877"/>
                  <c:y val="0.15740736437171068"/>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Tech'!$AY$153:$BG$153</c:f>
              <c:numCache>
                <c:formatCode>General</c:formatCode>
                <c:ptCount val="9"/>
                <c:pt idx="0">
                  <c:v>8</c:v>
                </c:pt>
                <c:pt idx="1">
                  <c:v>8</c:v>
                </c:pt>
                <c:pt idx="2">
                  <c:v>9</c:v>
                </c:pt>
                <c:pt idx="3">
                  <c:v>9</c:v>
                </c:pt>
                <c:pt idx="4">
                  <c:v>8</c:v>
                </c:pt>
                <c:pt idx="5">
                  <c:v>4</c:v>
                </c:pt>
                <c:pt idx="6">
                  <c:v>4</c:v>
                </c:pt>
                <c:pt idx="7">
                  <c:v>4</c:v>
                </c:pt>
                <c:pt idx="8">
                  <c:v>6</c:v>
                </c:pt>
              </c:numCache>
            </c:numRef>
          </c:val>
          <c:smooth val="0"/>
          <c:extLst>
            <c:ext xmlns:c16="http://schemas.microsoft.com/office/drawing/2014/chart" uri="{C3380CC4-5D6E-409C-BE32-E72D297353CC}">
              <c16:uniqueId val="{00000023-41A6-4E8E-9896-9CDC9973EB37}"/>
            </c:ext>
          </c:extLst>
        </c:ser>
        <c:ser>
          <c:idx val="4"/>
          <c:order val="4"/>
          <c:tx>
            <c:strRef>
              <c:f>'Ch4. Grants leading Tech'!$AX$154</c:f>
              <c:strCache>
                <c:ptCount val="1"/>
                <c:pt idx="0">
                  <c:v>Other special machines</c:v>
                </c:pt>
              </c:strCache>
            </c:strRef>
          </c:tx>
          <c:spPr>
            <a:ln w="28575"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25-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26-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27-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28-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29-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2A-41A6-4E8E-9896-9CDC9973EB37}"/>
                </c:ext>
              </c:extLst>
            </c:dLbl>
            <c:dLbl>
              <c:idx val="7"/>
              <c:layout>
                <c:manualLayout>
                  <c:x val="7.9795898527448048E-2"/>
                  <c:y val="2.485363129184038E-3"/>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3302876386913099"/>
                      <c:h val="9.4908376239297806E-2"/>
                    </c:manualLayout>
                  </c15:layout>
                </c:ext>
                <c:ext xmlns:c16="http://schemas.microsoft.com/office/drawing/2014/chart" uri="{C3380CC4-5D6E-409C-BE32-E72D297353CC}">
                  <c16:uniqueId val="{0000002B-41A6-4E8E-9896-9CDC9973EB37}"/>
                </c:ext>
              </c:extLst>
            </c:dLbl>
            <c:dLbl>
              <c:idx val="8"/>
              <c:delete val="1"/>
              <c:extLst>
                <c:ext xmlns:c15="http://schemas.microsoft.com/office/drawing/2012/chart" uri="{CE6537A1-D6FC-4f65-9D91-7224C49458BB}"/>
                <c:ext xmlns:c16="http://schemas.microsoft.com/office/drawing/2014/chart" uri="{C3380CC4-5D6E-409C-BE32-E72D297353CC}">
                  <c16:uniqueId val="{00000000-322D-422C-B9AE-2EDC72D8B3BE}"/>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Tech'!$AY$154:$BG$154</c:f>
              <c:numCache>
                <c:formatCode>General</c:formatCode>
                <c:ptCount val="9"/>
                <c:pt idx="0">
                  <c:v>10</c:v>
                </c:pt>
                <c:pt idx="1">
                  <c:v>10</c:v>
                </c:pt>
                <c:pt idx="2">
                  <c:v>7</c:v>
                </c:pt>
                <c:pt idx="3">
                  <c:v>8</c:v>
                </c:pt>
                <c:pt idx="4">
                  <c:v>9</c:v>
                </c:pt>
                <c:pt idx="5">
                  <c:v>10</c:v>
                </c:pt>
                <c:pt idx="6">
                  <c:v>11</c:v>
                </c:pt>
                <c:pt idx="7">
                  <c:v>11</c:v>
                </c:pt>
                <c:pt idx="8">
                  <c:v>11</c:v>
                </c:pt>
              </c:numCache>
            </c:numRef>
          </c:val>
          <c:smooth val="0"/>
          <c:extLst>
            <c:ext xmlns:c16="http://schemas.microsoft.com/office/drawing/2014/chart" uri="{C3380CC4-5D6E-409C-BE32-E72D297353CC}">
              <c16:uniqueId val="{0000002C-41A6-4E8E-9896-9CDC9973EB37}"/>
            </c:ext>
          </c:extLst>
        </c:ser>
        <c:ser>
          <c:idx val="5"/>
          <c:order val="5"/>
          <c:tx>
            <c:strRef>
              <c:f>'Ch4. Grants leading Tech'!$AX$155</c:f>
              <c:strCache>
                <c:ptCount val="1"/>
                <c:pt idx="0">
                  <c:v>Civil engineering</c:v>
                </c:pt>
              </c:strCache>
            </c:strRef>
          </c:tx>
          <c:spPr>
            <a:ln w="28575"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2E-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2F-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30-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31-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32-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33-41A6-4E8E-9896-9CDC9973EB37}"/>
                </c:ext>
              </c:extLst>
            </c:dLbl>
            <c:dLbl>
              <c:idx val="7"/>
              <c:layout>
                <c:manualLayout>
                  <c:x val="9.5412434899795159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4-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Tech'!$AY$155:$BG$155</c:f>
              <c:numCache>
                <c:formatCode>General</c:formatCode>
                <c:ptCount val="9"/>
                <c:pt idx="0">
                  <c:v>4</c:v>
                </c:pt>
                <c:pt idx="1">
                  <c:v>4</c:v>
                </c:pt>
                <c:pt idx="2">
                  <c:v>5</c:v>
                </c:pt>
                <c:pt idx="3">
                  <c:v>5</c:v>
                </c:pt>
                <c:pt idx="4">
                  <c:v>4</c:v>
                </c:pt>
                <c:pt idx="5">
                  <c:v>5</c:v>
                </c:pt>
                <c:pt idx="6">
                  <c:v>8</c:v>
                </c:pt>
                <c:pt idx="7">
                  <c:v>8</c:v>
                </c:pt>
                <c:pt idx="8">
                  <c:v>8</c:v>
                </c:pt>
              </c:numCache>
            </c:numRef>
          </c:val>
          <c:smooth val="0"/>
          <c:extLst>
            <c:ext xmlns:c16="http://schemas.microsoft.com/office/drawing/2014/chart" uri="{C3380CC4-5D6E-409C-BE32-E72D297353CC}">
              <c16:uniqueId val="{00000035-41A6-4E8E-9896-9CDC9973EB37}"/>
            </c:ext>
          </c:extLst>
        </c:ser>
        <c:ser>
          <c:idx val="6"/>
          <c:order val="6"/>
          <c:tx>
            <c:strRef>
              <c:f>'Ch4. Grants leading Tech'!$AX$156</c:f>
              <c:strCache>
                <c:ptCount val="1"/>
                <c:pt idx="0">
                  <c:v>Transport</c:v>
                </c:pt>
              </c:strCache>
            </c:strRef>
          </c:tx>
          <c:spPr>
            <a:ln w="28575"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37-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38-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39-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3A-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3B-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3C-41A6-4E8E-9896-9CDC9973EB37}"/>
                </c:ext>
              </c:extLst>
            </c:dLbl>
            <c:dLbl>
              <c:idx val="7"/>
              <c:layout>
                <c:manualLayout>
                  <c:x val="0.10113718099378273"/>
                  <c:y val="-8.2638866295148106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D-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Tech'!$AY$156:$BG$156</c:f>
              <c:numCache>
                <c:formatCode>General</c:formatCode>
                <c:ptCount val="9"/>
                <c:pt idx="0">
                  <c:v>2</c:v>
                </c:pt>
                <c:pt idx="1">
                  <c:v>2</c:v>
                </c:pt>
                <c:pt idx="2">
                  <c:v>4</c:v>
                </c:pt>
                <c:pt idx="3">
                  <c:v>4</c:v>
                </c:pt>
                <c:pt idx="4">
                  <c:v>5</c:v>
                </c:pt>
                <c:pt idx="5">
                  <c:v>6</c:v>
                </c:pt>
                <c:pt idx="6">
                  <c:v>5</c:v>
                </c:pt>
                <c:pt idx="7">
                  <c:v>5</c:v>
                </c:pt>
                <c:pt idx="8">
                  <c:v>4</c:v>
                </c:pt>
              </c:numCache>
            </c:numRef>
          </c:val>
          <c:smooth val="0"/>
          <c:extLst>
            <c:ext xmlns:c16="http://schemas.microsoft.com/office/drawing/2014/chart" uri="{C3380CC4-5D6E-409C-BE32-E72D297353CC}">
              <c16:uniqueId val="{0000003E-41A6-4E8E-9896-9CDC9973EB37}"/>
            </c:ext>
          </c:extLst>
        </c:ser>
        <c:ser>
          <c:idx val="7"/>
          <c:order val="7"/>
          <c:tx>
            <c:strRef>
              <c:f>'Ch4. Grants leading Tech'!$AX$157</c:f>
              <c:strCache>
                <c:ptCount val="1"/>
                <c:pt idx="0">
                  <c:v>Semiconductors</c:v>
                </c:pt>
              </c:strCache>
            </c:strRef>
          </c:tx>
          <c:spPr>
            <a:ln w="28575"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40-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41-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42-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43-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44-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45-41A6-4E8E-9896-9CDC9973EB37}"/>
                </c:ext>
              </c:extLst>
            </c:dLbl>
            <c:dLbl>
              <c:idx val="7"/>
              <c:layout>
                <c:manualLayout>
                  <c:x val="9.9228932295786956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6-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Tech'!$AY$157:$BG$157</c:f>
              <c:numCache>
                <c:formatCode>General</c:formatCode>
                <c:ptCount val="9"/>
                <c:pt idx="0">
                  <c:v>5</c:v>
                </c:pt>
                <c:pt idx="1">
                  <c:v>5</c:v>
                </c:pt>
                <c:pt idx="2">
                  <c:v>2</c:v>
                </c:pt>
                <c:pt idx="3">
                  <c:v>3</c:v>
                </c:pt>
                <c:pt idx="4">
                  <c:v>3</c:v>
                </c:pt>
                <c:pt idx="5">
                  <c:v>3</c:v>
                </c:pt>
                <c:pt idx="6">
                  <c:v>3</c:v>
                </c:pt>
                <c:pt idx="7">
                  <c:v>2</c:v>
                </c:pt>
                <c:pt idx="8">
                  <c:v>2</c:v>
                </c:pt>
              </c:numCache>
            </c:numRef>
          </c:val>
          <c:smooth val="0"/>
          <c:extLst>
            <c:ext xmlns:c16="http://schemas.microsoft.com/office/drawing/2014/chart" uri="{C3380CC4-5D6E-409C-BE32-E72D297353CC}">
              <c16:uniqueId val="{00000047-41A6-4E8E-9896-9CDC9973EB37}"/>
            </c:ext>
          </c:extLst>
        </c:ser>
        <c:ser>
          <c:idx val="8"/>
          <c:order val="8"/>
          <c:tx>
            <c:strRef>
              <c:f>'Ch4. Grants leading Tech'!$AX$158</c:f>
              <c:strCache>
                <c:ptCount val="1"/>
                <c:pt idx="0">
                  <c:v>Computer technology</c:v>
                </c:pt>
              </c:strCache>
            </c:strRef>
          </c:tx>
          <c:spPr>
            <a:ln w="28575"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49-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4A-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4B-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4C-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4D-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4E-41A6-4E8E-9896-9CDC9973EB37}"/>
                </c:ext>
              </c:extLst>
            </c:dLbl>
            <c:dLbl>
              <c:idx val="7"/>
              <c:layout>
                <c:manualLayout>
                  <c:x val="0.10113718099378273"/>
                  <c:y val="-3.9351841092927671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F-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Tech'!$AY$158:$BG$158</c:f>
              <c:numCache>
                <c:formatCode>General</c:formatCode>
                <c:ptCount val="9"/>
                <c:pt idx="0">
                  <c:v>3</c:v>
                </c:pt>
                <c:pt idx="1">
                  <c:v>3</c:v>
                </c:pt>
                <c:pt idx="2">
                  <c:v>3</c:v>
                </c:pt>
                <c:pt idx="3">
                  <c:v>2</c:v>
                </c:pt>
                <c:pt idx="4">
                  <c:v>2</c:v>
                </c:pt>
                <c:pt idx="5">
                  <c:v>2</c:v>
                </c:pt>
                <c:pt idx="6">
                  <c:v>2</c:v>
                </c:pt>
                <c:pt idx="7">
                  <c:v>3</c:v>
                </c:pt>
                <c:pt idx="8">
                  <c:v>3</c:v>
                </c:pt>
              </c:numCache>
            </c:numRef>
          </c:val>
          <c:smooth val="0"/>
          <c:extLst>
            <c:ext xmlns:c16="http://schemas.microsoft.com/office/drawing/2014/chart" uri="{C3380CC4-5D6E-409C-BE32-E72D297353CC}">
              <c16:uniqueId val="{00000050-41A6-4E8E-9896-9CDC9973EB37}"/>
            </c:ext>
          </c:extLst>
        </c:ser>
        <c:ser>
          <c:idx val="9"/>
          <c:order val="9"/>
          <c:tx>
            <c:strRef>
              <c:f>'Ch4. Grants leading Tech'!$AX$159</c:f>
              <c:strCache>
                <c:ptCount val="1"/>
                <c:pt idx="0">
                  <c:v>IT methods for management</c:v>
                </c:pt>
              </c:strCache>
            </c:strRef>
          </c:tx>
          <c:spPr>
            <a:ln w="28575" cap="rnd">
              <a:solidFill>
                <a:schemeClr val="accent4">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1-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52-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53-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54-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55-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56-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57-41A6-4E8E-9896-9CDC9973EB37}"/>
                </c:ext>
              </c:extLst>
            </c:dLbl>
            <c:dLbl>
              <c:idx val="7"/>
              <c:layout>
                <c:manualLayout>
                  <c:x val="9.7320683597790919E-2"/>
                  <c:y val="-6.689812985797703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8-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Tech'!$AY$159:$BG$159</c:f>
              <c:numCache>
                <c:formatCode>General</c:formatCode>
                <c:ptCount val="9"/>
                <c:pt idx="0">
                  <c:v>11</c:v>
                </c:pt>
                <c:pt idx="1">
                  <c:v>11</c:v>
                </c:pt>
                <c:pt idx="2">
                  <c:v>11</c:v>
                </c:pt>
                <c:pt idx="3">
                  <c:v>11</c:v>
                </c:pt>
                <c:pt idx="4">
                  <c:v>11</c:v>
                </c:pt>
                <c:pt idx="5">
                  <c:v>8</c:v>
                </c:pt>
                <c:pt idx="6">
                  <c:v>6</c:v>
                </c:pt>
                <c:pt idx="7">
                  <c:v>6</c:v>
                </c:pt>
                <c:pt idx="8">
                  <c:v>5</c:v>
                </c:pt>
              </c:numCache>
            </c:numRef>
          </c:val>
          <c:smooth val="0"/>
          <c:extLst>
            <c:ext xmlns:c16="http://schemas.microsoft.com/office/drawing/2014/chart" uri="{C3380CC4-5D6E-409C-BE32-E72D297353CC}">
              <c16:uniqueId val="{00000059-41A6-4E8E-9896-9CDC9973EB37}"/>
            </c:ext>
          </c:extLst>
        </c:ser>
        <c:ser>
          <c:idx val="11"/>
          <c:order val="10"/>
          <c:tx>
            <c:strRef>
              <c:f>'Ch4. Grants leading Tech'!$AX$160</c:f>
              <c:strCache>
                <c:ptCount val="1"/>
                <c:pt idx="0">
                  <c:v>Optics</c:v>
                </c:pt>
              </c:strCache>
            </c:strRef>
          </c:tx>
          <c:spPr>
            <a:ln w="28575" cap="rnd">
              <a:solidFill>
                <a:schemeClr val="accent6">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A-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5B-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5C-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5D-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5E-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5F-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60-41A6-4E8E-9896-9CDC9973EB37}"/>
                </c:ext>
              </c:extLst>
            </c:dLbl>
            <c:dLbl>
              <c:idx val="7"/>
              <c:layout>
                <c:manualLayout>
                  <c:x val="9.7320683597790919E-2"/>
                  <c:y val="3.8937562261894106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1-41A6-4E8E-9896-9CDC9973EB37}"/>
                </c:ext>
              </c:extLst>
            </c:dLbl>
            <c:spPr>
              <a:noFill/>
              <a:ln>
                <a:noFill/>
              </a:ln>
              <a:effectLst/>
            </c:spPr>
            <c:txPr>
              <a:bodyPr rot="0" spcFirstLastPara="1" vertOverflow="ellipsis" vert="horz" wrap="square" lIns="38100" tIns="19050" rIns="38100" bIns="19050" anchor="ctr" anchorCtr="0">
                <a:spAutoFit/>
              </a:bodyPr>
              <a:lstStyle/>
              <a:p>
                <a:pPr algn="l">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Tech'!$AY$160:$BG$160</c:f>
              <c:numCache>
                <c:formatCode>General</c:formatCode>
                <c:ptCount val="9"/>
                <c:pt idx="0">
                  <c:v>11</c:v>
                </c:pt>
                <c:pt idx="1">
                  <c:v>11</c:v>
                </c:pt>
                <c:pt idx="2">
                  <c:v>10</c:v>
                </c:pt>
                <c:pt idx="3">
                  <c:v>11</c:v>
                </c:pt>
                <c:pt idx="4">
                  <c:v>11</c:v>
                </c:pt>
                <c:pt idx="5">
                  <c:v>11</c:v>
                </c:pt>
                <c:pt idx="6">
                  <c:v>11</c:v>
                </c:pt>
                <c:pt idx="7">
                  <c:v>11</c:v>
                </c:pt>
                <c:pt idx="8">
                  <c:v>11</c:v>
                </c:pt>
              </c:numCache>
            </c:numRef>
          </c:val>
          <c:smooth val="0"/>
          <c:extLst>
            <c:ext xmlns:c16="http://schemas.microsoft.com/office/drawing/2014/chart" uri="{C3380CC4-5D6E-409C-BE32-E72D297353CC}">
              <c16:uniqueId val="{00000062-41A6-4E8E-9896-9CDC9973EB37}"/>
            </c:ext>
          </c:extLst>
        </c:ser>
        <c:ser>
          <c:idx val="10"/>
          <c:order val="11"/>
          <c:tx>
            <c:strRef>
              <c:f>'Ch4. Grants leading Tech'!$AX$161</c:f>
              <c:strCache>
                <c:ptCount val="1"/>
                <c:pt idx="0">
                  <c:v>Electrical machinery, apparatus, energy</c:v>
                </c:pt>
              </c:strCache>
            </c:strRef>
          </c:tx>
          <c:spPr>
            <a:ln w="28575" cap="rnd">
              <a:solidFill>
                <a:schemeClr val="accent5">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3-41A6-4E8E-9896-9CDC9973EB37}"/>
                </c:ext>
              </c:extLst>
            </c:dLbl>
            <c:dLbl>
              <c:idx val="1"/>
              <c:delete val="1"/>
              <c:extLst>
                <c:ext xmlns:c15="http://schemas.microsoft.com/office/drawing/2012/chart" uri="{CE6537A1-D6FC-4f65-9D91-7224C49458BB}"/>
                <c:ext xmlns:c16="http://schemas.microsoft.com/office/drawing/2014/chart" uri="{C3380CC4-5D6E-409C-BE32-E72D297353CC}">
                  <c16:uniqueId val="{00000064-41A6-4E8E-9896-9CDC9973EB37}"/>
                </c:ext>
              </c:extLst>
            </c:dLbl>
            <c:dLbl>
              <c:idx val="2"/>
              <c:delete val="1"/>
              <c:extLst>
                <c:ext xmlns:c15="http://schemas.microsoft.com/office/drawing/2012/chart" uri="{CE6537A1-D6FC-4f65-9D91-7224C49458BB}"/>
                <c:ext xmlns:c16="http://schemas.microsoft.com/office/drawing/2014/chart" uri="{C3380CC4-5D6E-409C-BE32-E72D297353CC}">
                  <c16:uniqueId val="{00000065-41A6-4E8E-9896-9CDC9973EB37}"/>
                </c:ext>
              </c:extLst>
            </c:dLbl>
            <c:dLbl>
              <c:idx val="3"/>
              <c:delete val="1"/>
              <c:extLst>
                <c:ext xmlns:c15="http://schemas.microsoft.com/office/drawing/2012/chart" uri="{CE6537A1-D6FC-4f65-9D91-7224C49458BB}"/>
                <c:ext xmlns:c16="http://schemas.microsoft.com/office/drawing/2014/chart" uri="{C3380CC4-5D6E-409C-BE32-E72D297353CC}">
                  <c16:uniqueId val="{00000066-41A6-4E8E-9896-9CDC9973EB37}"/>
                </c:ext>
              </c:extLst>
            </c:dLbl>
            <c:dLbl>
              <c:idx val="4"/>
              <c:delete val="1"/>
              <c:extLst>
                <c:ext xmlns:c15="http://schemas.microsoft.com/office/drawing/2012/chart" uri="{CE6537A1-D6FC-4f65-9D91-7224C49458BB}"/>
                <c:ext xmlns:c16="http://schemas.microsoft.com/office/drawing/2014/chart" uri="{C3380CC4-5D6E-409C-BE32-E72D297353CC}">
                  <c16:uniqueId val="{00000067-41A6-4E8E-9896-9CDC9973EB37}"/>
                </c:ext>
              </c:extLst>
            </c:dLbl>
            <c:dLbl>
              <c:idx val="5"/>
              <c:delete val="1"/>
              <c:extLst>
                <c:ext xmlns:c15="http://schemas.microsoft.com/office/drawing/2012/chart" uri="{CE6537A1-D6FC-4f65-9D91-7224C49458BB}"/>
                <c:ext xmlns:c16="http://schemas.microsoft.com/office/drawing/2014/chart" uri="{C3380CC4-5D6E-409C-BE32-E72D297353CC}">
                  <c16:uniqueId val="{00000068-41A6-4E8E-9896-9CDC9973EB37}"/>
                </c:ext>
              </c:extLst>
            </c:dLbl>
            <c:dLbl>
              <c:idx val="6"/>
              <c:delete val="1"/>
              <c:extLst>
                <c:ext xmlns:c15="http://schemas.microsoft.com/office/drawing/2012/chart" uri="{CE6537A1-D6FC-4f65-9D91-7224C49458BB}"/>
                <c:ext xmlns:c16="http://schemas.microsoft.com/office/drawing/2014/chart" uri="{C3380CC4-5D6E-409C-BE32-E72D297353CC}">
                  <c16:uniqueId val="{00000069-41A6-4E8E-9896-9CDC9973EB37}"/>
                </c:ext>
              </c:extLst>
            </c:dLbl>
            <c:dLbl>
              <c:idx val="7"/>
              <c:layout>
                <c:manualLayout>
                  <c:x val="9.7320683597790919E-2"/>
                  <c:y val="-7.8703682185855342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A-41A6-4E8E-9896-9CDC9973EB3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Tech'!$AY$149:$BG$149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Tech'!$AY$161:$BG$161</c:f>
              <c:numCache>
                <c:formatCode>General</c:formatCode>
                <c:ptCount val="9"/>
                <c:pt idx="0">
                  <c:v>1</c:v>
                </c:pt>
                <c:pt idx="1">
                  <c:v>1</c:v>
                </c:pt>
                <c:pt idx="2">
                  <c:v>1</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6B-41A6-4E8E-9896-9CDC9973EB37}"/>
            </c:ext>
          </c:extLst>
        </c:ser>
        <c:dLbls>
          <c:showLegendKey val="0"/>
          <c:showVal val="0"/>
          <c:showCatName val="0"/>
          <c:showSerName val="0"/>
          <c:showPercent val="0"/>
          <c:showBubbleSize val="0"/>
        </c:dLbls>
        <c:smooth val="0"/>
        <c:axId val="1808640784"/>
        <c:axId val="1808639152"/>
      </c:lineChart>
      <c:catAx>
        <c:axId val="1808640784"/>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8639152"/>
        <c:crosses val="autoZero"/>
        <c:auto val="1"/>
        <c:lblAlgn val="ctr"/>
        <c:lblOffset val="100"/>
        <c:noMultiLvlLbl val="0"/>
      </c:catAx>
      <c:valAx>
        <c:axId val="1808639152"/>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8640784"/>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3e2c4e3b-acf5-43b0-ae86-d4053e69cee9}"/>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CNIPA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68199486298E-2"/>
          <c:y val="0.18008873548340701"/>
          <c:w val="0.72913381348441697"/>
          <c:h val="0.80932067110845396"/>
        </c:manualLayout>
      </c:layout>
      <c:lineChart>
        <c:grouping val="standard"/>
        <c:varyColors val="0"/>
        <c:ser>
          <c:idx val="0"/>
          <c:order val="0"/>
          <c:tx>
            <c:strRef>
              <c:f>'Ch4. Grants leading Tech'!$BL$150</c:f>
              <c:strCache>
                <c:ptCount val="1"/>
                <c:pt idx="0">
                  <c:v>Transport</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01-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02-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03-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04-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05-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06-73D3-441D-B8B4-568F8DE3C5AD}"/>
                </c:ext>
              </c:extLst>
            </c:dLbl>
            <c:dLbl>
              <c:idx val="7"/>
              <c:layout>
                <c:manualLayout>
                  <c:x val="8.9961060078585189E-2"/>
                  <c:y val="0.1112408643127357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73D3-441D-B8B4-568F8DE3C5AD}"/>
                </c:ext>
              </c:extLst>
            </c:dLbl>
            <c:spPr>
              <a:noFill/>
              <a:ln>
                <a:noFill/>
              </a:ln>
              <a:effectLst/>
            </c:spPr>
            <c:txPr>
              <a:bodyPr rot="0" spcFirstLastPara="1" vertOverflow="ellipsis" vert="horz" wrap="square" lIns="38100" tIns="19050" rIns="38100" bIns="19050" anchor="ctr" anchorCtr="0">
                <a:spAutoFit/>
              </a:bodyPr>
              <a:lstStyle/>
              <a:p>
                <a:pPr algn="l">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Tech'!$BM$150:$BU$150</c:f>
              <c:numCache>
                <c:formatCode>General</c:formatCode>
                <c:ptCount val="9"/>
                <c:pt idx="0">
                  <c:v>8</c:v>
                </c:pt>
                <c:pt idx="1">
                  <c:v>8</c:v>
                </c:pt>
                <c:pt idx="2">
                  <c:v>8</c:v>
                </c:pt>
                <c:pt idx="3">
                  <c:v>7</c:v>
                </c:pt>
                <c:pt idx="4">
                  <c:v>7</c:v>
                </c:pt>
                <c:pt idx="5">
                  <c:v>9</c:v>
                </c:pt>
                <c:pt idx="6">
                  <c:v>7</c:v>
                </c:pt>
                <c:pt idx="7">
                  <c:v>8</c:v>
                </c:pt>
                <c:pt idx="8">
                  <c:v>10</c:v>
                </c:pt>
              </c:numCache>
            </c:numRef>
          </c:val>
          <c:smooth val="0"/>
          <c:extLst>
            <c:ext xmlns:c16="http://schemas.microsoft.com/office/drawing/2014/chart" uri="{C3380CC4-5D6E-409C-BE32-E72D297353CC}">
              <c16:uniqueId val="{00000008-73D3-441D-B8B4-568F8DE3C5AD}"/>
            </c:ext>
          </c:extLst>
        </c:ser>
        <c:ser>
          <c:idx val="1"/>
          <c:order val="1"/>
          <c:tx>
            <c:strRef>
              <c:f>'Ch4. Grants leading Tech'!$BL$151</c:f>
              <c:strCache>
                <c:ptCount val="1"/>
                <c:pt idx="0">
                  <c:v>Materials, metallurgy</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0A-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0B-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0C-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0D-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0E-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0F-73D3-441D-B8B4-568F8DE3C5AD}"/>
                </c:ext>
              </c:extLst>
            </c:dLbl>
            <c:dLbl>
              <c:idx val="7"/>
              <c:delete val="1"/>
              <c:extLst>
                <c:ext xmlns:c15="http://schemas.microsoft.com/office/drawing/2012/chart" uri="{CE6537A1-D6FC-4f65-9D91-7224C49458BB}"/>
                <c:ext xmlns:c16="http://schemas.microsoft.com/office/drawing/2014/chart" uri="{C3380CC4-5D6E-409C-BE32-E72D297353CC}">
                  <c16:uniqueId val="{00000000-BD11-4AF5-9222-24B5856D7475}"/>
                </c:ext>
              </c:extLst>
            </c:dLbl>
            <c:dLbl>
              <c:idx val="8"/>
              <c:layout>
                <c:manualLayout>
                  <c:x val="5.742195324165012E-3"/>
                  <c:y val="1.589155204467638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BD11-4AF5-9222-24B5856D7475}"/>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Tech'!$BM$151:$BU$151</c:f>
              <c:numCache>
                <c:formatCode>General</c:formatCode>
                <c:ptCount val="9"/>
                <c:pt idx="0">
                  <c:v>7</c:v>
                </c:pt>
                <c:pt idx="1">
                  <c:v>7</c:v>
                </c:pt>
                <c:pt idx="2">
                  <c:v>7</c:v>
                </c:pt>
                <c:pt idx="3">
                  <c:v>9</c:v>
                </c:pt>
                <c:pt idx="4">
                  <c:v>9</c:v>
                </c:pt>
                <c:pt idx="5">
                  <c:v>10</c:v>
                </c:pt>
                <c:pt idx="6">
                  <c:v>8</c:v>
                </c:pt>
                <c:pt idx="7">
                  <c:v>11</c:v>
                </c:pt>
                <c:pt idx="8">
                  <c:v>11</c:v>
                </c:pt>
              </c:numCache>
            </c:numRef>
          </c:val>
          <c:smooth val="0"/>
          <c:extLst>
            <c:ext xmlns:c16="http://schemas.microsoft.com/office/drawing/2014/chart" uri="{C3380CC4-5D6E-409C-BE32-E72D297353CC}">
              <c16:uniqueId val="{00000010-73D3-441D-B8B4-568F8DE3C5AD}"/>
            </c:ext>
          </c:extLst>
        </c:ser>
        <c:ser>
          <c:idx val="2"/>
          <c:order val="2"/>
          <c:tx>
            <c:strRef>
              <c:f>'Ch4. Grants leading Tech'!$BL$152</c:f>
              <c:strCache>
                <c:ptCount val="1"/>
                <c:pt idx="0">
                  <c:v>Other special machines</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12-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13-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14-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15-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16-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17-73D3-441D-B8B4-568F8DE3C5AD}"/>
                </c:ext>
              </c:extLst>
            </c:dLbl>
            <c:dLbl>
              <c:idx val="7"/>
              <c:layout>
                <c:manualLayout>
                  <c:x val="6.8705065626058298E-2"/>
                  <c:y val="0.1237931570601503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2548123909632301"/>
                      <c:h val="9.5637710067296197E-2"/>
                    </c:manualLayout>
                  </c15:layout>
                </c:ext>
                <c:ext xmlns:c16="http://schemas.microsoft.com/office/drawing/2014/chart" uri="{C3380CC4-5D6E-409C-BE32-E72D297353CC}">
                  <c16:uniqueId val="{00000018-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Tech'!$BM$152:$BU$152</c:f>
              <c:numCache>
                <c:formatCode>General</c:formatCode>
                <c:ptCount val="9"/>
                <c:pt idx="0">
                  <c:v>9</c:v>
                </c:pt>
                <c:pt idx="1">
                  <c:v>9</c:v>
                </c:pt>
                <c:pt idx="2">
                  <c:v>11</c:v>
                </c:pt>
                <c:pt idx="3">
                  <c:v>11</c:v>
                </c:pt>
                <c:pt idx="4">
                  <c:v>10</c:v>
                </c:pt>
                <c:pt idx="5">
                  <c:v>7</c:v>
                </c:pt>
                <c:pt idx="6">
                  <c:v>9</c:v>
                </c:pt>
                <c:pt idx="7">
                  <c:v>9</c:v>
                </c:pt>
                <c:pt idx="8">
                  <c:v>11</c:v>
                </c:pt>
              </c:numCache>
            </c:numRef>
          </c:val>
          <c:smooth val="0"/>
          <c:extLst>
            <c:ext xmlns:c16="http://schemas.microsoft.com/office/drawing/2014/chart" uri="{C3380CC4-5D6E-409C-BE32-E72D297353CC}">
              <c16:uniqueId val="{00000019-73D3-441D-B8B4-568F8DE3C5AD}"/>
            </c:ext>
          </c:extLst>
        </c:ser>
        <c:ser>
          <c:idx val="3"/>
          <c:order val="3"/>
          <c:tx>
            <c:strRef>
              <c:f>'Ch4. Grants leading Tech'!$BL$153</c:f>
              <c:strCache>
                <c:ptCount val="1"/>
                <c:pt idx="0">
                  <c:v>Civil engineering</c:v>
                </c:pt>
              </c:strCache>
            </c:strRef>
          </c:tx>
          <c:spPr>
            <a:ln w="38100" cap="rnd">
              <a:solidFill>
                <a:schemeClr val="accent4"/>
              </a:solidFill>
              <a:round/>
            </a:ln>
            <a:effectLst/>
          </c:spPr>
          <c:marker>
            <c:symbol val="none"/>
          </c:marker>
          <c:dLbls>
            <c:dLbl>
              <c:idx val="0"/>
              <c:layout>
                <c:manualLayout>
                  <c:x val="-4.01953672691550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1B-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1C-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1D-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1E-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1F-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20-73D3-441D-B8B4-568F8DE3C5AD}"/>
                </c:ext>
              </c:extLst>
            </c:dLbl>
            <c:dLbl>
              <c:idx val="7"/>
              <c:layout>
                <c:manualLayout>
                  <c:x val="9.9531385618860199E-2"/>
                  <c:y val="-7.548487221221360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1-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Tech'!$BM$153:$BU$153</c:f>
              <c:numCache>
                <c:formatCode>General</c:formatCode>
                <c:ptCount val="9"/>
                <c:pt idx="0">
                  <c:v>6</c:v>
                </c:pt>
                <c:pt idx="1">
                  <c:v>6</c:v>
                </c:pt>
                <c:pt idx="2">
                  <c:v>6</c:v>
                </c:pt>
                <c:pt idx="3">
                  <c:v>6</c:v>
                </c:pt>
                <c:pt idx="4">
                  <c:v>6</c:v>
                </c:pt>
                <c:pt idx="5">
                  <c:v>6</c:v>
                </c:pt>
                <c:pt idx="6">
                  <c:v>10</c:v>
                </c:pt>
                <c:pt idx="7">
                  <c:v>7</c:v>
                </c:pt>
                <c:pt idx="8">
                  <c:v>6</c:v>
                </c:pt>
              </c:numCache>
            </c:numRef>
          </c:val>
          <c:smooth val="0"/>
          <c:extLst>
            <c:ext xmlns:c16="http://schemas.microsoft.com/office/drawing/2014/chart" uri="{C3380CC4-5D6E-409C-BE32-E72D297353CC}">
              <c16:uniqueId val="{00000022-73D3-441D-B8B4-568F8DE3C5AD}"/>
            </c:ext>
          </c:extLst>
        </c:ser>
        <c:ser>
          <c:idx val="4"/>
          <c:order val="4"/>
          <c:tx>
            <c:strRef>
              <c:f>'Ch4. Grants leading Tech'!$BL$154</c:f>
              <c:strCache>
                <c:ptCount val="1"/>
                <c:pt idx="0">
                  <c:v>Chemical engineering</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24-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25-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26-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27-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28-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29-73D3-441D-B8B4-568F8DE3C5AD}"/>
                </c:ext>
              </c:extLst>
            </c:dLbl>
            <c:dLbl>
              <c:idx val="7"/>
              <c:layout>
                <c:manualLayout>
                  <c:x val="9.1875125186640191E-2"/>
                  <c:y val="0.14302396840208881"/>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A-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Tech'!$BM$154:$BU$154</c:f>
              <c:numCache>
                <c:formatCode>General</c:formatCode>
                <c:ptCount val="9"/>
                <c:pt idx="0">
                  <c:v>11</c:v>
                </c:pt>
                <c:pt idx="1">
                  <c:v>11</c:v>
                </c:pt>
                <c:pt idx="2">
                  <c:v>9</c:v>
                </c:pt>
                <c:pt idx="3">
                  <c:v>10</c:v>
                </c:pt>
                <c:pt idx="4">
                  <c:v>8</c:v>
                </c:pt>
                <c:pt idx="5">
                  <c:v>8</c:v>
                </c:pt>
                <c:pt idx="6">
                  <c:v>6</c:v>
                </c:pt>
                <c:pt idx="7">
                  <c:v>6</c:v>
                </c:pt>
                <c:pt idx="8">
                  <c:v>8</c:v>
                </c:pt>
              </c:numCache>
            </c:numRef>
          </c:val>
          <c:smooth val="0"/>
          <c:extLst>
            <c:ext xmlns:c16="http://schemas.microsoft.com/office/drawing/2014/chart" uri="{C3380CC4-5D6E-409C-BE32-E72D297353CC}">
              <c16:uniqueId val="{0000002B-73D3-441D-B8B4-568F8DE3C5AD}"/>
            </c:ext>
          </c:extLst>
        </c:ser>
        <c:ser>
          <c:idx val="5"/>
          <c:order val="5"/>
          <c:tx>
            <c:strRef>
              <c:f>'Ch4. Grants leading Tech'!$BL$155</c:f>
              <c:strCache>
                <c:ptCount val="1"/>
                <c:pt idx="0">
                  <c:v>Handling</c:v>
                </c:pt>
              </c:strCache>
            </c:strRef>
          </c:tx>
          <c:spPr>
            <a:ln w="38100" cap="rnd">
              <a:solidFill>
                <a:schemeClr val="accent6"/>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2D-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2E-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2F-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30-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31-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32-73D3-441D-B8B4-568F8DE3C5AD}"/>
                </c:ext>
              </c:extLst>
            </c:dLbl>
            <c:dLbl>
              <c:idx val="7"/>
              <c:layout>
                <c:manualLayout>
                  <c:x val="9.3789190294695193E-2"/>
                  <c:y val="-0.20261728856962588"/>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3-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Tech'!$BM$155:$BU$155</c:f>
              <c:numCache>
                <c:formatCode>General</c:formatCode>
                <c:ptCount val="9"/>
                <c:pt idx="0">
                  <c:v>10</c:v>
                </c:pt>
                <c:pt idx="1">
                  <c:v>10</c:v>
                </c:pt>
                <c:pt idx="2">
                  <c:v>10</c:v>
                </c:pt>
                <c:pt idx="3">
                  <c:v>11</c:v>
                </c:pt>
                <c:pt idx="4">
                  <c:v>11</c:v>
                </c:pt>
                <c:pt idx="5">
                  <c:v>11</c:v>
                </c:pt>
                <c:pt idx="6">
                  <c:v>11</c:v>
                </c:pt>
                <c:pt idx="7">
                  <c:v>10</c:v>
                </c:pt>
                <c:pt idx="8">
                  <c:v>7</c:v>
                </c:pt>
              </c:numCache>
            </c:numRef>
          </c:val>
          <c:smooth val="0"/>
          <c:extLst>
            <c:ext xmlns:c16="http://schemas.microsoft.com/office/drawing/2014/chart" uri="{C3380CC4-5D6E-409C-BE32-E72D297353CC}">
              <c16:uniqueId val="{00000034-73D3-441D-B8B4-568F8DE3C5AD}"/>
            </c:ext>
          </c:extLst>
        </c:ser>
        <c:ser>
          <c:idx val="6"/>
          <c:order val="6"/>
          <c:tx>
            <c:strRef>
              <c:f>'Ch4. Grants leading Tech'!$BL$156</c:f>
              <c:strCache>
                <c:ptCount val="1"/>
                <c:pt idx="0">
                  <c:v>Machine tools</c:v>
                </c:pt>
              </c:strCache>
            </c:strRef>
          </c:tx>
          <c:spPr>
            <a:ln w="38100" cap="rnd">
              <a:solidFill>
                <a:schemeClr val="accent1">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36-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37-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38-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39-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3A-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3B-73D3-441D-B8B4-568F8DE3C5AD}"/>
                </c:ext>
              </c:extLst>
            </c:dLbl>
            <c:dLbl>
              <c:idx val="7"/>
              <c:layout>
                <c:manualLayout>
                  <c:x val="9.7617320510805197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C-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Tech'!$BM$156:$BU$156</c:f>
              <c:numCache>
                <c:formatCode>General</c:formatCode>
                <c:ptCount val="9"/>
                <c:pt idx="0">
                  <c:v>4</c:v>
                </c:pt>
                <c:pt idx="1">
                  <c:v>4</c:v>
                </c:pt>
                <c:pt idx="2">
                  <c:v>5</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3D-73D3-441D-B8B4-568F8DE3C5AD}"/>
            </c:ext>
          </c:extLst>
        </c:ser>
        <c:ser>
          <c:idx val="7"/>
          <c:order val="7"/>
          <c:tx>
            <c:strRef>
              <c:f>'Ch4. Grants leading Tech'!$BL$157</c:f>
              <c:strCache>
                <c:ptCount val="1"/>
                <c:pt idx="0">
                  <c:v>Digital communication</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3F-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40-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41-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42-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43-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44-73D3-441D-B8B4-568F8DE3C5AD}"/>
                </c:ext>
              </c:extLst>
            </c:dLbl>
            <c:dLbl>
              <c:idx val="7"/>
              <c:layout>
                <c:manualLayout>
                  <c:x val="9.7617320510805197E-2"/>
                  <c:y val="7.9457760223382665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5-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Tech'!$BM$157:$BU$157</c:f>
              <c:numCache>
                <c:formatCode>General</c:formatCode>
                <c:ptCount val="9"/>
                <c:pt idx="0">
                  <c:v>5</c:v>
                </c:pt>
                <c:pt idx="1">
                  <c:v>5</c:v>
                </c:pt>
                <c:pt idx="2">
                  <c:v>4</c:v>
                </c:pt>
                <c:pt idx="3">
                  <c:v>4</c:v>
                </c:pt>
                <c:pt idx="4">
                  <c:v>4</c:v>
                </c:pt>
                <c:pt idx="5">
                  <c:v>3</c:v>
                </c:pt>
                <c:pt idx="6">
                  <c:v>3</c:v>
                </c:pt>
                <c:pt idx="7">
                  <c:v>4</c:v>
                </c:pt>
                <c:pt idx="8">
                  <c:v>4</c:v>
                </c:pt>
              </c:numCache>
            </c:numRef>
          </c:val>
          <c:smooth val="0"/>
          <c:extLst>
            <c:ext xmlns:c16="http://schemas.microsoft.com/office/drawing/2014/chart" uri="{C3380CC4-5D6E-409C-BE32-E72D297353CC}">
              <c16:uniqueId val="{00000046-73D3-441D-B8B4-568F8DE3C5AD}"/>
            </c:ext>
          </c:extLst>
        </c:ser>
        <c:ser>
          <c:idx val="8"/>
          <c:order val="8"/>
          <c:tx>
            <c:strRef>
              <c:f>'Ch4. Grants leading Tech'!$BL$158</c:f>
              <c:strCache>
                <c:ptCount val="1"/>
                <c:pt idx="0">
                  <c:v>Electrical machinery, apparatus, energy</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48-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49-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4A-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4B-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4C-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4D-73D3-441D-B8B4-568F8DE3C5AD}"/>
                </c:ext>
              </c:extLst>
            </c:dLbl>
            <c:dLbl>
              <c:idx val="7"/>
              <c:layout>
                <c:manualLayout>
                  <c:x val="9.7617320510805197E-2"/>
                  <c:y val="7.9457760223381937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E-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Tech'!$BM$158:$BU$158</c:f>
              <c:numCache>
                <c:formatCode>General</c:formatCode>
                <c:ptCount val="9"/>
                <c:pt idx="0">
                  <c:v>1</c:v>
                </c:pt>
                <c:pt idx="1">
                  <c:v>1</c:v>
                </c:pt>
                <c:pt idx="2">
                  <c:v>2</c:v>
                </c:pt>
                <c:pt idx="3">
                  <c:v>2</c:v>
                </c:pt>
                <c:pt idx="4">
                  <c:v>3</c:v>
                </c:pt>
                <c:pt idx="5">
                  <c:v>4</c:v>
                </c:pt>
                <c:pt idx="6">
                  <c:v>4</c:v>
                </c:pt>
                <c:pt idx="7">
                  <c:v>3</c:v>
                </c:pt>
                <c:pt idx="8">
                  <c:v>3</c:v>
                </c:pt>
              </c:numCache>
            </c:numRef>
          </c:val>
          <c:smooth val="0"/>
          <c:extLst>
            <c:ext xmlns:c16="http://schemas.microsoft.com/office/drawing/2014/chart" uri="{C3380CC4-5D6E-409C-BE32-E72D297353CC}">
              <c16:uniqueId val="{0000004F-73D3-441D-B8B4-568F8DE3C5AD}"/>
            </c:ext>
          </c:extLst>
        </c:ser>
        <c:ser>
          <c:idx val="9"/>
          <c:order val="9"/>
          <c:tx>
            <c:strRef>
              <c:f>'Ch4. Grants leading Tech'!$BL$159</c:f>
              <c:strCache>
                <c:ptCount val="1"/>
                <c:pt idx="0">
                  <c:v>Measurement</c:v>
                </c:pt>
              </c:strCache>
            </c:strRef>
          </c:tx>
          <c:spPr>
            <a:ln w="38100" cap="rnd">
              <a:solidFill>
                <a:schemeClr val="accent4">
                  <a:lumMod val="60000"/>
                </a:schemeClr>
              </a:solidFill>
              <a:round/>
            </a:ln>
            <a:effectLst/>
          </c:spPr>
          <c:marker>
            <c:symbol val="none"/>
          </c:marker>
          <c:dLbls>
            <c:dLbl>
              <c:idx val="0"/>
              <c:layout>
                <c:manualLayout>
                  <c:x val="-4.2109432377210085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0-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51-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52-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53-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54-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55-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56-73D3-441D-B8B4-568F8DE3C5AD}"/>
                </c:ext>
              </c:extLst>
            </c:dLbl>
            <c:dLbl>
              <c:idx val="7"/>
              <c:layout>
                <c:manualLayout>
                  <c:x val="9.5703255402750195E-2"/>
                  <c:y val="0"/>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57-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Tech'!$BM$159:$BU$159</c:f>
              <c:numCache>
                <c:formatCode>General</c:formatCode>
                <c:ptCount val="9"/>
                <c:pt idx="0">
                  <c:v>3</c:v>
                </c:pt>
                <c:pt idx="1">
                  <c:v>3</c:v>
                </c:pt>
                <c:pt idx="2">
                  <c:v>3</c:v>
                </c:pt>
                <c:pt idx="3">
                  <c:v>3</c:v>
                </c:pt>
                <c:pt idx="4">
                  <c:v>2</c:v>
                </c:pt>
                <c:pt idx="5">
                  <c:v>2</c:v>
                </c:pt>
                <c:pt idx="6">
                  <c:v>2</c:v>
                </c:pt>
                <c:pt idx="7">
                  <c:v>2</c:v>
                </c:pt>
                <c:pt idx="8">
                  <c:v>2</c:v>
                </c:pt>
              </c:numCache>
            </c:numRef>
          </c:val>
          <c:smooth val="0"/>
          <c:extLst>
            <c:ext xmlns:c16="http://schemas.microsoft.com/office/drawing/2014/chart" uri="{C3380CC4-5D6E-409C-BE32-E72D297353CC}">
              <c16:uniqueId val="{00000058-73D3-441D-B8B4-568F8DE3C5AD}"/>
            </c:ext>
          </c:extLst>
        </c:ser>
        <c:ser>
          <c:idx val="10"/>
          <c:order val="10"/>
          <c:tx>
            <c:strRef>
              <c:f>'Ch4. Grants leading Tech'!$BL$160</c:f>
              <c:strCache>
                <c:ptCount val="1"/>
                <c:pt idx="0">
                  <c:v>Computer technology</c:v>
                </c:pt>
              </c:strCache>
            </c:strRef>
          </c:tx>
          <c:spPr>
            <a:ln w="28575" cap="rnd">
              <a:solidFill>
                <a:schemeClr val="accent5">
                  <a:lumMod val="60000"/>
                </a:schemeClr>
              </a:solidFill>
              <a:round/>
            </a:ln>
            <a:effectLst/>
          </c:spPr>
          <c:marker>
            <c:symbol val="none"/>
          </c:marker>
          <c:dLbls>
            <c:dLbl>
              <c:idx val="0"/>
              <c:layout>
                <c:manualLayout>
                  <c:x val="-4.4023497485265108E-2"/>
                  <c:y val="3.972888011169133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9-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5A-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5B-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5C-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5D-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5E-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5F-73D3-441D-B8B4-568F8DE3C5AD}"/>
                </c:ext>
              </c:extLst>
            </c:dLbl>
            <c:dLbl>
              <c:idx val="7"/>
              <c:layout>
                <c:manualLayout>
                  <c:x val="9.1875125186640191E-2"/>
                  <c:y val="-3.9728880111691697E-3"/>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0-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Tech'!$BM$160:$BU$160</c:f>
              <c:numCache>
                <c:formatCode>General</c:formatCode>
                <c:ptCount val="9"/>
                <c:pt idx="0">
                  <c:v>2</c:v>
                </c:pt>
                <c:pt idx="1">
                  <c:v>2</c:v>
                </c:pt>
                <c:pt idx="2">
                  <c:v>1</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61-73D3-441D-B8B4-568F8DE3C5AD}"/>
            </c:ext>
          </c:extLst>
        </c:ser>
        <c:ser>
          <c:idx val="11"/>
          <c:order val="11"/>
          <c:tx>
            <c:strRef>
              <c:f>'Ch4. Grants leading Tech'!$BL$161</c:f>
              <c:strCache>
                <c:ptCount val="1"/>
                <c:pt idx="0">
                  <c:v>Audio-visual technology</c:v>
                </c:pt>
              </c:strCache>
            </c:strRef>
          </c:tx>
          <c:spPr>
            <a:ln w="38100" cap="rnd">
              <a:solidFill>
                <a:schemeClr val="accent6">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62-73D3-441D-B8B4-568F8DE3C5AD}"/>
                </c:ext>
              </c:extLst>
            </c:dLbl>
            <c:dLbl>
              <c:idx val="1"/>
              <c:delete val="1"/>
              <c:extLst>
                <c:ext xmlns:c15="http://schemas.microsoft.com/office/drawing/2012/chart" uri="{CE6537A1-D6FC-4f65-9D91-7224C49458BB}"/>
                <c:ext xmlns:c16="http://schemas.microsoft.com/office/drawing/2014/chart" uri="{C3380CC4-5D6E-409C-BE32-E72D297353CC}">
                  <c16:uniqueId val="{00000063-73D3-441D-B8B4-568F8DE3C5AD}"/>
                </c:ext>
              </c:extLst>
            </c:dLbl>
            <c:dLbl>
              <c:idx val="2"/>
              <c:delete val="1"/>
              <c:extLst>
                <c:ext xmlns:c15="http://schemas.microsoft.com/office/drawing/2012/chart" uri="{CE6537A1-D6FC-4f65-9D91-7224C49458BB}"/>
                <c:ext xmlns:c16="http://schemas.microsoft.com/office/drawing/2014/chart" uri="{C3380CC4-5D6E-409C-BE32-E72D297353CC}">
                  <c16:uniqueId val="{00000064-73D3-441D-B8B4-568F8DE3C5AD}"/>
                </c:ext>
              </c:extLst>
            </c:dLbl>
            <c:dLbl>
              <c:idx val="3"/>
              <c:delete val="1"/>
              <c:extLst>
                <c:ext xmlns:c15="http://schemas.microsoft.com/office/drawing/2012/chart" uri="{CE6537A1-D6FC-4f65-9D91-7224C49458BB}"/>
                <c:ext xmlns:c16="http://schemas.microsoft.com/office/drawing/2014/chart" uri="{C3380CC4-5D6E-409C-BE32-E72D297353CC}">
                  <c16:uniqueId val="{00000065-73D3-441D-B8B4-568F8DE3C5AD}"/>
                </c:ext>
              </c:extLst>
            </c:dLbl>
            <c:dLbl>
              <c:idx val="4"/>
              <c:delete val="1"/>
              <c:extLst>
                <c:ext xmlns:c15="http://schemas.microsoft.com/office/drawing/2012/chart" uri="{CE6537A1-D6FC-4f65-9D91-7224C49458BB}"/>
                <c:ext xmlns:c16="http://schemas.microsoft.com/office/drawing/2014/chart" uri="{C3380CC4-5D6E-409C-BE32-E72D297353CC}">
                  <c16:uniqueId val="{00000066-73D3-441D-B8B4-568F8DE3C5AD}"/>
                </c:ext>
              </c:extLst>
            </c:dLbl>
            <c:dLbl>
              <c:idx val="5"/>
              <c:delete val="1"/>
              <c:extLst>
                <c:ext xmlns:c15="http://schemas.microsoft.com/office/drawing/2012/chart" uri="{CE6537A1-D6FC-4f65-9D91-7224C49458BB}"/>
                <c:ext xmlns:c16="http://schemas.microsoft.com/office/drawing/2014/chart" uri="{C3380CC4-5D6E-409C-BE32-E72D297353CC}">
                  <c16:uniqueId val="{00000067-73D3-441D-B8B4-568F8DE3C5AD}"/>
                </c:ext>
              </c:extLst>
            </c:dLbl>
            <c:dLbl>
              <c:idx val="6"/>
              <c:delete val="1"/>
              <c:extLst>
                <c:ext xmlns:c15="http://schemas.microsoft.com/office/drawing/2012/chart" uri="{CE6537A1-D6FC-4f65-9D91-7224C49458BB}"/>
                <c:ext xmlns:c16="http://schemas.microsoft.com/office/drawing/2014/chart" uri="{C3380CC4-5D6E-409C-BE32-E72D297353CC}">
                  <c16:uniqueId val="{00000068-73D3-441D-B8B4-568F8DE3C5AD}"/>
                </c:ext>
              </c:extLst>
            </c:dLbl>
            <c:dLbl>
              <c:idx val="7"/>
              <c:layout>
                <c:manualLayout>
                  <c:x val="6.6629812121698967E-2"/>
                  <c:y val="-3.6218192260876719E-2"/>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41311335854269"/>
                      <c:h val="9.5637710067296197E-2"/>
                    </c:manualLayout>
                  </c15:layout>
                </c:ext>
                <c:ext xmlns:c16="http://schemas.microsoft.com/office/drawing/2014/chart" uri="{C3380CC4-5D6E-409C-BE32-E72D297353CC}">
                  <c16:uniqueId val="{00000069-73D3-441D-B8B4-568F8DE3C5AD}"/>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'Ch4. Grants leading Tech'!$BM$149:$BU$149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Tech'!$BM$161:$BU$161</c:f>
              <c:numCache>
                <c:formatCode>General</c:formatCode>
                <c:ptCount val="9"/>
                <c:pt idx="0">
                  <c:v>11</c:v>
                </c:pt>
                <c:pt idx="1">
                  <c:v>11</c:v>
                </c:pt>
                <c:pt idx="2">
                  <c:v>11</c:v>
                </c:pt>
                <c:pt idx="3">
                  <c:v>8</c:v>
                </c:pt>
                <c:pt idx="4">
                  <c:v>11</c:v>
                </c:pt>
                <c:pt idx="5">
                  <c:v>11</c:v>
                </c:pt>
                <c:pt idx="6">
                  <c:v>11</c:v>
                </c:pt>
                <c:pt idx="7">
                  <c:v>11</c:v>
                </c:pt>
                <c:pt idx="8">
                  <c:v>11</c:v>
                </c:pt>
              </c:numCache>
            </c:numRef>
          </c:val>
          <c:smooth val="0"/>
          <c:extLst>
            <c:ext xmlns:c16="http://schemas.microsoft.com/office/drawing/2014/chart" uri="{C3380CC4-5D6E-409C-BE32-E72D297353CC}">
              <c16:uniqueId val="{0000006A-73D3-441D-B8B4-568F8DE3C5AD}"/>
            </c:ext>
          </c:extLst>
        </c:ser>
        <c:dLbls>
          <c:showLegendKey val="0"/>
          <c:showVal val="0"/>
          <c:showCatName val="0"/>
          <c:showSerName val="0"/>
          <c:showPercent val="0"/>
          <c:showBubbleSize val="0"/>
        </c:dLbls>
        <c:smooth val="0"/>
        <c:axId val="1808652752"/>
        <c:axId val="1808641872"/>
      </c:lineChart>
      <c:catAx>
        <c:axId val="1808652752"/>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8641872"/>
        <c:crosses val="autoZero"/>
        <c:auto val="1"/>
        <c:lblAlgn val="ctr"/>
        <c:lblOffset val="100"/>
        <c:noMultiLvlLbl val="0"/>
      </c:catAx>
      <c:valAx>
        <c:axId val="1808641872"/>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8652752"/>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7555ea02-43e3-4773-9937-a502d3049448}"/>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r>
              <a:rPr lang="en-US" b="1"/>
              <a:t>USPTO - leading fields</a:t>
            </a:r>
          </a:p>
        </c:rich>
      </c:tx>
      <c:overlay val="0"/>
      <c:spPr>
        <a:noFill/>
        <a:ln>
          <a:noFill/>
        </a:ln>
        <a:effectLst/>
      </c:spPr>
      <c:txPr>
        <a:bodyPr rot="0" spcFirstLastPara="1" vertOverflow="ellipsis" vert="horz" wrap="square" anchor="ctr" anchorCtr="1"/>
        <a:lstStyle/>
        <a:p>
          <a:pPr>
            <a:defRPr lang="zh-CN" sz="14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3.1496034408591701E-2"/>
          <c:y val="0.180088914741795"/>
          <c:w val="0.72913381348441697"/>
          <c:h val="0.80932067110845396"/>
        </c:manualLayout>
      </c:layout>
      <c:lineChart>
        <c:grouping val="standard"/>
        <c:varyColors val="0"/>
        <c:ser>
          <c:idx val="0"/>
          <c:order val="0"/>
          <c:tx>
            <c:strRef>
              <c:f>'Ch4. Grants leading Tech'!$BZ$150</c:f>
              <c:strCache>
                <c:ptCount val="1"/>
                <c:pt idx="0">
                  <c:v>Optics</c:v>
                </c:pt>
              </c:strCache>
            </c:strRef>
          </c:tx>
          <c:spPr>
            <a:ln w="38100" cap="rnd">
              <a:solidFill>
                <a:schemeClr val="accent1"/>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01-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02-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03-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04-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05-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06-B36B-4561-8447-C58E06ED6AF7}"/>
                </c:ext>
              </c:extLst>
            </c:dLbl>
            <c:dLbl>
              <c:idx val="7"/>
              <c:layout>
                <c:manualLayout>
                  <c:x val="0.10590774154508251"/>
                  <c:y val="-3.9971208140783211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Tech'!$CA$150:$CI$150</c:f>
              <c:numCache>
                <c:formatCode>General</c:formatCode>
                <c:ptCount val="9"/>
                <c:pt idx="0">
                  <c:v>10</c:v>
                </c:pt>
                <c:pt idx="1">
                  <c:v>10</c:v>
                </c:pt>
                <c:pt idx="2">
                  <c:v>10</c:v>
                </c:pt>
                <c:pt idx="3">
                  <c:v>9</c:v>
                </c:pt>
                <c:pt idx="4">
                  <c:v>9</c:v>
                </c:pt>
                <c:pt idx="5">
                  <c:v>9</c:v>
                </c:pt>
                <c:pt idx="6">
                  <c:v>9</c:v>
                </c:pt>
                <c:pt idx="7">
                  <c:v>9</c:v>
                </c:pt>
                <c:pt idx="8">
                  <c:v>9</c:v>
                </c:pt>
              </c:numCache>
            </c:numRef>
          </c:val>
          <c:smooth val="0"/>
          <c:extLst>
            <c:ext xmlns:c16="http://schemas.microsoft.com/office/drawing/2014/chart" uri="{C3380CC4-5D6E-409C-BE32-E72D297353CC}">
              <c16:uniqueId val="{00000008-B36B-4561-8447-C58E06ED6AF7}"/>
            </c:ext>
          </c:extLst>
        </c:ser>
        <c:ser>
          <c:idx val="1"/>
          <c:order val="1"/>
          <c:tx>
            <c:strRef>
              <c:f>'Ch4. Grants leading Tech'!$BZ$151</c:f>
              <c:strCache>
                <c:ptCount val="1"/>
                <c:pt idx="0">
                  <c:v>Telecommunications</c:v>
                </c:pt>
              </c:strCache>
            </c:strRef>
          </c:tx>
          <c:spPr>
            <a:ln w="38100" cap="rnd">
              <a:solidFill>
                <a:schemeClr val="accent2"/>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0A-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0B-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0C-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0D-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0E-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0F-B36B-4561-8447-C58E06ED6AF7}"/>
                </c:ext>
              </c:extLst>
            </c:dLbl>
            <c:dLbl>
              <c:idx val="7"/>
              <c:layout>
                <c:manualLayout>
                  <c:x val="0.10398214624426269"/>
                  <c:y val="4.396832895485991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0-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Tech'!$CA$151:$CI$151</c:f>
              <c:numCache>
                <c:formatCode>General</c:formatCode>
                <c:ptCount val="9"/>
                <c:pt idx="0">
                  <c:v>9</c:v>
                </c:pt>
                <c:pt idx="1">
                  <c:v>9</c:v>
                </c:pt>
                <c:pt idx="2">
                  <c:v>9</c:v>
                </c:pt>
                <c:pt idx="3">
                  <c:v>10</c:v>
                </c:pt>
                <c:pt idx="4">
                  <c:v>10</c:v>
                </c:pt>
                <c:pt idx="5">
                  <c:v>10</c:v>
                </c:pt>
                <c:pt idx="6">
                  <c:v>10</c:v>
                </c:pt>
                <c:pt idx="7">
                  <c:v>11</c:v>
                </c:pt>
                <c:pt idx="8">
                  <c:v>11</c:v>
                </c:pt>
              </c:numCache>
            </c:numRef>
          </c:val>
          <c:smooth val="0"/>
          <c:extLst>
            <c:ext xmlns:c16="http://schemas.microsoft.com/office/drawing/2014/chart" uri="{C3380CC4-5D6E-409C-BE32-E72D297353CC}">
              <c16:uniqueId val="{00000011-B36B-4561-8447-C58E06ED6AF7}"/>
            </c:ext>
          </c:extLst>
        </c:ser>
        <c:ser>
          <c:idx val="2"/>
          <c:order val="2"/>
          <c:tx>
            <c:strRef>
              <c:f>'Ch4. Grants leading Tech'!$BZ$152</c:f>
              <c:strCache>
                <c:ptCount val="1"/>
                <c:pt idx="0">
                  <c:v>Transport</c:v>
                </c:pt>
              </c:strCache>
            </c:strRef>
          </c:tx>
          <c:spPr>
            <a:ln w="38100" cap="rnd">
              <a:solidFill>
                <a:schemeClr val="accent3"/>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13-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14-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15-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16-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17-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18-B36B-4561-8447-C58E06ED6AF7}"/>
                </c:ext>
              </c:extLst>
            </c:dLbl>
            <c:dLbl>
              <c:idx val="7"/>
              <c:layout>
                <c:manualLayout>
                  <c:x val="0.10975893214672187"/>
                  <c:y val="3.9971208140781745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Tech'!$CA$152:$CI$152</c:f>
              <c:numCache>
                <c:formatCode>General</c:formatCode>
                <c:ptCount val="9"/>
                <c:pt idx="0">
                  <c:v>8</c:v>
                </c:pt>
                <c:pt idx="1">
                  <c:v>8</c:v>
                </c:pt>
                <c:pt idx="2">
                  <c:v>8</c:v>
                </c:pt>
                <c:pt idx="3">
                  <c:v>8</c:v>
                </c:pt>
                <c:pt idx="4">
                  <c:v>8</c:v>
                </c:pt>
                <c:pt idx="5">
                  <c:v>8</c:v>
                </c:pt>
                <c:pt idx="6">
                  <c:v>7</c:v>
                </c:pt>
                <c:pt idx="7">
                  <c:v>6</c:v>
                </c:pt>
                <c:pt idx="8">
                  <c:v>6</c:v>
                </c:pt>
              </c:numCache>
            </c:numRef>
          </c:val>
          <c:smooth val="0"/>
          <c:extLst>
            <c:ext xmlns:c16="http://schemas.microsoft.com/office/drawing/2014/chart" uri="{C3380CC4-5D6E-409C-BE32-E72D297353CC}">
              <c16:uniqueId val="{0000001A-B36B-4561-8447-C58E06ED6AF7}"/>
            </c:ext>
          </c:extLst>
        </c:ser>
        <c:ser>
          <c:idx val="3"/>
          <c:order val="3"/>
          <c:tx>
            <c:strRef>
              <c:f>'Ch4. Grants leading Tech'!$BZ$153</c:f>
              <c:strCache>
                <c:ptCount val="1"/>
                <c:pt idx="0">
                  <c:v>Measurement</c:v>
                </c:pt>
              </c:strCache>
            </c:strRef>
          </c:tx>
          <c:spPr>
            <a:ln w="38100" cap="rnd">
              <a:solidFill>
                <a:schemeClr val="accent4"/>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1C-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1D-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1E-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1F-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20-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21-B36B-4561-8447-C58E06ED6AF7}"/>
                </c:ext>
              </c:extLst>
            </c:dLbl>
            <c:dLbl>
              <c:idx val="7"/>
              <c:layout>
                <c:manualLayout>
                  <c:x val="0.10590774154508251"/>
                  <c:y val="3.9971208140781745E-3"/>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2-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Tech'!$CA$153:$CI$153</c:f>
              <c:numCache>
                <c:formatCode>General</c:formatCode>
                <c:ptCount val="9"/>
                <c:pt idx="0">
                  <c:v>7</c:v>
                </c:pt>
                <c:pt idx="1">
                  <c:v>7</c:v>
                </c:pt>
                <c:pt idx="2">
                  <c:v>7</c:v>
                </c:pt>
                <c:pt idx="3">
                  <c:v>7</c:v>
                </c:pt>
                <c:pt idx="4">
                  <c:v>7</c:v>
                </c:pt>
                <c:pt idx="5">
                  <c:v>7</c:v>
                </c:pt>
                <c:pt idx="6">
                  <c:v>8</c:v>
                </c:pt>
                <c:pt idx="7">
                  <c:v>8</c:v>
                </c:pt>
                <c:pt idx="8">
                  <c:v>8</c:v>
                </c:pt>
              </c:numCache>
            </c:numRef>
          </c:val>
          <c:smooth val="0"/>
          <c:extLst>
            <c:ext xmlns:c16="http://schemas.microsoft.com/office/drawing/2014/chart" uri="{C3380CC4-5D6E-409C-BE32-E72D297353CC}">
              <c16:uniqueId val="{00000023-B36B-4561-8447-C58E06ED6AF7}"/>
            </c:ext>
          </c:extLst>
        </c:ser>
        <c:ser>
          <c:idx val="4"/>
          <c:order val="4"/>
          <c:tx>
            <c:strRef>
              <c:f>'Ch4. Grants leading Tech'!$BZ$154</c:f>
              <c:strCache>
                <c:ptCount val="1"/>
                <c:pt idx="0">
                  <c:v>Audio-visual technology</c:v>
                </c:pt>
              </c:strCache>
            </c:strRef>
          </c:tx>
          <c:spPr>
            <a:ln w="38100" cap="rnd">
              <a:solidFill>
                <a:schemeClr val="accent5"/>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25-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26-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27-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28-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29-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2A-B36B-4561-8447-C58E06ED6AF7}"/>
                </c:ext>
              </c:extLst>
            </c:dLbl>
            <c:dLbl>
              <c:idx val="7"/>
              <c:layout>
                <c:manualLayout>
                  <c:x val="0.10783333684590218"/>
                  <c:y val="-1.5736696118418009E-7"/>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0973326259676686"/>
                      <c:h val="0.11447754011519889"/>
                    </c:manualLayout>
                  </c15:layout>
                </c:ext>
                <c:ext xmlns:c16="http://schemas.microsoft.com/office/drawing/2014/chart" uri="{C3380CC4-5D6E-409C-BE32-E72D297353CC}">
                  <c16:uniqueId val="{0000002B-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Tech'!$CA$154:$CI$154</c:f>
              <c:numCache>
                <c:formatCode>General</c:formatCode>
                <c:ptCount val="9"/>
                <c:pt idx="0">
                  <c:v>6</c:v>
                </c:pt>
                <c:pt idx="1">
                  <c:v>6</c:v>
                </c:pt>
                <c:pt idx="2">
                  <c:v>6</c:v>
                </c:pt>
                <c:pt idx="3">
                  <c:v>6</c:v>
                </c:pt>
                <c:pt idx="4">
                  <c:v>6</c:v>
                </c:pt>
                <c:pt idx="5">
                  <c:v>6</c:v>
                </c:pt>
                <c:pt idx="6">
                  <c:v>6</c:v>
                </c:pt>
                <c:pt idx="7">
                  <c:v>7</c:v>
                </c:pt>
                <c:pt idx="8">
                  <c:v>7</c:v>
                </c:pt>
              </c:numCache>
            </c:numRef>
          </c:val>
          <c:smooth val="0"/>
          <c:extLst>
            <c:ext xmlns:c16="http://schemas.microsoft.com/office/drawing/2014/chart" uri="{C3380CC4-5D6E-409C-BE32-E72D297353CC}">
              <c16:uniqueId val="{0000002C-B36B-4561-8447-C58E06ED6AF7}"/>
            </c:ext>
          </c:extLst>
        </c:ser>
        <c:ser>
          <c:idx val="5"/>
          <c:order val="5"/>
          <c:tx>
            <c:strRef>
              <c:f>'Ch4. Grants leading Tech'!$BZ$155</c:f>
              <c:strCache>
                <c:ptCount val="1"/>
                <c:pt idx="0">
                  <c:v>Semiconductors</c:v>
                </c:pt>
              </c:strCache>
            </c:strRef>
          </c:tx>
          <c:spPr>
            <a:ln w="38100" cap="rnd">
              <a:solidFill>
                <a:schemeClr val="accent6"/>
              </a:solidFill>
              <a:round/>
            </a:ln>
            <a:effectLst/>
          </c:spPr>
          <c:marker>
            <c:symbol val="none"/>
          </c:marker>
          <c:dLbls>
            <c:dLbl>
              <c:idx val="0"/>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2E-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2F-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30-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31-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32-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33-B36B-4561-8447-C58E06ED6AF7}"/>
                </c:ext>
              </c:extLst>
            </c:dLbl>
            <c:dLbl>
              <c:idx val="7"/>
              <c:layout>
                <c:manualLayout>
                  <c:x val="0.10783333684590218"/>
                  <c:y val="1.1991362442234524E-2"/>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4-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Tech'!$CA$155:$CI$155</c:f>
              <c:numCache>
                <c:formatCode>General</c:formatCode>
                <c:ptCount val="9"/>
                <c:pt idx="0">
                  <c:v>4</c:v>
                </c:pt>
                <c:pt idx="1">
                  <c:v>4</c:v>
                </c:pt>
                <c:pt idx="2">
                  <c:v>4</c:v>
                </c:pt>
                <c:pt idx="3">
                  <c:v>5</c:v>
                </c:pt>
                <c:pt idx="4">
                  <c:v>5</c:v>
                </c:pt>
                <c:pt idx="5">
                  <c:v>5</c:v>
                </c:pt>
                <c:pt idx="6">
                  <c:v>5</c:v>
                </c:pt>
                <c:pt idx="7">
                  <c:v>5</c:v>
                </c:pt>
                <c:pt idx="8">
                  <c:v>5</c:v>
                </c:pt>
              </c:numCache>
            </c:numRef>
          </c:val>
          <c:smooth val="0"/>
          <c:extLst>
            <c:ext xmlns:c16="http://schemas.microsoft.com/office/drawing/2014/chart" uri="{C3380CC4-5D6E-409C-BE32-E72D297353CC}">
              <c16:uniqueId val="{00000035-B36B-4561-8447-C58E06ED6AF7}"/>
            </c:ext>
          </c:extLst>
        </c:ser>
        <c:ser>
          <c:idx val="6"/>
          <c:order val="6"/>
          <c:tx>
            <c:strRef>
              <c:f>'Ch4. Grants leading Tech'!$BZ$156</c:f>
              <c:strCache>
                <c:ptCount val="1"/>
                <c:pt idx="0">
                  <c:v>Medical technology</c:v>
                </c:pt>
              </c:strCache>
            </c:strRef>
          </c:tx>
          <c:spPr>
            <a:ln w="38100" cap="rnd">
              <a:solidFill>
                <a:schemeClr val="accent1">
                  <a:lumMod val="60000"/>
                </a:schemeClr>
              </a:solidFill>
              <a:round/>
            </a:ln>
            <a:effectLst/>
          </c:spPr>
          <c:marker>
            <c:symbol val="none"/>
          </c:marker>
          <c:dLbls>
            <c:dLbl>
              <c:idx val="0"/>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37-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38-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39-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3A-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3B-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3C-B36B-4561-8447-C58E06ED6AF7}"/>
                </c:ext>
              </c:extLst>
            </c:dLbl>
            <c:dLbl>
              <c:idx val="7"/>
              <c:layout>
                <c:manualLayout>
                  <c:x val="0.10590774154508251"/>
                  <c:y val="-1.1991362442234596E-2"/>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D-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Tech'!$CA$156:$CI$156</c:f>
              <c:numCache>
                <c:formatCode>General</c:formatCode>
                <c:ptCount val="9"/>
                <c:pt idx="0">
                  <c:v>5</c:v>
                </c:pt>
                <c:pt idx="1">
                  <c:v>5</c:v>
                </c:pt>
                <c:pt idx="2">
                  <c:v>5</c:v>
                </c:pt>
                <c:pt idx="3">
                  <c:v>4</c:v>
                </c:pt>
                <c:pt idx="4">
                  <c:v>4</c:v>
                </c:pt>
                <c:pt idx="5">
                  <c:v>3</c:v>
                </c:pt>
                <c:pt idx="6">
                  <c:v>3</c:v>
                </c:pt>
                <c:pt idx="7">
                  <c:v>3</c:v>
                </c:pt>
                <c:pt idx="8">
                  <c:v>3</c:v>
                </c:pt>
              </c:numCache>
            </c:numRef>
          </c:val>
          <c:smooth val="0"/>
          <c:extLst>
            <c:ext xmlns:c16="http://schemas.microsoft.com/office/drawing/2014/chart" uri="{C3380CC4-5D6E-409C-BE32-E72D297353CC}">
              <c16:uniqueId val="{0000003E-B36B-4561-8447-C58E06ED6AF7}"/>
            </c:ext>
          </c:extLst>
        </c:ser>
        <c:ser>
          <c:idx val="7"/>
          <c:order val="7"/>
          <c:tx>
            <c:strRef>
              <c:f>'Ch4. Grants leading Tech'!$BZ$157</c:f>
              <c:strCache>
                <c:ptCount val="1"/>
                <c:pt idx="0">
                  <c:v>Electrical machinery, apparatus, energy</c:v>
                </c:pt>
              </c:strCache>
            </c:strRef>
          </c:tx>
          <c:spPr>
            <a:ln w="38100" cap="rnd">
              <a:solidFill>
                <a:schemeClr val="accent2">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F-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40-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41-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42-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43-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44-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45-B36B-4561-8447-C58E06ED6AF7}"/>
                </c:ext>
              </c:extLst>
            </c:dLbl>
            <c:dLbl>
              <c:idx val="7"/>
              <c:layout>
                <c:manualLayout>
                  <c:x val="0.10590774154508251"/>
                  <c:y val="-7.3279701724732336E-17"/>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6-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l"/>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Tech'!$CA$157:$CI$157</c:f>
              <c:numCache>
                <c:formatCode>General</c:formatCode>
                <c:ptCount val="9"/>
                <c:pt idx="0">
                  <c:v>3</c:v>
                </c:pt>
                <c:pt idx="1">
                  <c:v>3</c:v>
                </c:pt>
                <c:pt idx="2">
                  <c:v>3</c:v>
                </c:pt>
                <c:pt idx="3">
                  <c:v>3</c:v>
                </c:pt>
                <c:pt idx="4">
                  <c:v>3</c:v>
                </c:pt>
                <c:pt idx="5">
                  <c:v>4</c:v>
                </c:pt>
                <c:pt idx="6">
                  <c:v>4</c:v>
                </c:pt>
                <c:pt idx="7">
                  <c:v>4</c:v>
                </c:pt>
                <c:pt idx="8">
                  <c:v>4</c:v>
                </c:pt>
              </c:numCache>
            </c:numRef>
          </c:val>
          <c:smooth val="0"/>
          <c:extLst>
            <c:ext xmlns:c16="http://schemas.microsoft.com/office/drawing/2014/chart" uri="{C3380CC4-5D6E-409C-BE32-E72D297353CC}">
              <c16:uniqueId val="{00000047-B36B-4561-8447-C58E06ED6AF7}"/>
            </c:ext>
          </c:extLst>
        </c:ser>
        <c:ser>
          <c:idx val="8"/>
          <c:order val="8"/>
          <c:tx>
            <c:strRef>
              <c:f>'Ch4. Grants leading Tech'!$BZ$158</c:f>
              <c:strCache>
                <c:ptCount val="1"/>
                <c:pt idx="0">
                  <c:v>Digital communication</c:v>
                </c:pt>
              </c:strCache>
            </c:strRef>
          </c:tx>
          <c:spPr>
            <a:ln w="38100" cap="rnd">
              <a:solidFill>
                <a:schemeClr val="accent3">
                  <a:lumMod val="60000"/>
                </a:schemeClr>
              </a:solidFill>
              <a:round/>
            </a:ln>
            <a:effectLst/>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49-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4A-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4B-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4C-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4D-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4E-B36B-4561-8447-C58E06ED6AF7}"/>
                </c:ext>
              </c:extLst>
            </c:dLbl>
            <c:dLbl>
              <c:idx val="7"/>
              <c:layout>
                <c:manualLayout>
                  <c:x val="8.8169824769311414E-2"/>
                  <c:y val="1.5736696118418009E-7"/>
                </c:manualLayout>
              </c:layout>
              <c:dLblPos val="r"/>
              <c:showLegendKey val="0"/>
              <c:showVal val="0"/>
              <c:showCatName val="0"/>
              <c:showSerName val="1"/>
              <c:showPercent val="0"/>
              <c:showBubbleSize val="0"/>
              <c:extLst>
                <c:ext xmlns:c15="http://schemas.microsoft.com/office/drawing/2012/chart" uri="{CE6537A1-D6FC-4f65-9D91-7224C49458BB}">
                  <c15:layout>
                    <c:manualLayout>
                      <c:w val="0.23139166184121701"/>
                      <c:h val="0.100368606167572"/>
                    </c:manualLayout>
                  </c15:layout>
                </c:ext>
                <c:ext xmlns:c16="http://schemas.microsoft.com/office/drawing/2014/chart" uri="{C3380CC4-5D6E-409C-BE32-E72D297353CC}">
                  <c16:uniqueId val="{0000004F-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Tech'!$CA$158:$CI$158</c:f>
              <c:numCache>
                <c:formatCode>General</c:formatCode>
                <c:ptCount val="9"/>
                <c:pt idx="0">
                  <c:v>2</c:v>
                </c:pt>
                <c:pt idx="1">
                  <c:v>2</c:v>
                </c:pt>
                <c:pt idx="2">
                  <c:v>2</c:v>
                </c:pt>
                <c:pt idx="3">
                  <c:v>2</c:v>
                </c:pt>
                <c:pt idx="4">
                  <c:v>2</c:v>
                </c:pt>
                <c:pt idx="5">
                  <c:v>2</c:v>
                </c:pt>
                <c:pt idx="6">
                  <c:v>2</c:v>
                </c:pt>
                <c:pt idx="7">
                  <c:v>2</c:v>
                </c:pt>
                <c:pt idx="8">
                  <c:v>2</c:v>
                </c:pt>
              </c:numCache>
            </c:numRef>
          </c:val>
          <c:smooth val="0"/>
          <c:extLst>
            <c:ext xmlns:c16="http://schemas.microsoft.com/office/drawing/2014/chart" uri="{C3380CC4-5D6E-409C-BE32-E72D297353CC}">
              <c16:uniqueId val="{00000050-B36B-4561-8447-C58E06ED6AF7}"/>
            </c:ext>
          </c:extLst>
        </c:ser>
        <c:ser>
          <c:idx val="9"/>
          <c:order val="9"/>
          <c:tx>
            <c:strRef>
              <c:f>'Ch4. Grants leading Tech'!$BZ$159</c:f>
              <c:strCache>
                <c:ptCount val="1"/>
                <c:pt idx="0">
                  <c:v>IT methods for management</c:v>
                </c:pt>
              </c:strCache>
            </c:strRef>
          </c:tx>
          <c:spPr>
            <a:ln w="38100" cap="rnd">
              <a:solidFill>
                <a:schemeClr val="accent4">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1-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52-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53-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54-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55-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56-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57-B36B-4561-8447-C58E06ED6AF7}"/>
                </c:ext>
              </c:extLst>
            </c:dLbl>
            <c:dLbl>
              <c:idx val="7"/>
              <c:layout>
                <c:manualLayout>
                  <c:x val="7.6462963448713755E-2"/>
                  <c:y val="5.1962413216055083E-2"/>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15:layout>
                    <c:manualLayout>
                      <c:w val="0.19585229804636986"/>
                      <c:h val="0.11447754011519889"/>
                    </c:manualLayout>
                  </c15:layout>
                </c:ext>
                <c:ext xmlns:c16="http://schemas.microsoft.com/office/drawing/2014/chart" uri="{C3380CC4-5D6E-409C-BE32-E72D297353CC}">
                  <c16:uniqueId val="{00000058-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Tech'!$CA$159:$CI$159</c:f>
              <c:numCache>
                <c:formatCode>General</c:formatCode>
                <c:ptCount val="9"/>
                <c:pt idx="0">
                  <c:v>11</c:v>
                </c:pt>
                <c:pt idx="1">
                  <c:v>11</c:v>
                </c:pt>
                <c:pt idx="2">
                  <c:v>11</c:v>
                </c:pt>
                <c:pt idx="3">
                  <c:v>11</c:v>
                </c:pt>
                <c:pt idx="4">
                  <c:v>11</c:v>
                </c:pt>
                <c:pt idx="5">
                  <c:v>11</c:v>
                </c:pt>
                <c:pt idx="6">
                  <c:v>11</c:v>
                </c:pt>
                <c:pt idx="7">
                  <c:v>10</c:v>
                </c:pt>
                <c:pt idx="8">
                  <c:v>11</c:v>
                </c:pt>
              </c:numCache>
            </c:numRef>
          </c:val>
          <c:smooth val="0"/>
          <c:extLst>
            <c:ext xmlns:c16="http://schemas.microsoft.com/office/drawing/2014/chart" uri="{C3380CC4-5D6E-409C-BE32-E72D297353CC}">
              <c16:uniqueId val="{00000059-B36B-4561-8447-C58E06ED6AF7}"/>
            </c:ext>
          </c:extLst>
        </c:ser>
        <c:ser>
          <c:idx val="10"/>
          <c:order val="10"/>
          <c:tx>
            <c:strRef>
              <c:f>'Ch4. Grants leading Tech'!$BZ$160</c:f>
              <c:strCache>
                <c:ptCount val="1"/>
                <c:pt idx="0">
                  <c:v>Computer technology</c:v>
                </c:pt>
              </c:strCache>
            </c:strRef>
          </c:tx>
          <c:spPr>
            <a:ln w="28575" cap="rnd">
              <a:solidFill>
                <a:schemeClr val="accent5">
                  <a:lumMod val="60000"/>
                </a:schemeClr>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A-B36B-4561-8447-C58E06ED6AF7}"/>
                </c:ext>
              </c:extLst>
            </c:dLbl>
            <c:dLbl>
              <c:idx val="1"/>
              <c:delete val="1"/>
              <c:extLst>
                <c:ext xmlns:c15="http://schemas.microsoft.com/office/drawing/2012/chart" uri="{CE6537A1-D6FC-4f65-9D91-7224C49458BB}"/>
                <c:ext xmlns:c16="http://schemas.microsoft.com/office/drawing/2014/chart" uri="{C3380CC4-5D6E-409C-BE32-E72D297353CC}">
                  <c16:uniqueId val="{0000005B-B36B-4561-8447-C58E06ED6AF7}"/>
                </c:ext>
              </c:extLst>
            </c:dLbl>
            <c:dLbl>
              <c:idx val="2"/>
              <c:delete val="1"/>
              <c:extLst>
                <c:ext xmlns:c15="http://schemas.microsoft.com/office/drawing/2012/chart" uri="{CE6537A1-D6FC-4f65-9D91-7224C49458BB}"/>
                <c:ext xmlns:c16="http://schemas.microsoft.com/office/drawing/2014/chart" uri="{C3380CC4-5D6E-409C-BE32-E72D297353CC}">
                  <c16:uniqueId val="{0000005C-B36B-4561-8447-C58E06ED6AF7}"/>
                </c:ext>
              </c:extLst>
            </c:dLbl>
            <c:dLbl>
              <c:idx val="3"/>
              <c:delete val="1"/>
              <c:extLst>
                <c:ext xmlns:c15="http://schemas.microsoft.com/office/drawing/2012/chart" uri="{CE6537A1-D6FC-4f65-9D91-7224C49458BB}"/>
                <c:ext xmlns:c16="http://schemas.microsoft.com/office/drawing/2014/chart" uri="{C3380CC4-5D6E-409C-BE32-E72D297353CC}">
                  <c16:uniqueId val="{0000005D-B36B-4561-8447-C58E06ED6AF7}"/>
                </c:ext>
              </c:extLst>
            </c:dLbl>
            <c:dLbl>
              <c:idx val="4"/>
              <c:delete val="1"/>
              <c:extLst>
                <c:ext xmlns:c15="http://schemas.microsoft.com/office/drawing/2012/chart" uri="{CE6537A1-D6FC-4f65-9D91-7224C49458BB}"/>
                <c:ext xmlns:c16="http://schemas.microsoft.com/office/drawing/2014/chart" uri="{C3380CC4-5D6E-409C-BE32-E72D297353CC}">
                  <c16:uniqueId val="{0000005E-B36B-4561-8447-C58E06ED6AF7}"/>
                </c:ext>
              </c:extLst>
            </c:dLbl>
            <c:dLbl>
              <c:idx val="5"/>
              <c:delete val="1"/>
              <c:extLst>
                <c:ext xmlns:c15="http://schemas.microsoft.com/office/drawing/2012/chart" uri="{CE6537A1-D6FC-4f65-9D91-7224C49458BB}"/>
                <c:ext xmlns:c16="http://schemas.microsoft.com/office/drawing/2014/chart" uri="{C3380CC4-5D6E-409C-BE32-E72D297353CC}">
                  <c16:uniqueId val="{0000005F-B36B-4561-8447-C58E06ED6AF7}"/>
                </c:ext>
              </c:extLst>
            </c:dLbl>
            <c:dLbl>
              <c:idx val="6"/>
              <c:delete val="1"/>
              <c:extLst>
                <c:ext xmlns:c15="http://schemas.microsoft.com/office/drawing/2012/chart" uri="{CE6537A1-D6FC-4f65-9D91-7224C49458BB}"/>
                <c:ext xmlns:c16="http://schemas.microsoft.com/office/drawing/2014/chart" uri="{C3380CC4-5D6E-409C-BE32-E72D297353CC}">
                  <c16:uniqueId val="{00000060-B36B-4561-8447-C58E06ED6AF7}"/>
                </c:ext>
              </c:extLst>
            </c:dLbl>
            <c:dLbl>
              <c:idx val="7"/>
              <c:layout>
                <c:manualLayout>
                  <c:x val="0.10590774154508251"/>
                  <c:y val="0"/>
                </c:manualLayout>
              </c:layout>
              <c:spPr>
                <a:noFill/>
                <a:ln>
                  <a:noFill/>
                </a:ln>
                <a:effectLst/>
              </c:spPr>
              <c:txPr>
                <a:bodyPr rot="0" spcFirstLastPara="1" vertOverflow="ellipsis" vert="horz" wrap="square" lIns="38100" tIns="19050" rIns="38100" bIns="19050" anchor="ctr" anchorCtr="1">
                  <a:spAutoFit/>
                </a:bodyPr>
                <a:lstStyle/>
                <a:p>
                  <a:pPr>
                    <a:defRPr lang="zh-CN" sz="1050" b="0" i="0" u="none" strike="noStrike" kern="1200" baseline="0">
                      <a:solidFill>
                        <a:schemeClr val="tx1"/>
                      </a:solidFill>
                      <a:latin typeface="+mn-lt"/>
                      <a:ea typeface="+mn-ea"/>
                      <a:cs typeface="+mn-cs"/>
                    </a:defRPr>
                  </a:pPr>
                  <a:endParaRPr lang="zh-CN"/>
                </a:p>
              </c:txPr>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61-B36B-4561-8447-C58E06ED6AF7}"/>
                </c:ext>
              </c:extLst>
            </c:dLbl>
            <c:spPr>
              <a:noFill/>
              <a:ln>
                <a:noFill/>
              </a:ln>
              <a:effectLst/>
            </c:spPr>
            <c:txPr>
              <a:bodyPr rot="0" spcFirstLastPara="1" vertOverflow="ellipsis" vert="horz" wrap="square" lIns="38100" tIns="19050" rIns="38100" bIns="19050" anchor="ctr" anchorCtr="1">
                <a:spAutoFit/>
              </a:bodyPr>
              <a:lstStyle/>
              <a:p>
                <a:pPr>
                  <a:defRPr lang="zh-CN" sz="900" b="0" i="0" u="none" strike="noStrike" kern="1200" baseline="0">
                    <a:solidFill>
                      <a:schemeClr val="tx1"/>
                    </a:solidFill>
                    <a:latin typeface="+mn-lt"/>
                    <a:ea typeface="+mn-ea"/>
                    <a:cs typeface="+mn-cs"/>
                  </a:defRPr>
                </a:pPr>
                <a:endParaRPr lang="zh-CN"/>
              </a:p>
            </c:txPr>
            <c:dLblPos val="r"/>
            <c:showLegendKey val="0"/>
            <c:showVal val="0"/>
            <c:showCatName val="0"/>
            <c:showSerName val="0"/>
            <c:showPercent val="0"/>
            <c:showBubbleSize val="0"/>
            <c:extLst>
              <c:ext xmlns:c15="http://schemas.microsoft.com/office/drawing/2012/chart" uri="{CE6537A1-D6FC-4f65-9D91-7224C49458BB}">
                <c15:showLeaderLines val="0"/>
              </c:ext>
            </c:extLst>
          </c:dLbls>
          <c:cat>
            <c:numRef>
              <c:f>'Ch4. Grants leading Tech'!$CA$149:$CI$149</c:f>
              <c:numCache>
                <c:formatCode>General</c:formatCode>
                <c:ptCount val="9"/>
                <c:pt idx="0">
                  <c:v>2016</c:v>
                </c:pt>
                <c:pt idx="1">
                  <c:v>2017</c:v>
                </c:pt>
                <c:pt idx="2">
                  <c:v>2018</c:v>
                </c:pt>
                <c:pt idx="3">
                  <c:v>2019</c:v>
                </c:pt>
                <c:pt idx="4">
                  <c:v>2020</c:v>
                </c:pt>
                <c:pt idx="5">
                  <c:v>2021</c:v>
                </c:pt>
                <c:pt idx="6">
                  <c:v>2022</c:v>
                </c:pt>
                <c:pt idx="7">
                  <c:v>2023</c:v>
                </c:pt>
                <c:pt idx="8">
                  <c:v>2024</c:v>
                </c:pt>
              </c:numCache>
            </c:numRef>
          </c:cat>
          <c:val>
            <c:numRef>
              <c:f>'Ch4. Grants leading Tech'!$CA$160:$CI$160</c:f>
              <c:numCache>
                <c:formatCode>General</c:formatCode>
                <c:ptCount val="9"/>
                <c:pt idx="0">
                  <c:v>1</c:v>
                </c:pt>
                <c:pt idx="1">
                  <c:v>1</c:v>
                </c:pt>
                <c:pt idx="2">
                  <c:v>1</c:v>
                </c:pt>
                <c:pt idx="3">
                  <c:v>1</c:v>
                </c:pt>
                <c:pt idx="4">
                  <c:v>1</c:v>
                </c:pt>
                <c:pt idx="5">
                  <c:v>1</c:v>
                </c:pt>
                <c:pt idx="6">
                  <c:v>1</c:v>
                </c:pt>
                <c:pt idx="7">
                  <c:v>1</c:v>
                </c:pt>
                <c:pt idx="8">
                  <c:v>1</c:v>
                </c:pt>
              </c:numCache>
            </c:numRef>
          </c:val>
          <c:smooth val="0"/>
          <c:extLst>
            <c:ext xmlns:c16="http://schemas.microsoft.com/office/drawing/2014/chart" uri="{C3380CC4-5D6E-409C-BE32-E72D297353CC}">
              <c16:uniqueId val="{00000062-B36B-4561-8447-C58E06ED6AF7}"/>
            </c:ext>
          </c:extLst>
        </c:ser>
        <c:dLbls>
          <c:showLegendKey val="0"/>
          <c:showVal val="0"/>
          <c:showCatName val="0"/>
          <c:showSerName val="0"/>
          <c:showPercent val="0"/>
          <c:showBubbleSize val="0"/>
        </c:dLbls>
        <c:smooth val="0"/>
        <c:axId val="1808649488"/>
        <c:axId val="1808638608"/>
      </c:lineChart>
      <c:catAx>
        <c:axId val="1808649488"/>
        <c:scaling>
          <c:orientation val="minMax"/>
        </c:scaling>
        <c:delete val="0"/>
        <c:axPos val="t"/>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lang="zh-CN" sz="1050" b="0" i="0" u="none" strike="noStrike" kern="1200" baseline="0">
                <a:solidFill>
                  <a:schemeClr val="tx1"/>
                </a:solidFill>
                <a:latin typeface="+mn-lt"/>
                <a:ea typeface="+mn-ea"/>
                <a:cs typeface="+mn-cs"/>
              </a:defRPr>
            </a:pPr>
            <a:endParaRPr lang="zh-CN"/>
          </a:p>
        </c:txPr>
        <c:crossAx val="1808638608"/>
        <c:crosses val="autoZero"/>
        <c:auto val="1"/>
        <c:lblAlgn val="ctr"/>
        <c:lblOffset val="100"/>
        <c:noMultiLvlLbl val="0"/>
      </c:catAx>
      <c:valAx>
        <c:axId val="1808638608"/>
        <c:scaling>
          <c:orientation val="maxMin"/>
          <c:min val="0"/>
        </c:scaling>
        <c:delete val="0"/>
        <c:axPos val="l"/>
        <c:numFmt formatCode="General" sourceLinked="1"/>
        <c:majorTickMark val="out"/>
        <c:minorTickMark val="none"/>
        <c:tickLblPos val="none"/>
        <c:spPr>
          <a:noFill/>
          <a:ln>
            <a:noFill/>
          </a:ln>
          <a:effectLst/>
        </c:spPr>
        <c:txPr>
          <a:bodyPr rot="-60000000" spcFirstLastPara="1" vertOverflow="ellipsis" vert="horz" wrap="square" anchor="ctr" anchorCtr="1"/>
          <a:lstStyle/>
          <a:p>
            <a:pPr>
              <a:defRPr lang="zh-CN" sz="900" b="0" i="0" u="none" strike="noStrike" kern="1200" baseline="0">
                <a:solidFill>
                  <a:schemeClr val="tx1"/>
                </a:solidFill>
                <a:latin typeface="+mn-lt"/>
                <a:ea typeface="+mn-ea"/>
                <a:cs typeface="+mn-cs"/>
              </a:defRPr>
            </a:pPr>
            <a:endParaRPr lang="zh-CN"/>
          </a:p>
        </c:txPr>
        <c:crossAx val="1808649488"/>
        <c:crosses val="autoZero"/>
        <c:crossBetween val="between"/>
        <c:majorUnit val="1"/>
      </c:valAx>
      <c:spPr>
        <a:noFill/>
        <a:ln>
          <a:noFill/>
        </a:ln>
        <a:effectLst/>
      </c:spPr>
    </c:plotArea>
    <c:plotVisOnly val="1"/>
    <c:dispBlanksAs val="gap"/>
    <c:showDLblsOverMax val="0"/>
    <c:extLst>
      <c:ext uri="{0b15fc19-7d7d-44ad-8c2d-2c3a37ce22c3}">
        <chartProps xmlns="https://web.wps.cn/et/2018/main" chartId="{d1cef8b6-809c-466d-9ea8-91f04e4674dd}"/>
      </c:ext>
    </c:extLst>
  </c:chart>
  <c:spPr>
    <a:solidFill>
      <a:schemeClr val="bg1"/>
    </a:solidFill>
    <a:ln w="9525" cap="flat" cmpd="sng" algn="ctr">
      <a:solidFill>
        <a:schemeClr val="tx1"/>
      </a:solidFill>
      <a:round/>
    </a:ln>
    <a:effectLst/>
  </c:spPr>
  <c:txPr>
    <a:bodyPr/>
    <a:lstStyle/>
    <a:p>
      <a:pPr>
        <a:defRPr lang="zh-CN">
          <a:solidFill>
            <a:schemeClr val="tx1"/>
          </a:solidFill>
        </a:defRPr>
      </a:pPr>
      <a:endParaRPr lang="zh-CN"/>
    </a:p>
  </c:txPr>
  <c:printSettings>
    <c:headerFooter/>
    <c:pageMargins b="0.75" l="0.7" r="0.7" t="0.75" header="0.3" footer="0.3"/>
    <c:pageSetup/>
  </c:printSettings>
  <c:userShapes r:id="rId3"/>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Maintenance'!$B$9:$B$28</c:f>
              <c:numCache>
                <c:formatCode>0%</c:formatCode>
                <c:ptCount val="20"/>
                <c:pt idx="0">
                  <c:v>1</c:v>
                </c:pt>
                <c:pt idx="1">
                  <c:v>0.99</c:v>
                </c:pt>
                <c:pt idx="2">
                  <c:v>0.91</c:v>
                </c:pt>
                <c:pt idx="3">
                  <c:v>0.76</c:v>
                </c:pt>
                <c:pt idx="4">
                  <c:v>0.65</c:v>
                </c:pt>
                <c:pt idx="5">
                  <c:v>0.56999999999999995</c:v>
                </c:pt>
                <c:pt idx="6">
                  <c:v>0.51</c:v>
                </c:pt>
                <c:pt idx="7">
                  <c:v>0.49</c:v>
                </c:pt>
                <c:pt idx="8">
                  <c:v>0.47</c:v>
                </c:pt>
                <c:pt idx="9">
                  <c:v>0.46</c:v>
                </c:pt>
                <c:pt idx="10">
                  <c:v>0.45</c:v>
                </c:pt>
                <c:pt idx="11">
                  <c:v>0.42</c:v>
                </c:pt>
                <c:pt idx="12">
                  <c:v>0.38</c:v>
                </c:pt>
                <c:pt idx="13">
                  <c:v>0.34</c:v>
                </c:pt>
                <c:pt idx="14">
                  <c:v>0.28999999999999998</c:v>
                </c:pt>
                <c:pt idx="15">
                  <c:v>0.26</c:v>
                </c:pt>
                <c:pt idx="16">
                  <c:v>0.22</c:v>
                </c:pt>
                <c:pt idx="17">
                  <c:v>0.19</c:v>
                </c:pt>
                <c:pt idx="18">
                  <c:v>0.16</c:v>
                </c:pt>
                <c:pt idx="19">
                  <c:v>0.13</c:v>
                </c:pt>
              </c:numCache>
            </c:numRef>
          </c:val>
          <c:smooth val="0"/>
          <c:extLst>
            <c:ext xmlns:c16="http://schemas.microsoft.com/office/drawing/2014/chart" uri="{C3380CC4-5D6E-409C-BE32-E72D297353CC}">
              <c16:uniqueId val="{00000000-F446-41AF-82E4-9E9AA080BD3F}"/>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Maintenance'!$C$9:$C$28</c:f>
              <c:numCache>
                <c:formatCode>0%</c:formatCode>
                <c:ptCount val="20"/>
                <c:pt idx="0">
                  <c:v>1</c:v>
                </c:pt>
                <c:pt idx="1">
                  <c:v>0.99</c:v>
                </c:pt>
                <c:pt idx="2">
                  <c:v>0.9</c:v>
                </c:pt>
                <c:pt idx="3">
                  <c:v>0.75</c:v>
                </c:pt>
                <c:pt idx="4">
                  <c:v>0.63</c:v>
                </c:pt>
                <c:pt idx="5">
                  <c:v>0.54</c:v>
                </c:pt>
                <c:pt idx="6">
                  <c:v>0.48</c:v>
                </c:pt>
                <c:pt idx="7">
                  <c:v>0.45</c:v>
                </c:pt>
                <c:pt idx="8">
                  <c:v>0.44</c:v>
                </c:pt>
                <c:pt idx="9">
                  <c:v>0.42</c:v>
                </c:pt>
                <c:pt idx="10">
                  <c:v>0.41</c:v>
                </c:pt>
                <c:pt idx="11">
                  <c:v>0.41</c:v>
                </c:pt>
                <c:pt idx="12">
                  <c:v>0.38</c:v>
                </c:pt>
                <c:pt idx="13">
                  <c:v>0.35</c:v>
                </c:pt>
                <c:pt idx="14">
                  <c:v>0.31</c:v>
                </c:pt>
                <c:pt idx="15">
                  <c:v>0.27</c:v>
                </c:pt>
                <c:pt idx="16">
                  <c:v>0.23</c:v>
                </c:pt>
                <c:pt idx="17">
                  <c:v>0.2</c:v>
                </c:pt>
                <c:pt idx="18">
                  <c:v>0.17</c:v>
                </c:pt>
                <c:pt idx="19">
                  <c:v>0.15</c:v>
                </c:pt>
              </c:numCache>
            </c:numRef>
          </c:val>
          <c:smooth val="0"/>
          <c:extLst>
            <c:ext xmlns:c16="http://schemas.microsoft.com/office/drawing/2014/chart" uri="{C3380CC4-5D6E-409C-BE32-E72D297353CC}">
              <c16:uniqueId val="{00000001-F446-41AF-82E4-9E9AA080BD3F}"/>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Maintenance'!$D$9:$D$28</c:f>
              <c:numCache>
                <c:formatCode>0%</c:formatCode>
                <c:ptCount val="20"/>
                <c:pt idx="0">
                  <c:v>0.99998783550923898</c:v>
                </c:pt>
                <c:pt idx="1">
                  <c:v>0.98698456793685096</c:v>
                </c:pt>
                <c:pt idx="2">
                  <c:v>0.90348661150295395</c:v>
                </c:pt>
                <c:pt idx="3">
                  <c:v>0.75164565576563303</c:v>
                </c:pt>
                <c:pt idx="4">
                  <c:v>0.62191438628846796</c:v>
                </c:pt>
                <c:pt idx="5">
                  <c:v>0.53207171301892997</c:v>
                </c:pt>
                <c:pt idx="6">
                  <c:v>0.46818063965789097</c:v>
                </c:pt>
                <c:pt idx="7">
                  <c:v>0.423534580312112</c:v>
                </c:pt>
                <c:pt idx="8">
                  <c:v>0.39617526130333403</c:v>
                </c:pt>
                <c:pt idx="9">
                  <c:v>0.38729396824530699</c:v>
                </c:pt>
                <c:pt idx="10">
                  <c:v>0.37594698009663502</c:v>
                </c:pt>
                <c:pt idx="11">
                  <c:v>0.365318158845994</c:v>
                </c:pt>
                <c:pt idx="12">
                  <c:v>0.35941201502626102</c:v>
                </c:pt>
                <c:pt idx="13">
                  <c:v>0.33790597059845401</c:v>
                </c:pt>
                <c:pt idx="14">
                  <c:v>0.300234368919164</c:v>
                </c:pt>
                <c:pt idx="15">
                  <c:v>0.26353075939383203</c:v>
                </c:pt>
                <c:pt idx="16">
                  <c:v>0.22600095888035401</c:v>
                </c:pt>
                <c:pt idx="17">
                  <c:v>0.19108296989123</c:v>
                </c:pt>
                <c:pt idx="18">
                  <c:v>0.16117170380266799</c:v>
                </c:pt>
                <c:pt idx="19">
                  <c:v>0.15093303033519201</c:v>
                </c:pt>
              </c:numCache>
            </c:numRef>
          </c:val>
          <c:smooth val="0"/>
          <c:extLst>
            <c:ext xmlns:c16="http://schemas.microsoft.com/office/drawing/2014/chart" uri="{C3380CC4-5D6E-409C-BE32-E72D297353CC}">
              <c16:uniqueId val="{00000002-F446-41AF-82E4-9E9AA080BD3F}"/>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Maintenance'!$E$9:$E$28</c:f>
              <c:numCache>
                <c:formatCode>0%</c:formatCode>
                <c:ptCount val="20"/>
                <c:pt idx="0">
                  <c:v>1</c:v>
                </c:pt>
                <c:pt idx="1">
                  <c:v>1</c:v>
                </c:pt>
                <c:pt idx="2">
                  <c:v>1</c:v>
                </c:pt>
                <c:pt idx="3">
                  <c:v>0.98389067871547098</c:v>
                </c:pt>
                <c:pt idx="4">
                  <c:v>0.90988059032929602</c:v>
                </c:pt>
                <c:pt idx="5">
                  <c:v>0.84771206646019104</c:v>
                </c:pt>
                <c:pt idx="6">
                  <c:v>0.786140428203423</c:v>
                </c:pt>
                <c:pt idx="7">
                  <c:v>0.72178967468489397</c:v>
                </c:pt>
                <c:pt idx="8">
                  <c:v>0.66687051498704997</c:v>
                </c:pt>
                <c:pt idx="9">
                  <c:v>0.62050218252162403</c:v>
                </c:pt>
                <c:pt idx="10">
                  <c:v>0.57594133107210699</c:v>
                </c:pt>
                <c:pt idx="11">
                  <c:v>0.53321989491956201</c:v>
                </c:pt>
                <c:pt idx="12">
                  <c:v>0.49437633080929999</c:v>
                </c:pt>
                <c:pt idx="13">
                  <c:v>0.445164791349696</c:v>
                </c:pt>
                <c:pt idx="14">
                  <c:v>0.39179894987907798</c:v>
                </c:pt>
                <c:pt idx="15">
                  <c:v>0.34484060763739499</c:v>
                </c:pt>
                <c:pt idx="16">
                  <c:v>0.29661014808978298</c:v>
                </c:pt>
                <c:pt idx="17">
                  <c:v>0.26987115380730098</c:v>
                </c:pt>
                <c:pt idx="18">
                  <c:v>0.23191438028971001</c:v>
                </c:pt>
                <c:pt idx="19">
                  <c:v>0.20263277419555201</c:v>
                </c:pt>
              </c:numCache>
            </c:numRef>
          </c:val>
          <c:smooth val="0"/>
          <c:extLst>
            <c:ext xmlns:c16="http://schemas.microsoft.com/office/drawing/2014/chart" uri="{C3380CC4-5D6E-409C-BE32-E72D297353CC}">
              <c16:uniqueId val="{00000003-F446-41AF-82E4-9E9AA080BD3F}"/>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Maintenance'!$F$9:$F$28</c:f>
              <c:numCache>
                <c:formatCode>0%</c:formatCode>
                <c:ptCount val="20"/>
                <c:pt idx="0">
                  <c:v>0.999970288755482</c:v>
                </c:pt>
                <c:pt idx="1">
                  <c:v>0.99982389335067701</c:v>
                </c:pt>
                <c:pt idx="2">
                  <c:v>0.98589742273861003</c:v>
                </c:pt>
                <c:pt idx="3">
                  <c:v>0.94443370642804703</c:v>
                </c:pt>
                <c:pt idx="4">
                  <c:v>0.86411303414897001</c:v>
                </c:pt>
                <c:pt idx="5">
                  <c:v>0.80016487989998197</c:v>
                </c:pt>
                <c:pt idx="6">
                  <c:v>0.74229424505485797</c:v>
                </c:pt>
                <c:pt idx="7">
                  <c:v>0.68559643009081805</c:v>
                </c:pt>
                <c:pt idx="8">
                  <c:v>0.62816272490999603</c:v>
                </c:pt>
                <c:pt idx="9">
                  <c:v>0.58145233459648105</c:v>
                </c:pt>
                <c:pt idx="10">
                  <c:v>0.54115941343400997</c:v>
                </c:pt>
                <c:pt idx="11">
                  <c:v>0.50347419493511703</c:v>
                </c:pt>
                <c:pt idx="12">
                  <c:v>0.46652023499693401</c:v>
                </c:pt>
                <c:pt idx="13">
                  <c:v>0.43169325672909198</c:v>
                </c:pt>
                <c:pt idx="14">
                  <c:v>0.38784731273919498</c:v>
                </c:pt>
                <c:pt idx="15">
                  <c:v>0.34435387793816302</c:v>
                </c:pt>
                <c:pt idx="16">
                  <c:v>0.300774482591606</c:v>
                </c:pt>
                <c:pt idx="17">
                  <c:v>0.26742469402581898</c:v>
                </c:pt>
                <c:pt idx="18">
                  <c:v>0.226059154101689</c:v>
                </c:pt>
                <c:pt idx="19">
                  <c:v>0.18726186368341699</c:v>
                </c:pt>
              </c:numCache>
            </c:numRef>
          </c:val>
          <c:smooth val="0"/>
          <c:extLst>
            <c:ext xmlns:c16="http://schemas.microsoft.com/office/drawing/2014/chart" uri="{C3380CC4-5D6E-409C-BE32-E72D297353CC}">
              <c16:uniqueId val="{00000004-F446-41AF-82E4-9E9AA080BD3F}"/>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Maintenance'!$G$9:$G$28</c:f>
              <c:numCache>
                <c:formatCode>0%</c:formatCode>
                <c:ptCount val="20"/>
                <c:pt idx="0">
                  <c:v>0.99996238787503899</c:v>
                </c:pt>
                <c:pt idx="1">
                  <c:v>0.999810949582431</c:v>
                </c:pt>
                <c:pt idx="2">
                  <c:v>0.98537383235385101</c:v>
                </c:pt>
                <c:pt idx="3">
                  <c:v>0.94616584879795496</c:v>
                </c:pt>
                <c:pt idx="4">
                  <c:v>0.86082379632670902</c:v>
                </c:pt>
                <c:pt idx="5">
                  <c:v>0.79378800256812398</c:v>
                </c:pt>
                <c:pt idx="6">
                  <c:v>0.73760409884307798</c:v>
                </c:pt>
                <c:pt idx="7">
                  <c:v>0.68181842816733496</c:v>
                </c:pt>
                <c:pt idx="8">
                  <c:v>0.62774165979785801</c:v>
                </c:pt>
                <c:pt idx="9">
                  <c:v>0.57257452112173801</c:v>
                </c:pt>
                <c:pt idx="10">
                  <c:v>0.52773152471365703</c:v>
                </c:pt>
                <c:pt idx="11">
                  <c:v>0.48991433864209999</c:v>
                </c:pt>
                <c:pt idx="12">
                  <c:v>0.45483394778647002</c:v>
                </c:pt>
                <c:pt idx="13">
                  <c:v>0.42093821476874699</c:v>
                </c:pt>
                <c:pt idx="14">
                  <c:v>0.39059646760931599</c:v>
                </c:pt>
                <c:pt idx="15">
                  <c:v>0.34850912449465998</c:v>
                </c:pt>
                <c:pt idx="16">
                  <c:v>0.31315059560134001</c:v>
                </c:pt>
                <c:pt idx="17">
                  <c:v>0.27681197415352299</c:v>
                </c:pt>
                <c:pt idx="18">
                  <c:v>0.23768575722157301</c:v>
                </c:pt>
                <c:pt idx="19">
                  <c:v>0.197199002174925</c:v>
                </c:pt>
              </c:numCache>
            </c:numRef>
          </c:val>
          <c:smooth val="0"/>
          <c:extLst>
            <c:ext xmlns:c16="http://schemas.microsoft.com/office/drawing/2014/chart" uri="{C3380CC4-5D6E-409C-BE32-E72D297353CC}">
              <c16:uniqueId val="{00000005-F446-41AF-82E4-9E9AA080BD3F}"/>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Maintenance'!$H$9:$H$28</c:f>
              <c:numCache>
                <c:formatCode>0%</c:formatCode>
                <c:ptCount val="20"/>
                <c:pt idx="0">
                  <c:v>1</c:v>
                </c:pt>
                <c:pt idx="1">
                  <c:v>1</c:v>
                </c:pt>
                <c:pt idx="2">
                  <c:v>0.99</c:v>
                </c:pt>
                <c:pt idx="3">
                  <c:v>0.95</c:v>
                </c:pt>
                <c:pt idx="4">
                  <c:v>0.87</c:v>
                </c:pt>
                <c:pt idx="5">
                  <c:v>0.8</c:v>
                </c:pt>
                <c:pt idx="6">
                  <c:v>0.74</c:v>
                </c:pt>
                <c:pt idx="7">
                  <c:v>0.69</c:v>
                </c:pt>
                <c:pt idx="8">
                  <c:v>0.64</c:v>
                </c:pt>
                <c:pt idx="9">
                  <c:v>0.57999999999999996</c:v>
                </c:pt>
                <c:pt idx="10">
                  <c:v>0.53</c:v>
                </c:pt>
                <c:pt idx="11">
                  <c:v>0.48</c:v>
                </c:pt>
                <c:pt idx="12">
                  <c:v>0.45</c:v>
                </c:pt>
                <c:pt idx="13">
                  <c:v>0.41</c:v>
                </c:pt>
                <c:pt idx="14">
                  <c:v>0.38</c:v>
                </c:pt>
                <c:pt idx="15">
                  <c:v>0.34</c:v>
                </c:pt>
                <c:pt idx="16">
                  <c:v>0.31</c:v>
                </c:pt>
                <c:pt idx="17">
                  <c:v>0.28000000000000003</c:v>
                </c:pt>
                <c:pt idx="18">
                  <c:v>0.24</c:v>
                </c:pt>
                <c:pt idx="19">
                  <c:v>0.21</c:v>
                </c:pt>
              </c:numCache>
            </c:numRef>
          </c:val>
          <c:smooth val="0"/>
          <c:extLst>
            <c:ext xmlns:c16="http://schemas.microsoft.com/office/drawing/2014/chart" uri="{C3380CC4-5D6E-409C-BE32-E72D297353CC}">
              <c16:uniqueId val="{00000006-F446-41AF-82E4-9E9AA080BD3F}"/>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Maintenance'!$I$9:$I$28</c:f>
              <c:numCache>
                <c:formatCode>0%</c:formatCode>
                <c:ptCount val="20"/>
                <c:pt idx="0">
                  <c:v>0.999983983966652</c:v>
                </c:pt>
                <c:pt idx="1">
                  <c:v>0.99990953105487201</c:v>
                </c:pt>
                <c:pt idx="2">
                  <c:v>0.99943554304092497</c:v>
                </c:pt>
                <c:pt idx="3">
                  <c:v>0.99039459414365605</c:v>
                </c:pt>
                <c:pt idx="4">
                  <c:v>0.952398625080637</c:v>
                </c:pt>
                <c:pt idx="5">
                  <c:v>0.90693684822346499</c:v>
                </c:pt>
                <c:pt idx="6">
                  <c:v>0.85091511283430099</c:v>
                </c:pt>
                <c:pt idx="7">
                  <c:v>0.78660072627288102</c:v>
                </c:pt>
                <c:pt idx="8">
                  <c:v>0.73378906239936403</c:v>
                </c:pt>
                <c:pt idx="9">
                  <c:v>0.67761108606930498</c:v>
                </c:pt>
                <c:pt idx="10">
                  <c:v>0.62006773628487999</c:v>
                </c:pt>
                <c:pt idx="11">
                  <c:v>0.55127091738162903</c:v>
                </c:pt>
                <c:pt idx="12">
                  <c:v>0.49408490675953498</c:v>
                </c:pt>
                <c:pt idx="13">
                  <c:v>0.45083466217979201</c:v>
                </c:pt>
                <c:pt idx="14">
                  <c:v>0.40840031120044001</c:v>
                </c:pt>
                <c:pt idx="15">
                  <c:v>0.36399497937959502</c:v>
                </c:pt>
                <c:pt idx="16">
                  <c:v>0.32160874623604002</c:v>
                </c:pt>
                <c:pt idx="17">
                  <c:v>0.2797202514462</c:v>
                </c:pt>
                <c:pt idx="18">
                  <c:v>0.240112086977537</c:v>
                </c:pt>
                <c:pt idx="19">
                  <c:v>0.211204057639158</c:v>
                </c:pt>
              </c:numCache>
            </c:numRef>
          </c:val>
          <c:smooth val="0"/>
          <c:extLst>
            <c:ext xmlns:c16="http://schemas.microsoft.com/office/drawing/2014/chart" uri="{C3380CC4-5D6E-409C-BE32-E72D297353CC}">
              <c16:uniqueId val="{00000007-F446-41AF-82E4-9E9AA080BD3F}"/>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Maintenance'!$J$9:$J$28</c:f>
              <c:numCache>
                <c:formatCode>0%</c:formatCode>
                <c:ptCount val="20"/>
                <c:pt idx="0">
                  <c:v>0.99996915620180704</c:v>
                </c:pt>
                <c:pt idx="1">
                  <c:v>0.99991598736873</c:v>
                </c:pt>
                <c:pt idx="2">
                  <c:v>0.986916648307263</c:v>
                </c:pt>
                <c:pt idx="3">
                  <c:v>0.96206697830447196</c:v>
                </c:pt>
                <c:pt idx="4">
                  <c:v>0.90251507800471298</c:v>
                </c:pt>
                <c:pt idx="5">
                  <c:v>0.84232676137528595</c:v>
                </c:pt>
                <c:pt idx="6">
                  <c:v>0.78462610151162104</c:v>
                </c:pt>
                <c:pt idx="7">
                  <c:v>0.72454971060297602</c:v>
                </c:pt>
                <c:pt idx="8">
                  <c:v>0.66700655283923604</c:v>
                </c:pt>
                <c:pt idx="9">
                  <c:v>0.61280022584368399</c:v>
                </c:pt>
                <c:pt idx="10">
                  <c:v>0.55846558329218698</c:v>
                </c:pt>
                <c:pt idx="11">
                  <c:v>0.50603018470440897</c:v>
                </c:pt>
                <c:pt idx="12">
                  <c:v>0.45367627015340201</c:v>
                </c:pt>
                <c:pt idx="13">
                  <c:v>0.41083189720890301</c:v>
                </c:pt>
                <c:pt idx="14">
                  <c:v>0.36609569002140202</c:v>
                </c:pt>
                <c:pt idx="15">
                  <c:v>0.32722698640442699</c:v>
                </c:pt>
                <c:pt idx="16">
                  <c:v>0.28847699695382201</c:v>
                </c:pt>
                <c:pt idx="17">
                  <c:v>0.25579627488419898</c:v>
                </c:pt>
                <c:pt idx="18">
                  <c:v>0.222960741236959</c:v>
                </c:pt>
                <c:pt idx="19">
                  <c:v>0.20430929782735799</c:v>
                </c:pt>
              </c:numCache>
            </c:numRef>
          </c:val>
          <c:smooth val="0"/>
          <c:extLst>
            <c:ext xmlns:c16="http://schemas.microsoft.com/office/drawing/2014/chart" uri="{C3380CC4-5D6E-409C-BE32-E72D297353CC}">
              <c16:uniqueId val="{00000008-F446-41AF-82E4-9E9AA080BD3F}"/>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Maintenance'!$K$9:$K$28</c:f>
              <c:numCache>
                <c:formatCode>0%</c:formatCode>
                <c:ptCount val="20"/>
                <c:pt idx="0">
                  <c:v>0.99999940635450002</c:v>
                </c:pt>
                <c:pt idx="1">
                  <c:v>0.99597603097582199</c:v>
                </c:pt>
                <c:pt idx="2">
                  <c:v>0.97449196887928202</c:v>
                </c:pt>
                <c:pt idx="3">
                  <c:v>0.924287932986255</c:v>
                </c:pt>
                <c:pt idx="4">
                  <c:v>0.85203355660159297</c:v>
                </c:pt>
                <c:pt idx="5">
                  <c:v>0.78089261408609101</c:v>
                </c:pt>
                <c:pt idx="6">
                  <c:v>0.71871495667058405</c:v>
                </c:pt>
                <c:pt idx="7">
                  <c:v>0.66262623991407599</c:v>
                </c:pt>
                <c:pt idx="8">
                  <c:v>0.61120951348977304</c:v>
                </c:pt>
                <c:pt idx="9">
                  <c:v>0.55900952341550703</c:v>
                </c:pt>
                <c:pt idx="10">
                  <c:v>0.51250686003123203</c:v>
                </c:pt>
                <c:pt idx="11">
                  <c:v>0.47139259816521401</c:v>
                </c:pt>
                <c:pt idx="12">
                  <c:v>0.43291830061599901</c:v>
                </c:pt>
                <c:pt idx="13">
                  <c:v>0.39329680247297899</c:v>
                </c:pt>
                <c:pt idx="14">
                  <c:v>0.35315979321888502</c:v>
                </c:pt>
                <c:pt idx="15">
                  <c:v>0.31359932083148001</c:v>
                </c:pt>
                <c:pt idx="16">
                  <c:v>0.27674093658099802</c:v>
                </c:pt>
                <c:pt idx="17">
                  <c:v>0.24220683150204</c:v>
                </c:pt>
                <c:pt idx="18">
                  <c:v>0.20616964812829899</c:v>
                </c:pt>
                <c:pt idx="19">
                  <c:v>0.17005515747023001</c:v>
                </c:pt>
              </c:numCache>
            </c:numRef>
          </c:val>
          <c:smooth val="0"/>
          <c:extLst>
            <c:ext xmlns:c16="http://schemas.microsoft.com/office/drawing/2014/chart" uri="{C3380CC4-5D6E-409C-BE32-E72D297353CC}">
              <c16:uniqueId val="{00000009-F446-41AF-82E4-9E9AA080BD3F}"/>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Maintenance'!$L$9:$L$28</c:f>
              <c:numCache>
                <c:formatCode>0%</c:formatCode>
                <c:ptCount val="20"/>
                <c:pt idx="0">
                  <c:v>0.99997520875842205</c:v>
                </c:pt>
                <c:pt idx="1">
                  <c:v>0.99483948203558903</c:v>
                </c:pt>
                <c:pt idx="2">
                  <c:v>0.96915114064519203</c:v>
                </c:pt>
                <c:pt idx="3">
                  <c:v>0.91256439105590004</c:v>
                </c:pt>
                <c:pt idx="4">
                  <c:v>0.83005870701561602</c:v>
                </c:pt>
                <c:pt idx="5">
                  <c:v>0.75355492354969</c:v>
                </c:pt>
                <c:pt idx="6">
                  <c:v>0.68811892327268598</c:v>
                </c:pt>
                <c:pt idx="7">
                  <c:v>0.63415063146793704</c:v>
                </c:pt>
                <c:pt idx="8">
                  <c:v>0.58498738165021802</c:v>
                </c:pt>
                <c:pt idx="9">
                  <c:v>0.540753464975957</c:v>
                </c:pt>
                <c:pt idx="10">
                  <c:v>0.49694634390551001</c:v>
                </c:pt>
                <c:pt idx="11">
                  <c:v>0.45848417740571801</c:v>
                </c:pt>
                <c:pt idx="12">
                  <c:v>0.42424519392952698</c:v>
                </c:pt>
                <c:pt idx="13">
                  <c:v>0.39003621135241701</c:v>
                </c:pt>
                <c:pt idx="14">
                  <c:v>0.35318437733707297</c:v>
                </c:pt>
                <c:pt idx="15">
                  <c:v>0.31524220440067402</c:v>
                </c:pt>
                <c:pt idx="16">
                  <c:v>0.28087887278475199</c:v>
                </c:pt>
                <c:pt idx="17">
                  <c:v>0.24532399319853601</c:v>
                </c:pt>
                <c:pt idx="18">
                  <c:v>0.21349218817992399</c:v>
                </c:pt>
                <c:pt idx="19">
                  <c:v>0.17892017251200301</c:v>
                </c:pt>
              </c:numCache>
            </c:numRef>
          </c:val>
          <c:smooth val="0"/>
          <c:extLst>
            <c:ext xmlns:c16="http://schemas.microsoft.com/office/drawing/2014/chart" uri="{C3380CC4-5D6E-409C-BE32-E72D297353CC}">
              <c16:uniqueId val="{0000000A-F446-41AF-82E4-9E9AA080BD3F}"/>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Maintenance'!$M$9:$M$28</c:f>
              <c:numCache>
                <c:formatCode>0%</c:formatCode>
                <c:ptCount val="20"/>
                <c:pt idx="0">
                  <c:v>1</c:v>
                </c:pt>
                <c:pt idx="1">
                  <c:v>0.99431171375243399</c:v>
                </c:pt>
                <c:pt idx="2">
                  <c:v>0.964449631873455</c:v>
                </c:pt>
                <c:pt idx="3">
                  <c:v>0.90113744476769397</c:v>
                </c:pt>
                <c:pt idx="4">
                  <c:v>0.81284051446114103</c:v>
                </c:pt>
                <c:pt idx="5">
                  <c:v>0.72819255613334499</c:v>
                </c:pt>
                <c:pt idx="6">
                  <c:v>0.66092017526105895</c:v>
                </c:pt>
                <c:pt idx="7">
                  <c:v>0.60429273512191495</c:v>
                </c:pt>
                <c:pt idx="8">
                  <c:v>0.556158634964388</c:v>
                </c:pt>
                <c:pt idx="9">
                  <c:v>0.51191374027181502</c:v>
                </c:pt>
                <c:pt idx="10">
                  <c:v>0.47450874571296298</c:v>
                </c:pt>
                <c:pt idx="11">
                  <c:v>0.43799545812076701</c:v>
                </c:pt>
                <c:pt idx="12">
                  <c:v>0.40576037775556401</c:v>
                </c:pt>
                <c:pt idx="13">
                  <c:v>0.37578786337786702</c:v>
                </c:pt>
                <c:pt idx="14">
                  <c:v>0.34461099581394999</c:v>
                </c:pt>
                <c:pt idx="15">
                  <c:v>0.31090886633349901</c:v>
                </c:pt>
                <c:pt idx="16">
                  <c:v>0.27614882783681399</c:v>
                </c:pt>
                <c:pt idx="17">
                  <c:v>0.243496544382791</c:v>
                </c:pt>
                <c:pt idx="18">
                  <c:v>0.20974019775559499</c:v>
                </c:pt>
                <c:pt idx="19">
                  <c:v>0.18477314807488401</c:v>
                </c:pt>
              </c:numCache>
            </c:numRef>
          </c:val>
          <c:smooth val="0"/>
          <c:extLst>
            <c:ext xmlns:c16="http://schemas.microsoft.com/office/drawing/2014/chart" uri="{C3380CC4-5D6E-409C-BE32-E72D297353CC}">
              <c16:uniqueId val="{0000000B-F446-41AF-82E4-9E9AA080BD3F}"/>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Maintenance'!$A$9:$A$28</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Maintenance'!$N$9:$N$28</c:f>
              <c:numCache>
                <c:formatCode>0%</c:formatCode>
                <c:ptCount val="20"/>
                <c:pt idx="0">
                  <c:v>1</c:v>
                </c:pt>
                <c:pt idx="1">
                  <c:v>0.99332642055146503</c:v>
                </c:pt>
                <c:pt idx="2">
                  <c:v>0.95814505448869203</c:v>
                </c:pt>
                <c:pt idx="3">
                  <c:v>0.882645864652292</c:v>
                </c:pt>
                <c:pt idx="4">
                  <c:v>0.78101855526987896</c:v>
                </c:pt>
                <c:pt idx="5">
                  <c:v>0.69030378521635904</c:v>
                </c:pt>
                <c:pt idx="6">
                  <c:v>0.61895768257538797</c:v>
                </c:pt>
                <c:pt idx="7">
                  <c:v>0.56474475532641699</c:v>
                </c:pt>
                <c:pt idx="8">
                  <c:v>0.51862021598886998</c:v>
                </c:pt>
                <c:pt idx="9">
                  <c:v>0.47892663652099998</c:v>
                </c:pt>
                <c:pt idx="10">
                  <c:v>0.44478657075903699</c:v>
                </c:pt>
                <c:pt idx="11">
                  <c:v>0.41564414450784998</c:v>
                </c:pt>
                <c:pt idx="12">
                  <c:v>0.38701068112926001</c:v>
                </c:pt>
                <c:pt idx="13">
                  <c:v>0.361021895403284</c:v>
                </c:pt>
                <c:pt idx="14">
                  <c:v>0.33449013139471101</c:v>
                </c:pt>
                <c:pt idx="15">
                  <c:v>0.30525326814720199</c:v>
                </c:pt>
                <c:pt idx="16">
                  <c:v>0.27222147623302101</c:v>
                </c:pt>
                <c:pt idx="17">
                  <c:v>0.23952752655034401</c:v>
                </c:pt>
                <c:pt idx="18">
                  <c:v>0.21103066055233499</c:v>
                </c:pt>
                <c:pt idx="19">
                  <c:v>0.18186645101474799</c:v>
                </c:pt>
              </c:numCache>
            </c:numRef>
          </c:val>
          <c:smooth val="0"/>
          <c:extLst>
            <c:ext xmlns:c16="http://schemas.microsoft.com/office/drawing/2014/chart" uri="{C3380CC4-5D6E-409C-BE32-E72D297353CC}">
              <c16:uniqueId val="{0000000C-F446-41AF-82E4-9E9AA080BD3F}"/>
            </c:ext>
          </c:extLst>
        </c:ser>
        <c:ser>
          <c:idx val="13"/>
          <c:order val="13"/>
          <c:tx>
            <c:strRef>
              <c:f>'Ch4. Maintenance'!$O$8</c:f>
              <c:strCache>
                <c:ptCount val="1"/>
                <c:pt idx="0">
                  <c:v>2023</c:v>
                </c:pt>
              </c:strCache>
            </c:strRef>
          </c:tx>
          <c:spPr>
            <a:ln w="28575" cap="rnd">
              <a:solidFill>
                <a:schemeClr val="accent2">
                  <a:lumMod val="80000"/>
                  <a:lumOff val="20000"/>
                </a:schemeClr>
              </a:solidFill>
              <a:round/>
            </a:ln>
            <a:effectLst/>
          </c:spPr>
          <c:marker>
            <c:symbol val="none"/>
          </c:marker>
          <c:val>
            <c:numRef>
              <c:f>'Ch4. Maintenance'!$O$9:$O$28</c:f>
              <c:numCache>
                <c:formatCode>0%</c:formatCode>
                <c:ptCount val="20"/>
                <c:pt idx="0">
                  <c:v>1</c:v>
                </c:pt>
                <c:pt idx="1">
                  <c:v>0.99157544865005398</c:v>
                </c:pt>
                <c:pt idx="2">
                  <c:v>0.94137135116588899</c:v>
                </c:pt>
                <c:pt idx="3">
                  <c:v>0.83189091063302101</c:v>
                </c:pt>
                <c:pt idx="4">
                  <c:v>0.702107166719519</c:v>
                </c:pt>
                <c:pt idx="5">
                  <c:v>0.58916848624356399</c:v>
                </c:pt>
                <c:pt idx="6">
                  <c:v>0.50716947096266296</c:v>
                </c:pt>
                <c:pt idx="7">
                  <c:v>0.44948805420891003</c:v>
                </c:pt>
                <c:pt idx="8">
                  <c:v>0.40318026525829498</c:v>
                </c:pt>
                <c:pt idx="9">
                  <c:v>0.36527147381813901</c:v>
                </c:pt>
                <c:pt idx="10">
                  <c:v>0.33673463241273399</c:v>
                </c:pt>
                <c:pt idx="11">
                  <c:v>0.31451690278399902</c:v>
                </c:pt>
                <c:pt idx="12">
                  <c:v>0.29468631134069001</c:v>
                </c:pt>
                <c:pt idx="13">
                  <c:v>0.27668066531940899</c:v>
                </c:pt>
                <c:pt idx="14">
                  <c:v>0.25787432429826002</c:v>
                </c:pt>
                <c:pt idx="15">
                  <c:v>0.23457214055511599</c:v>
                </c:pt>
                <c:pt idx="16">
                  <c:v>0.20921311239808699</c:v>
                </c:pt>
                <c:pt idx="17">
                  <c:v>0.18487589330694401</c:v>
                </c:pt>
                <c:pt idx="18">
                  <c:v>0.16424023960513701</c:v>
                </c:pt>
                <c:pt idx="19">
                  <c:v>0.151950523902976</c:v>
                </c:pt>
              </c:numCache>
            </c:numRef>
          </c:val>
          <c:smooth val="0"/>
          <c:extLst>
            <c:ext xmlns:c16="http://schemas.microsoft.com/office/drawing/2014/chart" uri="{C3380CC4-5D6E-409C-BE32-E72D297353CC}">
              <c16:uniqueId val="{0000000D-F446-41AF-82E4-9E9AA080BD3F}"/>
            </c:ext>
          </c:extLst>
        </c:ser>
        <c:ser>
          <c:idx val="14"/>
          <c:order val="14"/>
          <c:tx>
            <c:strRef>
              <c:f>'Ch4. Maintenance'!$P$8</c:f>
              <c:strCache>
                <c:ptCount val="1"/>
                <c:pt idx="0">
                  <c:v>2024</c:v>
                </c:pt>
              </c:strCache>
            </c:strRef>
          </c:tx>
          <c:spPr>
            <a:ln w="28575" cap="rnd">
              <a:solidFill>
                <a:schemeClr val="accent3">
                  <a:lumMod val="80000"/>
                  <a:lumOff val="20000"/>
                </a:schemeClr>
              </a:solidFill>
              <a:round/>
            </a:ln>
            <a:effectLst/>
          </c:spPr>
          <c:marker>
            <c:symbol val="none"/>
          </c:marker>
          <c:val>
            <c:numRef>
              <c:f>'Ch4. Maintenance'!$P$9:$P$28</c:f>
              <c:numCache>
                <c:formatCode>0%</c:formatCode>
                <c:ptCount val="20"/>
                <c:pt idx="0">
                  <c:v>1</c:v>
                </c:pt>
                <c:pt idx="1">
                  <c:v>0.99261173665973901</c:v>
                </c:pt>
                <c:pt idx="2">
                  <c:v>0.94828585587125702</c:v>
                </c:pt>
                <c:pt idx="3">
                  <c:v>0.84648467386273196</c:v>
                </c:pt>
                <c:pt idx="4">
                  <c:v>0.71669267133460401</c:v>
                </c:pt>
                <c:pt idx="5">
                  <c:v>0.59586641139832597</c:v>
                </c:pt>
                <c:pt idx="6">
                  <c:v>0.50452578076390098</c:v>
                </c:pt>
                <c:pt idx="7">
                  <c:v>0.43773632058733197</c:v>
                </c:pt>
                <c:pt idx="8">
                  <c:v>0.390541090138873</c:v>
                </c:pt>
                <c:pt idx="9">
                  <c:v>0.35142751637416703</c:v>
                </c:pt>
                <c:pt idx="10">
                  <c:v>0.32127733575578299</c:v>
                </c:pt>
                <c:pt idx="11">
                  <c:v>0.29829586780502598</c:v>
                </c:pt>
                <c:pt idx="12">
                  <c:v>0.28031942907590801</c:v>
                </c:pt>
                <c:pt idx="13">
                  <c:v>0.26314982350284599</c:v>
                </c:pt>
                <c:pt idx="14">
                  <c:v>0.24642072130730699</c:v>
                </c:pt>
                <c:pt idx="15">
                  <c:v>0.225588661961339</c:v>
                </c:pt>
                <c:pt idx="16">
                  <c:v>0.206870301514581</c:v>
                </c:pt>
                <c:pt idx="17">
                  <c:v>0.185765358525491</c:v>
                </c:pt>
                <c:pt idx="18">
                  <c:v>0.15977249149801001</c:v>
                </c:pt>
                <c:pt idx="19">
                  <c:v>0.145276183028339</c:v>
                </c:pt>
              </c:numCache>
            </c:numRef>
          </c:val>
          <c:smooth val="0"/>
          <c:extLst>
            <c:ext xmlns:c16="http://schemas.microsoft.com/office/drawing/2014/chart" uri="{C3380CC4-5D6E-409C-BE32-E72D297353CC}">
              <c16:uniqueId val="{0000000E-F446-41AF-82E4-9E9AA080BD3F}"/>
            </c:ext>
          </c:extLst>
        </c:ser>
        <c:dLbls>
          <c:showLegendKey val="0"/>
          <c:showVal val="0"/>
          <c:showCatName val="0"/>
          <c:showSerName val="0"/>
          <c:showPercent val="0"/>
          <c:showBubbleSize val="0"/>
        </c:dLbls>
        <c:smooth val="0"/>
        <c:axId val="1808645680"/>
        <c:axId val="1808646224"/>
      </c:lineChart>
      <c:catAx>
        <c:axId val="1808645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6224"/>
        <c:crosses val="autoZero"/>
        <c:auto val="1"/>
        <c:lblAlgn val="ctr"/>
        <c:lblOffset val="100"/>
        <c:noMultiLvlLbl val="0"/>
      </c:catAx>
      <c:valAx>
        <c:axId val="180864622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5680"/>
        <c:crosses val="autoZero"/>
        <c:crossBetween val="between"/>
        <c:majorUnit val="0.25"/>
        <c:minorUnit val="0.05"/>
      </c:valAx>
      <c:spPr>
        <a:noFill/>
        <a:ln>
          <a:noFill/>
        </a:ln>
        <a:effectLst/>
      </c:spPr>
    </c:plotArea>
    <c:legend>
      <c:legendPos val="b"/>
      <c:layout>
        <c:manualLayout>
          <c:xMode val="edge"/>
          <c:yMode val="edge"/>
          <c:x val="9.0502719073559501E-2"/>
          <c:y val="0.90446419197600303"/>
          <c:w val="0.61794807659738205"/>
          <c:h val="9.5535695538057699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915e70de-2415-4829-a05e-74c7d8d79e1d}"/>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6754852580958E-2"/>
          <c:y val="0.155269841269841"/>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Maintenance'!$B$35:$B$54</c:f>
              <c:numCache>
                <c:formatCode>0%</c:formatCode>
                <c:ptCount val="20"/>
                <c:pt idx="0">
                  <c:v>1</c:v>
                </c:pt>
                <c:pt idx="1">
                  <c:v>1</c:v>
                </c:pt>
                <c:pt idx="2">
                  <c:v>0.999</c:v>
                </c:pt>
                <c:pt idx="3">
                  <c:v>0.998</c:v>
                </c:pt>
                <c:pt idx="4">
                  <c:v>0.996</c:v>
                </c:pt>
                <c:pt idx="5">
                  <c:v>0.996</c:v>
                </c:pt>
                <c:pt idx="6">
                  <c:v>0.99</c:v>
                </c:pt>
                <c:pt idx="7">
                  <c:v>0.97199999999999998</c:v>
                </c:pt>
                <c:pt idx="8">
                  <c:v>0.93200000000000005</c:v>
                </c:pt>
                <c:pt idx="9">
                  <c:v>0.90300000000000002</c:v>
                </c:pt>
                <c:pt idx="10">
                  <c:v>0.88800000000000001</c:v>
                </c:pt>
                <c:pt idx="11">
                  <c:v>0.83699999999999997</c:v>
                </c:pt>
                <c:pt idx="12">
                  <c:v>0.76800000000000002</c:v>
                </c:pt>
                <c:pt idx="13">
                  <c:v>0.69899999999999995</c:v>
                </c:pt>
                <c:pt idx="14">
                  <c:v>0.629</c:v>
                </c:pt>
                <c:pt idx="15">
                  <c:v>0.56699999999999995</c:v>
                </c:pt>
                <c:pt idx="16">
                  <c:v>0.499</c:v>
                </c:pt>
                <c:pt idx="17">
                  <c:v>0.432</c:v>
                </c:pt>
                <c:pt idx="18">
                  <c:v>0.36</c:v>
                </c:pt>
                <c:pt idx="19">
                  <c:v>0.27500000000000002</c:v>
                </c:pt>
              </c:numCache>
            </c:numRef>
          </c:val>
          <c:smooth val="0"/>
          <c:extLst>
            <c:ext xmlns:c16="http://schemas.microsoft.com/office/drawing/2014/chart" uri="{C3380CC4-5D6E-409C-BE32-E72D297353CC}">
              <c16:uniqueId val="{00000000-C71A-4FEF-BC5A-739B0AF32CCA}"/>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Maintenance'!$C$35:$C$54</c:f>
              <c:numCache>
                <c:formatCode>0%</c:formatCode>
                <c:ptCount val="20"/>
                <c:pt idx="0">
                  <c:v>1</c:v>
                </c:pt>
                <c:pt idx="1">
                  <c:v>1</c:v>
                </c:pt>
                <c:pt idx="2">
                  <c:v>0.999</c:v>
                </c:pt>
                <c:pt idx="3">
                  <c:v>0.998</c:v>
                </c:pt>
                <c:pt idx="4">
                  <c:v>0.996</c:v>
                </c:pt>
                <c:pt idx="5">
                  <c:v>0.996</c:v>
                </c:pt>
                <c:pt idx="6">
                  <c:v>0.99</c:v>
                </c:pt>
                <c:pt idx="7">
                  <c:v>0.98</c:v>
                </c:pt>
                <c:pt idx="8">
                  <c:v>0.94</c:v>
                </c:pt>
                <c:pt idx="9">
                  <c:v>0.89</c:v>
                </c:pt>
                <c:pt idx="10">
                  <c:v>0.88</c:v>
                </c:pt>
                <c:pt idx="11">
                  <c:v>0.86</c:v>
                </c:pt>
                <c:pt idx="12">
                  <c:v>0.8</c:v>
                </c:pt>
                <c:pt idx="13">
                  <c:v>0.72</c:v>
                </c:pt>
                <c:pt idx="14">
                  <c:v>0.65</c:v>
                </c:pt>
                <c:pt idx="15">
                  <c:v>0.57999999999999996</c:v>
                </c:pt>
                <c:pt idx="16">
                  <c:v>0.52</c:v>
                </c:pt>
                <c:pt idx="17">
                  <c:v>0.45</c:v>
                </c:pt>
                <c:pt idx="18">
                  <c:v>0.38</c:v>
                </c:pt>
                <c:pt idx="19">
                  <c:v>0.26</c:v>
                </c:pt>
              </c:numCache>
            </c:numRef>
          </c:val>
          <c:smooth val="0"/>
          <c:extLst>
            <c:ext xmlns:c16="http://schemas.microsoft.com/office/drawing/2014/chart" uri="{C3380CC4-5D6E-409C-BE32-E72D297353CC}">
              <c16:uniqueId val="{00000001-C71A-4FEF-BC5A-739B0AF32CCA}"/>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Maintenance'!$D$35:$D$54</c:f>
              <c:numCache>
                <c:formatCode>0%</c:formatCode>
                <c:ptCount val="20"/>
                <c:pt idx="0">
                  <c:v>1</c:v>
                </c:pt>
                <c:pt idx="1">
                  <c:v>1</c:v>
                </c:pt>
                <c:pt idx="2">
                  <c:v>1</c:v>
                </c:pt>
                <c:pt idx="3">
                  <c:v>0.99942242840907003</c:v>
                </c:pt>
                <c:pt idx="4">
                  <c:v>0.99761062876347895</c:v>
                </c:pt>
                <c:pt idx="5">
                  <c:v>0.99625706609951303</c:v>
                </c:pt>
                <c:pt idx="6">
                  <c:v>0.99179569547060697</c:v>
                </c:pt>
                <c:pt idx="7">
                  <c:v>0.98293033380817596</c:v>
                </c:pt>
                <c:pt idx="8">
                  <c:v>0.95187665961493795</c:v>
                </c:pt>
                <c:pt idx="9">
                  <c:v>0.89362894086132305</c:v>
                </c:pt>
                <c:pt idx="10">
                  <c:v>0.82901554404145095</c:v>
                </c:pt>
                <c:pt idx="11">
                  <c:v>0.84446010976916797</c:v>
                </c:pt>
                <c:pt idx="12">
                  <c:v>0.82020773880757303</c:v>
                </c:pt>
                <c:pt idx="13">
                  <c:v>0.74095565809024799</c:v>
                </c:pt>
                <c:pt idx="14">
                  <c:v>0.66309228655424102</c:v>
                </c:pt>
                <c:pt idx="15">
                  <c:v>0.59375024791159303</c:v>
                </c:pt>
                <c:pt idx="16">
                  <c:v>0.52268730214562098</c:v>
                </c:pt>
                <c:pt idx="17">
                  <c:v>0.459987737584304</c:v>
                </c:pt>
                <c:pt idx="18">
                  <c:v>0.38812797012898798</c:v>
                </c:pt>
                <c:pt idx="19">
                  <c:v>0.30625773378115601</c:v>
                </c:pt>
              </c:numCache>
            </c:numRef>
          </c:val>
          <c:smooth val="0"/>
          <c:extLst>
            <c:ext xmlns:c16="http://schemas.microsoft.com/office/drawing/2014/chart" uri="{C3380CC4-5D6E-409C-BE32-E72D297353CC}">
              <c16:uniqueId val="{00000002-C71A-4FEF-BC5A-739B0AF32CCA}"/>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Maintenance'!$E$35:$E$54</c:f>
              <c:numCache>
                <c:formatCode>0%</c:formatCode>
                <c:ptCount val="20"/>
                <c:pt idx="0">
                  <c:v>1</c:v>
                </c:pt>
                <c:pt idx="1">
                  <c:v>0.99976465050600105</c:v>
                </c:pt>
                <c:pt idx="2">
                  <c:v>1</c:v>
                </c:pt>
                <c:pt idx="3">
                  <c:v>0.99981466961294496</c:v>
                </c:pt>
                <c:pt idx="4">
                  <c:v>0.99816016722905498</c:v>
                </c:pt>
                <c:pt idx="5">
                  <c:v>0.99602641452038099</c:v>
                </c:pt>
                <c:pt idx="6">
                  <c:v>0.99162371535589899</c:v>
                </c:pt>
                <c:pt idx="7">
                  <c:v>0.98316325282039996</c:v>
                </c:pt>
                <c:pt idx="8">
                  <c:v>0.95874542704057997</c:v>
                </c:pt>
                <c:pt idx="9">
                  <c:v>0.90351497117351698</c:v>
                </c:pt>
                <c:pt idx="10">
                  <c:v>0.83927589074393905</c:v>
                </c:pt>
                <c:pt idx="11">
                  <c:v>0.77532079995359604</c:v>
                </c:pt>
                <c:pt idx="12">
                  <c:v>0.80084313543665397</c:v>
                </c:pt>
                <c:pt idx="13">
                  <c:v>0.76426162976976897</c:v>
                </c:pt>
                <c:pt idx="14">
                  <c:v>0.68446461857632002</c:v>
                </c:pt>
                <c:pt idx="15">
                  <c:v>0.610521635131405</c:v>
                </c:pt>
                <c:pt idx="16">
                  <c:v>0.53873658173054095</c:v>
                </c:pt>
                <c:pt idx="17">
                  <c:v>0.47030638026476101</c:v>
                </c:pt>
                <c:pt idx="18">
                  <c:v>0.40450365768932101</c:v>
                </c:pt>
                <c:pt idx="19">
                  <c:v>0.327147451399672</c:v>
                </c:pt>
              </c:numCache>
            </c:numRef>
          </c:val>
          <c:smooth val="0"/>
          <c:extLst>
            <c:ext xmlns:c16="http://schemas.microsoft.com/office/drawing/2014/chart" uri="{C3380CC4-5D6E-409C-BE32-E72D297353CC}">
              <c16:uniqueId val="{00000003-C71A-4FEF-BC5A-739B0AF32CCA}"/>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Maintenance'!$F$35:$F$54</c:f>
              <c:numCache>
                <c:formatCode>0%</c:formatCode>
                <c:ptCount val="20"/>
                <c:pt idx="0">
                  <c:v>1</c:v>
                </c:pt>
                <c:pt idx="1">
                  <c:v>1</c:v>
                </c:pt>
                <c:pt idx="2">
                  <c:v>1</c:v>
                </c:pt>
                <c:pt idx="3">
                  <c:v>1</c:v>
                </c:pt>
                <c:pt idx="4">
                  <c:v>1</c:v>
                </c:pt>
                <c:pt idx="5">
                  <c:v>1</c:v>
                </c:pt>
                <c:pt idx="6">
                  <c:v>0.99</c:v>
                </c:pt>
                <c:pt idx="7">
                  <c:v>0.98</c:v>
                </c:pt>
                <c:pt idx="8">
                  <c:v>0.94</c:v>
                </c:pt>
                <c:pt idx="9">
                  <c:v>0.89</c:v>
                </c:pt>
                <c:pt idx="10">
                  <c:v>0.83</c:v>
                </c:pt>
                <c:pt idx="11">
                  <c:v>0.77</c:v>
                </c:pt>
                <c:pt idx="12">
                  <c:v>0.71</c:v>
                </c:pt>
                <c:pt idx="13">
                  <c:v>0.73</c:v>
                </c:pt>
                <c:pt idx="14">
                  <c:v>0.69</c:v>
                </c:pt>
                <c:pt idx="15">
                  <c:v>0.61</c:v>
                </c:pt>
                <c:pt idx="16">
                  <c:v>0.53</c:v>
                </c:pt>
                <c:pt idx="17">
                  <c:v>0.46</c:v>
                </c:pt>
                <c:pt idx="18">
                  <c:v>0.4</c:v>
                </c:pt>
                <c:pt idx="19">
                  <c:v>0.32</c:v>
                </c:pt>
              </c:numCache>
            </c:numRef>
          </c:val>
          <c:smooth val="0"/>
          <c:extLst>
            <c:ext xmlns:c16="http://schemas.microsoft.com/office/drawing/2014/chart" uri="{C3380CC4-5D6E-409C-BE32-E72D297353CC}">
              <c16:uniqueId val="{00000004-C71A-4FEF-BC5A-739B0AF32CCA}"/>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Maintenance'!$G$35:$G$54</c:f>
              <c:numCache>
                <c:formatCode>0%</c:formatCode>
                <c:ptCount val="20"/>
                <c:pt idx="0">
                  <c:v>1</c:v>
                </c:pt>
                <c:pt idx="1">
                  <c:v>1</c:v>
                </c:pt>
                <c:pt idx="2">
                  <c:v>1</c:v>
                </c:pt>
                <c:pt idx="3">
                  <c:v>1</c:v>
                </c:pt>
                <c:pt idx="4">
                  <c:v>1</c:v>
                </c:pt>
                <c:pt idx="5">
                  <c:v>1</c:v>
                </c:pt>
                <c:pt idx="6">
                  <c:v>0.99</c:v>
                </c:pt>
                <c:pt idx="7">
                  <c:v>0.99</c:v>
                </c:pt>
                <c:pt idx="8">
                  <c:v>0.97</c:v>
                </c:pt>
                <c:pt idx="9">
                  <c:v>0.92</c:v>
                </c:pt>
                <c:pt idx="10">
                  <c:v>0.87</c:v>
                </c:pt>
                <c:pt idx="11">
                  <c:v>0.81</c:v>
                </c:pt>
                <c:pt idx="12">
                  <c:v>0.75</c:v>
                </c:pt>
                <c:pt idx="13">
                  <c:v>0.69</c:v>
                </c:pt>
                <c:pt idx="14">
                  <c:v>0.7</c:v>
                </c:pt>
                <c:pt idx="15">
                  <c:v>0.67</c:v>
                </c:pt>
                <c:pt idx="16">
                  <c:v>0.59</c:v>
                </c:pt>
                <c:pt idx="17">
                  <c:v>0.51</c:v>
                </c:pt>
                <c:pt idx="18">
                  <c:v>0.44</c:v>
                </c:pt>
                <c:pt idx="19">
                  <c:v>0.38</c:v>
                </c:pt>
              </c:numCache>
            </c:numRef>
          </c:val>
          <c:smooth val="0"/>
          <c:extLst>
            <c:ext xmlns:c16="http://schemas.microsoft.com/office/drawing/2014/chart" uri="{C3380CC4-5D6E-409C-BE32-E72D297353CC}">
              <c16:uniqueId val="{00000005-C71A-4FEF-BC5A-739B0AF32CCA}"/>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Maintenance'!$H$35:$H$54</c:f>
              <c:numCache>
                <c:formatCode>0%</c:formatCode>
                <c:ptCount val="20"/>
                <c:pt idx="0">
                  <c:v>1</c:v>
                </c:pt>
                <c:pt idx="1">
                  <c:v>1</c:v>
                </c:pt>
                <c:pt idx="2">
                  <c:v>1</c:v>
                </c:pt>
                <c:pt idx="3">
                  <c:v>1</c:v>
                </c:pt>
                <c:pt idx="4">
                  <c:v>1</c:v>
                </c:pt>
                <c:pt idx="5">
                  <c:v>1</c:v>
                </c:pt>
                <c:pt idx="6">
                  <c:v>0.99</c:v>
                </c:pt>
                <c:pt idx="7">
                  <c:v>0.98</c:v>
                </c:pt>
                <c:pt idx="8">
                  <c:v>0.95</c:v>
                </c:pt>
                <c:pt idx="9">
                  <c:v>0.9</c:v>
                </c:pt>
                <c:pt idx="10">
                  <c:v>0.86</c:v>
                </c:pt>
                <c:pt idx="11">
                  <c:v>0.81</c:v>
                </c:pt>
                <c:pt idx="12">
                  <c:v>0.75</c:v>
                </c:pt>
                <c:pt idx="13">
                  <c:v>0.68</c:v>
                </c:pt>
                <c:pt idx="14">
                  <c:v>0.62</c:v>
                </c:pt>
                <c:pt idx="15">
                  <c:v>0.64</c:v>
                </c:pt>
                <c:pt idx="16">
                  <c:v>0.6</c:v>
                </c:pt>
                <c:pt idx="17">
                  <c:v>0.53</c:v>
                </c:pt>
                <c:pt idx="18">
                  <c:v>0.45</c:v>
                </c:pt>
                <c:pt idx="19">
                  <c:v>0.38</c:v>
                </c:pt>
              </c:numCache>
            </c:numRef>
          </c:val>
          <c:smooth val="0"/>
          <c:extLst>
            <c:ext xmlns:c16="http://schemas.microsoft.com/office/drawing/2014/chart" uri="{C3380CC4-5D6E-409C-BE32-E72D297353CC}">
              <c16:uniqueId val="{00000006-C71A-4FEF-BC5A-739B0AF32CCA}"/>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Maintenance'!$I$35:$I$54</c:f>
              <c:numCache>
                <c:formatCode>0%</c:formatCode>
                <c:ptCount val="20"/>
                <c:pt idx="0">
                  <c:v>1</c:v>
                </c:pt>
                <c:pt idx="1">
                  <c:v>0.99994622788621801</c:v>
                </c:pt>
                <c:pt idx="2">
                  <c:v>0.99959893048128301</c:v>
                </c:pt>
                <c:pt idx="3">
                  <c:v>0.99929292822693805</c:v>
                </c:pt>
                <c:pt idx="4">
                  <c:v>0.99652387662245001</c:v>
                </c:pt>
                <c:pt idx="5">
                  <c:v>0.99079997974307499</c:v>
                </c:pt>
                <c:pt idx="6">
                  <c:v>0.97728590814137495</c:v>
                </c:pt>
                <c:pt idx="7">
                  <c:v>0.92753819497355805</c:v>
                </c:pt>
                <c:pt idx="8">
                  <c:v>0.87764022496044702</c:v>
                </c:pt>
                <c:pt idx="9">
                  <c:v>0.83908548128731597</c:v>
                </c:pt>
                <c:pt idx="10">
                  <c:v>0.80182445471025099</c:v>
                </c:pt>
                <c:pt idx="11">
                  <c:v>0.756017673955791</c:v>
                </c:pt>
                <c:pt idx="12">
                  <c:v>0.70191460812304596</c:v>
                </c:pt>
                <c:pt idx="13">
                  <c:v>0.64237563140976595</c:v>
                </c:pt>
                <c:pt idx="14">
                  <c:v>0.582858919924094</c:v>
                </c:pt>
                <c:pt idx="15">
                  <c:v>0.52401262201926702</c:v>
                </c:pt>
                <c:pt idx="16">
                  <c:v>0.53614658130239501</c:v>
                </c:pt>
                <c:pt idx="17">
                  <c:v>0.49336214412980001</c:v>
                </c:pt>
                <c:pt idx="18">
                  <c:v>0.41773243617037797</c:v>
                </c:pt>
                <c:pt idx="19">
                  <c:v>0.33153409743436602</c:v>
                </c:pt>
              </c:numCache>
            </c:numRef>
          </c:val>
          <c:smooth val="0"/>
          <c:extLst>
            <c:ext xmlns:c16="http://schemas.microsoft.com/office/drawing/2014/chart" uri="{C3380CC4-5D6E-409C-BE32-E72D297353CC}">
              <c16:uniqueId val="{00000007-C71A-4FEF-BC5A-739B0AF32CCA}"/>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Maintenance'!$J$35:$J$54</c:f>
              <c:numCache>
                <c:formatCode>0%</c:formatCode>
                <c:ptCount val="20"/>
                <c:pt idx="0">
                  <c:v>1</c:v>
                </c:pt>
                <c:pt idx="1">
                  <c:v>0.99983810037776599</c:v>
                </c:pt>
                <c:pt idx="2">
                  <c:v>0.99987200491501105</c:v>
                </c:pt>
                <c:pt idx="3">
                  <c:v>0.99935395565288798</c:v>
                </c:pt>
                <c:pt idx="4">
                  <c:v>0.99714225495301101</c:v>
                </c:pt>
                <c:pt idx="5">
                  <c:v>0.99204974008765701</c:v>
                </c:pt>
                <c:pt idx="6">
                  <c:v>0.97880907900575798</c:v>
                </c:pt>
                <c:pt idx="7">
                  <c:v>0.93545314797487</c:v>
                </c:pt>
                <c:pt idx="8">
                  <c:v>0.87264328332238805</c:v>
                </c:pt>
                <c:pt idx="9">
                  <c:v>0.83194244604316503</c:v>
                </c:pt>
                <c:pt idx="10">
                  <c:v>0.78849743480836498</c:v>
                </c:pt>
                <c:pt idx="11">
                  <c:v>0.74447551712662696</c:v>
                </c:pt>
                <c:pt idx="12">
                  <c:v>0.69754050823184099</c:v>
                </c:pt>
                <c:pt idx="13">
                  <c:v>0.648460897765333</c:v>
                </c:pt>
                <c:pt idx="14">
                  <c:v>0.58448321227734201</c:v>
                </c:pt>
                <c:pt idx="15">
                  <c:v>0.52264638146416398</c:v>
                </c:pt>
                <c:pt idx="16">
                  <c:v>0.46567376614051098</c:v>
                </c:pt>
                <c:pt idx="17">
                  <c:v>0.476794263448578</c:v>
                </c:pt>
                <c:pt idx="18">
                  <c:v>0.43244492957960001</c:v>
                </c:pt>
                <c:pt idx="19">
                  <c:v>0.34564524900940102</c:v>
                </c:pt>
              </c:numCache>
            </c:numRef>
          </c:val>
          <c:smooth val="0"/>
          <c:extLst>
            <c:ext xmlns:c16="http://schemas.microsoft.com/office/drawing/2014/chart" uri="{C3380CC4-5D6E-409C-BE32-E72D297353CC}">
              <c16:uniqueId val="{00000008-C71A-4FEF-BC5A-739B0AF32CCA}"/>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Maintenance'!$K$35:$K$54</c:f>
              <c:numCache>
                <c:formatCode>0%</c:formatCode>
                <c:ptCount val="20"/>
                <c:pt idx="0">
                  <c:v>1</c:v>
                </c:pt>
                <c:pt idx="1">
                  <c:v>0.99990331625253803</c:v>
                </c:pt>
                <c:pt idx="2">
                  <c:v>0.99977400619223</c:v>
                </c:pt>
                <c:pt idx="3">
                  <c:v>0.99903394841869997</c:v>
                </c:pt>
                <c:pt idx="4">
                  <c:v>0.99606532434572803</c:v>
                </c:pt>
                <c:pt idx="5">
                  <c:v>0.99081035923141203</c:v>
                </c:pt>
                <c:pt idx="6">
                  <c:v>0.97381371793460303</c:v>
                </c:pt>
                <c:pt idx="7">
                  <c:v>0.92255979734667004</c:v>
                </c:pt>
                <c:pt idx="8">
                  <c:v>0.87008336008679199</c:v>
                </c:pt>
                <c:pt idx="9">
                  <c:v>0.81674449819635897</c:v>
                </c:pt>
                <c:pt idx="10">
                  <c:v>0.76218398594089198</c:v>
                </c:pt>
                <c:pt idx="11">
                  <c:v>0.71064907816615297</c:v>
                </c:pt>
                <c:pt idx="12">
                  <c:v>0.66826830562536799</c:v>
                </c:pt>
                <c:pt idx="13">
                  <c:v>0.62741688403096896</c:v>
                </c:pt>
                <c:pt idx="14">
                  <c:v>0.57479747762216304</c:v>
                </c:pt>
                <c:pt idx="15">
                  <c:v>0.50910915075063301</c:v>
                </c:pt>
                <c:pt idx="16">
                  <c:v>0.45240873690352401</c:v>
                </c:pt>
                <c:pt idx="17">
                  <c:v>0.39986409646586701</c:v>
                </c:pt>
                <c:pt idx="18">
                  <c:v>0.40290109144376002</c:v>
                </c:pt>
                <c:pt idx="19">
                  <c:v>0.33598605426709099</c:v>
                </c:pt>
              </c:numCache>
            </c:numRef>
          </c:val>
          <c:smooth val="0"/>
          <c:extLst>
            <c:ext xmlns:c16="http://schemas.microsoft.com/office/drawing/2014/chart" uri="{C3380CC4-5D6E-409C-BE32-E72D297353CC}">
              <c16:uniqueId val="{00000009-C71A-4FEF-BC5A-739B0AF32CCA}"/>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Maintenance'!$L$35:$L$54</c:f>
              <c:numCache>
                <c:formatCode>0%</c:formatCode>
                <c:ptCount val="20"/>
                <c:pt idx="0">
                  <c:v>0.99966655551850603</c:v>
                </c:pt>
                <c:pt idx="1">
                  <c:v>0.99943342776204003</c:v>
                </c:pt>
                <c:pt idx="2">
                  <c:v>0.998877108685434</c:v>
                </c:pt>
                <c:pt idx="3">
                  <c:v>0.99478305127878897</c:v>
                </c:pt>
                <c:pt idx="4">
                  <c:v>0.99136785758261103</c:v>
                </c:pt>
                <c:pt idx="5">
                  <c:v>0.98001684577075099</c:v>
                </c:pt>
                <c:pt idx="6">
                  <c:v>0.93630049250204295</c:v>
                </c:pt>
                <c:pt idx="7">
                  <c:v>0.88441045265571405</c:v>
                </c:pt>
                <c:pt idx="8">
                  <c:v>0.83088495967384601</c:v>
                </c:pt>
                <c:pt idx="9">
                  <c:v>0.78579581696713297</c:v>
                </c:pt>
                <c:pt idx="10">
                  <c:v>0.719899122781821</c:v>
                </c:pt>
                <c:pt idx="11">
                  <c:v>0.69766987581972895</c:v>
                </c:pt>
                <c:pt idx="12">
                  <c:v>0.64765609508590605</c:v>
                </c:pt>
                <c:pt idx="13">
                  <c:v>0.59165168220318898</c:v>
                </c:pt>
                <c:pt idx="14">
                  <c:v>0.54156111790166095</c:v>
                </c:pt>
                <c:pt idx="15">
                  <c:v>0.48495304518063098</c:v>
                </c:pt>
                <c:pt idx="16">
                  <c:v>0.41976279571256397</c:v>
                </c:pt>
                <c:pt idx="17">
                  <c:v>0.42176743984229997</c:v>
                </c:pt>
                <c:pt idx="18">
                  <c:v>0.40457373109006101</c:v>
                </c:pt>
                <c:pt idx="19">
                  <c:v>0.32243524542332003</c:v>
                </c:pt>
              </c:numCache>
            </c:numRef>
          </c:val>
          <c:smooth val="0"/>
          <c:extLst>
            <c:ext xmlns:c16="http://schemas.microsoft.com/office/drawing/2014/chart" uri="{C3380CC4-5D6E-409C-BE32-E72D297353CC}">
              <c16:uniqueId val="{0000000A-C71A-4FEF-BC5A-739B0AF32CCA}"/>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Maintenance'!$M$35:$M$54</c:f>
              <c:numCache>
                <c:formatCode>0%</c:formatCode>
                <c:ptCount val="20"/>
                <c:pt idx="0">
                  <c:v>1</c:v>
                </c:pt>
                <c:pt idx="1">
                  <c:v>0.99983858818465499</c:v>
                </c:pt>
                <c:pt idx="2">
                  <c:v>0.99986751808378205</c:v>
                </c:pt>
                <c:pt idx="3">
                  <c:v>0.99892612897756194</c:v>
                </c:pt>
                <c:pt idx="4">
                  <c:v>0.99604693715691694</c:v>
                </c:pt>
                <c:pt idx="5">
                  <c:v>0.98963665086887798</c:v>
                </c:pt>
                <c:pt idx="6">
                  <c:v>0.97313211030864599</c:v>
                </c:pt>
                <c:pt idx="7">
                  <c:v>0.92427669960709602</c:v>
                </c:pt>
                <c:pt idx="8">
                  <c:v>0.86286731001860595</c:v>
                </c:pt>
                <c:pt idx="9">
                  <c:v>0.81570907763263201</c:v>
                </c:pt>
                <c:pt idx="10">
                  <c:v>0.75357241227345295</c:v>
                </c:pt>
                <c:pt idx="11">
                  <c:v>0.68460341972782701</c:v>
                </c:pt>
                <c:pt idx="12">
                  <c:v>0.63556009033900096</c:v>
                </c:pt>
                <c:pt idx="13">
                  <c:v>0.58485971413446303</c:v>
                </c:pt>
                <c:pt idx="14">
                  <c:v>0.53398346703018196</c:v>
                </c:pt>
                <c:pt idx="15">
                  <c:v>0.48915755246822301</c:v>
                </c:pt>
                <c:pt idx="16">
                  <c:v>0.43654780386161501</c:v>
                </c:pt>
                <c:pt idx="17">
                  <c:v>0.38389793709137798</c:v>
                </c:pt>
                <c:pt idx="18">
                  <c:v>0.33511103783276502</c:v>
                </c:pt>
                <c:pt idx="19">
                  <c:v>0.281243790342741</c:v>
                </c:pt>
              </c:numCache>
            </c:numRef>
          </c:val>
          <c:smooth val="0"/>
          <c:extLst>
            <c:ext xmlns:c16="http://schemas.microsoft.com/office/drawing/2014/chart" uri="{C3380CC4-5D6E-409C-BE32-E72D297353CC}">
              <c16:uniqueId val="{0000000B-C71A-4FEF-BC5A-739B0AF32CCA}"/>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Maintenance'!$N$35:$N$54</c:f>
              <c:numCache>
                <c:formatCode>0%</c:formatCode>
                <c:ptCount val="20"/>
                <c:pt idx="0">
                  <c:v>1</c:v>
                </c:pt>
                <c:pt idx="1">
                  <c:v>0.99984601170311105</c:v>
                </c:pt>
                <c:pt idx="2">
                  <c:v>0.99962627067968901</c:v>
                </c:pt>
                <c:pt idx="3">
                  <c:v>0.99822042218949403</c:v>
                </c:pt>
                <c:pt idx="4">
                  <c:v>0.99503981602671498</c:v>
                </c:pt>
                <c:pt idx="5">
                  <c:v>0.98904138619493498</c:v>
                </c:pt>
                <c:pt idx="6">
                  <c:v>0.97267440891747303</c:v>
                </c:pt>
                <c:pt idx="7">
                  <c:v>0.92487885028504202</c:v>
                </c:pt>
                <c:pt idx="8">
                  <c:v>0.86576034390112799</c:v>
                </c:pt>
                <c:pt idx="9">
                  <c:v>0.81172866189724902</c:v>
                </c:pt>
                <c:pt idx="10">
                  <c:v>0.75157355674714399</c:v>
                </c:pt>
                <c:pt idx="11">
                  <c:v>0.68663029249672702</c:v>
                </c:pt>
                <c:pt idx="12">
                  <c:v>0.62845290793173503</c:v>
                </c:pt>
                <c:pt idx="13">
                  <c:v>0.57429622245901102</c:v>
                </c:pt>
                <c:pt idx="14">
                  <c:v>0.51828065993070904</c:v>
                </c:pt>
                <c:pt idx="15">
                  <c:v>0.47442101523965902</c:v>
                </c:pt>
                <c:pt idx="16">
                  <c:v>0.43367775190041002</c:v>
                </c:pt>
                <c:pt idx="17">
                  <c:v>0.38372683272340902</c:v>
                </c:pt>
                <c:pt idx="18">
                  <c:v>0.33273809159791801</c:v>
                </c:pt>
                <c:pt idx="19">
                  <c:v>0.277830269440763</c:v>
                </c:pt>
              </c:numCache>
            </c:numRef>
          </c:val>
          <c:smooth val="0"/>
          <c:extLst>
            <c:ext xmlns:c16="http://schemas.microsoft.com/office/drawing/2014/chart" uri="{C3380CC4-5D6E-409C-BE32-E72D297353CC}">
              <c16:uniqueId val="{0000000C-C71A-4FEF-BC5A-739B0AF32CCA}"/>
            </c:ext>
          </c:extLst>
        </c:ser>
        <c:ser>
          <c:idx val="13"/>
          <c:order val="13"/>
          <c:tx>
            <c:strRef>
              <c:f>'Ch4. Maintenance'!$O$8</c:f>
              <c:strCache>
                <c:ptCount val="1"/>
                <c:pt idx="0">
                  <c:v>2023</c:v>
                </c:pt>
              </c:strCache>
            </c:strRef>
          </c:tx>
          <c:spPr>
            <a:ln w="28575" cap="rnd">
              <a:solidFill>
                <a:schemeClr val="accent2">
                  <a:lumMod val="80000"/>
                  <a:lumOff val="20000"/>
                </a:schemeClr>
              </a:solidFill>
              <a:round/>
            </a:ln>
            <a:effectLst/>
          </c:spPr>
          <c:marker>
            <c:symbol val="none"/>
          </c:marker>
          <c:cat>
            <c:numRef>
              <c:f>'Ch4. Maintenance'!$A$35:$A$54</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Maintenance'!$O$35:$O$54</c:f>
              <c:numCache>
                <c:formatCode>0%</c:formatCode>
                <c:ptCount val="20"/>
                <c:pt idx="0">
                  <c:v>1</c:v>
                </c:pt>
                <c:pt idx="1">
                  <c:v>0.99970814281544895</c:v>
                </c:pt>
                <c:pt idx="2">
                  <c:v>0.99960031974420505</c:v>
                </c:pt>
                <c:pt idx="3">
                  <c:v>0.99910236935035202</c:v>
                </c:pt>
                <c:pt idx="4">
                  <c:v>0.99167828252141499</c:v>
                </c:pt>
                <c:pt idx="5">
                  <c:v>0.98851529908421598</c:v>
                </c:pt>
                <c:pt idx="6">
                  <c:v>0.97324423734481003</c:v>
                </c:pt>
                <c:pt idx="7">
                  <c:v>0.92749133934972605</c:v>
                </c:pt>
                <c:pt idx="8">
                  <c:v>0.87146437522377396</c:v>
                </c:pt>
                <c:pt idx="9">
                  <c:v>0.818293178705923</c:v>
                </c:pt>
                <c:pt idx="10">
                  <c:v>0.75344230137045398</c:v>
                </c:pt>
                <c:pt idx="11">
                  <c:v>0.69642475188227204</c:v>
                </c:pt>
                <c:pt idx="12">
                  <c:v>0.63625774691222403</c:v>
                </c:pt>
                <c:pt idx="13">
                  <c:v>0.56910017355702902</c:v>
                </c:pt>
                <c:pt idx="14">
                  <c:v>0.51654908607815297</c:v>
                </c:pt>
                <c:pt idx="15">
                  <c:v>0.46873086045812401</c:v>
                </c:pt>
                <c:pt idx="16">
                  <c:v>0.426088930804429</c:v>
                </c:pt>
                <c:pt idx="17">
                  <c:v>0.38724777474378502</c:v>
                </c:pt>
                <c:pt idx="18">
                  <c:v>0.33866284216863202</c:v>
                </c:pt>
                <c:pt idx="19">
                  <c:v>0.28061324331596599</c:v>
                </c:pt>
              </c:numCache>
            </c:numRef>
          </c:val>
          <c:smooth val="0"/>
          <c:extLst>
            <c:ext xmlns:c16="http://schemas.microsoft.com/office/drawing/2014/chart" uri="{C3380CC4-5D6E-409C-BE32-E72D297353CC}">
              <c16:uniqueId val="{0000000D-C71A-4FEF-BC5A-739B0AF32CCA}"/>
            </c:ext>
          </c:extLst>
        </c:ser>
        <c:ser>
          <c:idx val="14"/>
          <c:order val="14"/>
          <c:tx>
            <c:strRef>
              <c:f>'Ch4. Maintenance'!$P$34</c:f>
              <c:strCache>
                <c:ptCount val="1"/>
                <c:pt idx="0">
                  <c:v>2024</c:v>
                </c:pt>
              </c:strCache>
            </c:strRef>
          </c:tx>
          <c:spPr>
            <a:ln w="28575" cap="rnd">
              <a:solidFill>
                <a:schemeClr val="accent3">
                  <a:lumMod val="80000"/>
                  <a:lumOff val="20000"/>
                </a:schemeClr>
              </a:solidFill>
              <a:round/>
            </a:ln>
            <a:effectLst/>
          </c:spPr>
          <c:marker>
            <c:symbol val="none"/>
          </c:marker>
          <c:val>
            <c:numRef>
              <c:f>'Ch4. Maintenance'!$P$35:$P$54</c:f>
              <c:numCache>
                <c:formatCode>0%</c:formatCode>
                <c:ptCount val="20"/>
                <c:pt idx="0">
                  <c:v>1</c:v>
                </c:pt>
                <c:pt idx="1">
                  <c:v>0.99989750948037304</c:v>
                </c:pt>
                <c:pt idx="2">
                  <c:v>0.99976164938624701</c:v>
                </c:pt>
                <c:pt idx="3">
                  <c:v>0.99894370758637197</c:v>
                </c:pt>
                <c:pt idx="4">
                  <c:v>0.99368977942039904</c:v>
                </c:pt>
                <c:pt idx="5">
                  <c:v>0.98372084136282001</c:v>
                </c:pt>
                <c:pt idx="6">
                  <c:v>0.97338827367156</c:v>
                </c:pt>
                <c:pt idx="7">
                  <c:v>0.92362773563773604</c:v>
                </c:pt>
                <c:pt idx="8">
                  <c:v>0.86386459741289001</c:v>
                </c:pt>
                <c:pt idx="9">
                  <c:v>0.81361926590413103</c:v>
                </c:pt>
                <c:pt idx="10">
                  <c:v>0.74890408182855694</c:v>
                </c:pt>
                <c:pt idx="11">
                  <c:v>0.68364575209100897</c:v>
                </c:pt>
                <c:pt idx="12">
                  <c:v>0.63659813084112105</c:v>
                </c:pt>
                <c:pt idx="13">
                  <c:v>0.57215077313221496</c:v>
                </c:pt>
                <c:pt idx="14">
                  <c:v>0.508859296147262</c:v>
                </c:pt>
                <c:pt idx="15">
                  <c:v>0.45849336317377098</c:v>
                </c:pt>
                <c:pt idx="16">
                  <c:v>0.41175684702738802</c:v>
                </c:pt>
                <c:pt idx="17">
                  <c:v>0.37095995017781203</c:v>
                </c:pt>
                <c:pt idx="18">
                  <c:v>0.33289798716418301</c:v>
                </c:pt>
                <c:pt idx="19">
                  <c:v>0.28160743162690799</c:v>
                </c:pt>
              </c:numCache>
            </c:numRef>
          </c:val>
          <c:smooth val="0"/>
          <c:extLst>
            <c:ext xmlns:c16="http://schemas.microsoft.com/office/drawing/2014/chart" uri="{C3380CC4-5D6E-409C-BE32-E72D297353CC}">
              <c16:uniqueId val="{0000000E-C71A-4FEF-BC5A-739B0AF32CCA}"/>
            </c:ext>
          </c:extLst>
        </c:ser>
        <c:dLbls>
          <c:showLegendKey val="0"/>
          <c:showVal val="0"/>
          <c:showCatName val="0"/>
          <c:showSerName val="0"/>
          <c:showPercent val="0"/>
          <c:showBubbleSize val="0"/>
        </c:dLbls>
        <c:smooth val="0"/>
        <c:axId val="1808642960"/>
        <c:axId val="1808646768"/>
      </c:lineChart>
      <c:catAx>
        <c:axId val="1808642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6768"/>
        <c:crosses val="autoZero"/>
        <c:auto val="1"/>
        <c:lblAlgn val="ctr"/>
        <c:lblOffset val="100"/>
        <c:noMultiLvlLbl val="0"/>
      </c:catAx>
      <c:valAx>
        <c:axId val="18086467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2960"/>
        <c:crosses val="autoZero"/>
        <c:crossBetween val="between"/>
        <c:majorUnit val="0.25"/>
        <c:minorUnit val="0.05"/>
      </c:valAx>
      <c:spPr>
        <a:noFill/>
        <a:ln>
          <a:noFill/>
        </a:ln>
        <a:effectLst/>
      </c:spPr>
    </c:plotArea>
    <c:legend>
      <c:legendPos val="b"/>
      <c:layout>
        <c:manualLayout>
          <c:xMode val="edge"/>
          <c:yMode val="edge"/>
          <c:x val="8.8522319107616196E-2"/>
          <c:y val="0.86319435070616202"/>
          <c:w val="0.70689975593042098"/>
          <c:h val="0.13680539932508401"/>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09671d48-f6ea-4c3b-89da-62b2039c5f1f}"/>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Maintenance'!$B$61:$B$80</c:f>
              <c:numCache>
                <c:formatCode>0%</c:formatCode>
                <c:ptCount val="20"/>
                <c:pt idx="0">
                  <c:v>1</c:v>
                </c:pt>
                <c:pt idx="1">
                  <c:v>0.99967744908303402</c:v>
                </c:pt>
                <c:pt idx="2">
                  <c:v>0.99944910663459197</c:v>
                </c:pt>
                <c:pt idx="3">
                  <c:v>0.99774016057492598</c:v>
                </c:pt>
                <c:pt idx="4">
                  <c:v>0.97247694721134603</c:v>
                </c:pt>
                <c:pt idx="5">
                  <c:v>0.87840416752630501</c:v>
                </c:pt>
                <c:pt idx="6">
                  <c:v>0.83278416091229501</c:v>
                </c:pt>
                <c:pt idx="7">
                  <c:v>0.80909245490099102</c:v>
                </c:pt>
                <c:pt idx="8">
                  <c:v>0.77302922556586595</c:v>
                </c:pt>
                <c:pt idx="9">
                  <c:v>0.71385938734310495</c:v>
                </c:pt>
                <c:pt idx="10">
                  <c:v>0.61670305887808896</c:v>
                </c:pt>
                <c:pt idx="11">
                  <c:v>0.56618938861560097</c:v>
                </c:pt>
                <c:pt idx="12">
                  <c:v>0.515229224628039</c:v>
                </c:pt>
                <c:pt idx="13">
                  <c:v>0.38328559738134199</c:v>
                </c:pt>
                <c:pt idx="14">
                  <c:v>0.30401711433325401</c:v>
                </c:pt>
                <c:pt idx="15">
                  <c:v>0.28223156285823497</c:v>
                </c:pt>
                <c:pt idx="16">
                  <c:v>0.28379538076937399</c:v>
                </c:pt>
                <c:pt idx="17">
                  <c:v>0.24966318234610901</c:v>
                </c:pt>
                <c:pt idx="18">
                  <c:v>0.210014058613604</c:v>
                </c:pt>
                <c:pt idx="19">
                  <c:v>0.17141986593540501</c:v>
                </c:pt>
              </c:numCache>
            </c:numRef>
          </c:val>
          <c:smooth val="0"/>
          <c:extLst>
            <c:ext xmlns:c16="http://schemas.microsoft.com/office/drawing/2014/chart" uri="{C3380CC4-5D6E-409C-BE32-E72D297353CC}">
              <c16:uniqueId val="{00000000-C89C-4B05-970B-FDAA6C759E56}"/>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Maintenance'!$C$61:$C$80</c:f>
              <c:numCache>
                <c:formatCode>0%</c:formatCode>
                <c:ptCount val="20"/>
                <c:pt idx="0">
                  <c:v>0.99984818582055601</c:v>
                </c:pt>
                <c:pt idx="1">
                  <c:v>0.99958375728424798</c:v>
                </c:pt>
                <c:pt idx="2">
                  <c:v>0.99938865963625201</c:v>
                </c:pt>
                <c:pt idx="3">
                  <c:v>0.99880979629205802</c:v>
                </c:pt>
                <c:pt idx="4">
                  <c:v>0.98675905598243696</c:v>
                </c:pt>
                <c:pt idx="5">
                  <c:v>0.91769690062681197</c:v>
                </c:pt>
                <c:pt idx="6">
                  <c:v>0.83641383354304399</c:v>
                </c:pt>
                <c:pt idx="7">
                  <c:v>0.80723053550061197</c:v>
                </c:pt>
                <c:pt idx="8">
                  <c:v>0.77734113202948896</c:v>
                </c:pt>
                <c:pt idx="9">
                  <c:v>0.73589583550053705</c:v>
                </c:pt>
                <c:pt idx="10">
                  <c:v>0.66711133734707095</c:v>
                </c:pt>
                <c:pt idx="11">
                  <c:v>0.58009352295563499</c:v>
                </c:pt>
                <c:pt idx="12">
                  <c:v>0.52652846099789197</c:v>
                </c:pt>
                <c:pt idx="13">
                  <c:v>0.47566286046061501</c:v>
                </c:pt>
                <c:pt idx="14">
                  <c:v>0.352140913647429</c:v>
                </c:pt>
                <c:pt idx="15">
                  <c:v>0.27879940359141703</c:v>
                </c:pt>
                <c:pt idx="16">
                  <c:v>0.25423512928289399</c:v>
                </c:pt>
                <c:pt idx="17">
                  <c:v>0.25353531584642403</c:v>
                </c:pt>
                <c:pt idx="18">
                  <c:v>0.216957026713124</c:v>
                </c:pt>
                <c:pt idx="19">
                  <c:v>0.17924732345625599</c:v>
                </c:pt>
              </c:numCache>
            </c:numRef>
          </c:val>
          <c:smooth val="0"/>
          <c:extLst>
            <c:ext xmlns:c16="http://schemas.microsoft.com/office/drawing/2014/chart" uri="{C3380CC4-5D6E-409C-BE32-E72D297353CC}">
              <c16:uniqueId val="{00000001-C89C-4B05-970B-FDAA6C759E56}"/>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Maintenance'!$D$61:$D$80</c:f>
              <c:numCache>
                <c:formatCode>0%</c:formatCode>
                <c:ptCount val="20"/>
                <c:pt idx="0">
                  <c:v>0.99986876640419997</c:v>
                </c:pt>
                <c:pt idx="1">
                  <c:v>0.99943813460689501</c:v>
                </c:pt>
                <c:pt idx="2">
                  <c:v>0.99921957649017501</c:v>
                </c:pt>
                <c:pt idx="3">
                  <c:v>0.999003619206705</c:v>
                </c:pt>
                <c:pt idx="4">
                  <c:v>0.98969965618162703</c:v>
                </c:pt>
                <c:pt idx="5">
                  <c:v>0.93078373630915501</c:v>
                </c:pt>
                <c:pt idx="6">
                  <c:v>0.846674703410358</c:v>
                </c:pt>
                <c:pt idx="7">
                  <c:v>0.79951621454449096</c:v>
                </c:pt>
                <c:pt idx="8">
                  <c:v>0.76178424959767399</c:v>
                </c:pt>
                <c:pt idx="9">
                  <c:v>0.71362001183952894</c:v>
                </c:pt>
                <c:pt idx="10">
                  <c:v>0.66774707941900402</c:v>
                </c:pt>
                <c:pt idx="11">
                  <c:v>0.60235190873190003</c:v>
                </c:pt>
                <c:pt idx="12">
                  <c:v>0.51624995169455501</c:v>
                </c:pt>
                <c:pt idx="13">
                  <c:v>0.45433584400184501</c:v>
                </c:pt>
                <c:pt idx="14">
                  <c:v>0.41864234565511899</c:v>
                </c:pt>
                <c:pt idx="15">
                  <c:v>0.306969988339027</c:v>
                </c:pt>
                <c:pt idx="16">
                  <c:v>0.24217213734684601</c:v>
                </c:pt>
                <c:pt idx="17">
                  <c:v>0.21510635587823199</c:v>
                </c:pt>
                <c:pt idx="18">
                  <c:v>0.21368605649042899</c:v>
                </c:pt>
                <c:pt idx="19">
                  <c:v>0.169477351916376</c:v>
                </c:pt>
              </c:numCache>
            </c:numRef>
          </c:val>
          <c:smooth val="0"/>
          <c:extLst>
            <c:ext xmlns:c16="http://schemas.microsoft.com/office/drawing/2014/chart" uri="{C3380CC4-5D6E-409C-BE32-E72D297353CC}">
              <c16:uniqueId val="{00000002-C89C-4B05-970B-FDAA6C759E56}"/>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Maintenance'!$E$61:$E$80</c:f>
              <c:numCache>
                <c:formatCode>0%</c:formatCode>
                <c:ptCount val="20"/>
                <c:pt idx="0">
                  <c:v>0.999927373084465</c:v>
                </c:pt>
                <c:pt idx="1">
                  <c:v>0.99958946922343495</c:v>
                </c:pt>
                <c:pt idx="2">
                  <c:v>0.99810196657352201</c:v>
                </c:pt>
                <c:pt idx="3">
                  <c:v>0.97946932404850495</c:v>
                </c:pt>
                <c:pt idx="4">
                  <c:v>0.94536574425935405</c:v>
                </c:pt>
                <c:pt idx="5">
                  <c:v>0.84392727432327197</c:v>
                </c:pt>
                <c:pt idx="6">
                  <c:v>0.78163186466868595</c:v>
                </c:pt>
                <c:pt idx="7">
                  <c:v>0.72843737161884603</c:v>
                </c:pt>
                <c:pt idx="8">
                  <c:v>0.68173577477920799</c:v>
                </c:pt>
                <c:pt idx="9">
                  <c:v>0.62715464918669594</c:v>
                </c:pt>
                <c:pt idx="10">
                  <c:v>0.58008215331819701</c:v>
                </c:pt>
                <c:pt idx="11">
                  <c:v>0.51781389308154002</c:v>
                </c:pt>
                <c:pt idx="12">
                  <c:v>0.43713650854989899</c:v>
                </c:pt>
                <c:pt idx="13">
                  <c:v>0.381071585419411</c:v>
                </c:pt>
                <c:pt idx="14">
                  <c:v>0.34996129281981803</c:v>
                </c:pt>
                <c:pt idx="15">
                  <c:v>0.25494568441725801</c:v>
                </c:pt>
                <c:pt idx="16">
                  <c:v>0.200877325669339</c:v>
                </c:pt>
                <c:pt idx="17">
                  <c:v>0.17098458795058</c:v>
                </c:pt>
                <c:pt idx="18">
                  <c:v>0.15118838849296701</c:v>
                </c:pt>
                <c:pt idx="19">
                  <c:v>2.53193960511034E-2</c:v>
                </c:pt>
              </c:numCache>
            </c:numRef>
          </c:val>
          <c:smooth val="0"/>
          <c:extLst>
            <c:ext xmlns:c16="http://schemas.microsoft.com/office/drawing/2014/chart" uri="{C3380CC4-5D6E-409C-BE32-E72D297353CC}">
              <c16:uniqueId val="{00000003-C89C-4B05-970B-FDAA6C759E56}"/>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Maintenance'!$F$61:$F$80</c:f>
              <c:numCache>
                <c:formatCode>0%</c:formatCode>
                <c:ptCount val="20"/>
                <c:pt idx="0">
                  <c:v>1</c:v>
                </c:pt>
                <c:pt idx="1">
                  <c:v>1</c:v>
                </c:pt>
                <c:pt idx="2">
                  <c:v>0.99996070340897902</c:v>
                </c:pt>
                <c:pt idx="3">
                  <c:v>0.97831230283911697</c:v>
                </c:pt>
                <c:pt idx="4">
                  <c:v>0.94604379110650205</c:v>
                </c:pt>
                <c:pt idx="5">
                  <c:v>0.92025416306933605</c:v>
                </c:pt>
                <c:pt idx="6">
                  <c:v>0.88668438538205996</c:v>
                </c:pt>
                <c:pt idx="7">
                  <c:v>0.83862645403660196</c:v>
                </c:pt>
                <c:pt idx="8">
                  <c:v>0.79073528090621803</c:v>
                </c:pt>
                <c:pt idx="9">
                  <c:v>0.73697964761939905</c:v>
                </c:pt>
                <c:pt idx="10">
                  <c:v>0.67325434052864397</c:v>
                </c:pt>
                <c:pt idx="11">
                  <c:v>0.61746180560140496</c:v>
                </c:pt>
                <c:pt idx="12">
                  <c:v>0.56962853002509495</c:v>
                </c:pt>
                <c:pt idx="13">
                  <c:v>0.51759348034515795</c:v>
                </c:pt>
                <c:pt idx="14">
                  <c:v>0.46650415033789</c:v>
                </c:pt>
                <c:pt idx="15">
                  <c:v>0.437907991811194</c:v>
                </c:pt>
                <c:pt idx="16">
                  <c:v>0.39616063358154402</c:v>
                </c:pt>
                <c:pt idx="17">
                  <c:v>0.36492890995260702</c:v>
                </c:pt>
                <c:pt idx="18">
                  <c:v>0.3189111747851</c:v>
                </c:pt>
                <c:pt idx="19">
                  <c:v>0.27968206656731198</c:v>
                </c:pt>
              </c:numCache>
            </c:numRef>
          </c:val>
          <c:smooth val="0"/>
          <c:extLst>
            <c:ext xmlns:c16="http://schemas.microsoft.com/office/drawing/2014/chart" uri="{C3380CC4-5D6E-409C-BE32-E72D297353CC}">
              <c16:uniqueId val="{00000004-C89C-4B05-970B-FDAA6C759E56}"/>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Maintenance'!$G$61:$G$80</c:f>
              <c:numCache>
                <c:formatCode>0%</c:formatCode>
                <c:ptCount val="20"/>
                <c:pt idx="0">
                  <c:v>1</c:v>
                </c:pt>
                <c:pt idx="1">
                  <c:v>1</c:v>
                </c:pt>
                <c:pt idx="2">
                  <c:v>1</c:v>
                </c:pt>
                <c:pt idx="3">
                  <c:v>1</c:v>
                </c:pt>
                <c:pt idx="4">
                  <c:v>0.98</c:v>
                </c:pt>
                <c:pt idx="5">
                  <c:v>0.94</c:v>
                </c:pt>
                <c:pt idx="6">
                  <c:v>0.88</c:v>
                </c:pt>
                <c:pt idx="7">
                  <c:v>0.83</c:v>
                </c:pt>
                <c:pt idx="8">
                  <c:v>0.74</c:v>
                </c:pt>
                <c:pt idx="9">
                  <c:v>0.67</c:v>
                </c:pt>
                <c:pt idx="10">
                  <c:v>0.61</c:v>
                </c:pt>
                <c:pt idx="11">
                  <c:v>0.55000000000000004</c:v>
                </c:pt>
                <c:pt idx="12">
                  <c:v>0.5</c:v>
                </c:pt>
                <c:pt idx="13">
                  <c:v>0.46</c:v>
                </c:pt>
                <c:pt idx="14">
                  <c:v>0.41</c:v>
                </c:pt>
                <c:pt idx="15">
                  <c:v>0.35</c:v>
                </c:pt>
                <c:pt idx="16">
                  <c:v>0.3</c:v>
                </c:pt>
                <c:pt idx="17">
                  <c:v>0.26</c:v>
                </c:pt>
                <c:pt idx="18">
                  <c:v>0.17</c:v>
                </c:pt>
                <c:pt idx="19">
                  <c:v>0.12</c:v>
                </c:pt>
              </c:numCache>
            </c:numRef>
          </c:val>
          <c:smooth val="0"/>
          <c:extLst>
            <c:ext xmlns:c16="http://schemas.microsoft.com/office/drawing/2014/chart" uri="{C3380CC4-5D6E-409C-BE32-E72D297353CC}">
              <c16:uniqueId val="{00000005-C89C-4B05-970B-FDAA6C759E56}"/>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Maintenance'!$H$61:$H$80</c:f>
              <c:numCache>
                <c:formatCode>0%</c:formatCode>
                <c:ptCount val="20"/>
                <c:pt idx="0">
                  <c:v>1</c:v>
                </c:pt>
                <c:pt idx="1">
                  <c:v>0.99984721161191703</c:v>
                </c:pt>
                <c:pt idx="2">
                  <c:v>0.999574424183023</c:v>
                </c:pt>
                <c:pt idx="3">
                  <c:v>0.99842790751047095</c:v>
                </c:pt>
                <c:pt idx="4">
                  <c:v>0.98088478082637898</c:v>
                </c:pt>
                <c:pt idx="5">
                  <c:v>0.93122848746126297</c:v>
                </c:pt>
                <c:pt idx="6">
                  <c:v>0.87050022866351595</c:v>
                </c:pt>
                <c:pt idx="7">
                  <c:v>0.82277205189062697</c:v>
                </c:pt>
                <c:pt idx="8">
                  <c:v>0.77381308491090095</c:v>
                </c:pt>
                <c:pt idx="9">
                  <c:v>0.68091272033606798</c:v>
                </c:pt>
                <c:pt idx="10">
                  <c:v>0.60326775524270004</c:v>
                </c:pt>
                <c:pt idx="11">
                  <c:v>0.54119706514809296</c:v>
                </c:pt>
                <c:pt idx="12">
                  <c:v>0.49051522096621702</c:v>
                </c:pt>
                <c:pt idx="13">
                  <c:v>0.44726500265533697</c:v>
                </c:pt>
                <c:pt idx="14">
                  <c:v>0.40781309577454999</c:v>
                </c:pt>
                <c:pt idx="15">
                  <c:v>0.36139969114137299</c:v>
                </c:pt>
                <c:pt idx="16">
                  <c:v>0.30231659485673401</c:v>
                </c:pt>
                <c:pt idx="17">
                  <c:v>0.25468279935879101</c:v>
                </c:pt>
                <c:pt idx="18">
                  <c:v>0.212236307335011</c:v>
                </c:pt>
                <c:pt idx="19">
                  <c:v>0.12609700713949601</c:v>
                </c:pt>
              </c:numCache>
            </c:numRef>
          </c:val>
          <c:smooth val="0"/>
          <c:extLst>
            <c:ext xmlns:c16="http://schemas.microsoft.com/office/drawing/2014/chart" uri="{C3380CC4-5D6E-409C-BE32-E72D297353CC}">
              <c16:uniqueId val="{00000006-C89C-4B05-970B-FDAA6C759E56}"/>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Maintenance'!$I$61:$I$80</c:f>
              <c:numCache>
                <c:formatCode>0%</c:formatCode>
                <c:ptCount val="20"/>
                <c:pt idx="0">
                  <c:v>1</c:v>
                </c:pt>
                <c:pt idx="1">
                  <c:v>0.99983878025749096</c:v>
                </c:pt>
                <c:pt idx="2">
                  <c:v>0.99969989871581699</c:v>
                </c:pt>
                <c:pt idx="3">
                  <c:v>0.99694539900725498</c:v>
                </c:pt>
                <c:pt idx="4">
                  <c:v>0.96892714215229403</c:v>
                </c:pt>
                <c:pt idx="5">
                  <c:v>0.89991010202374999</c:v>
                </c:pt>
                <c:pt idx="6">
                  <c:v>0.85164443325782402</c:v>
                </c:pt>
                <c:pt idx="7">
                  <c:v>0.81120860171425702</c:v>
                </c:pt>
                <c:pt idx="8">
                  <c:v>0.74936782413136305</c:v>
                </c:pt>
                <c:pt idx="9">
                  <c:v>0.69426737990753495</c:v>
                </c:pt>
                <c:pt idx="10">
                  <c:v>0.60128627418278902</c:v>
                </c:pt>
                <c:pt idx="11">
                  <c:v>0.52238427779410701</c:v>
                </c:pt>
                <c:pt idx="12">
                  <c:v>0.45918201955805299</c:v>
                </c:pt>
                <c:pt idx="13">
                  <c:v>0.40831811884136798</c:v>
                </c:pt>
                <c:pt idx="14">
                  <c:v>0.37344662772172099</c:v>
                </c:pt>
                <c:pt idx="15">
                  <c:v>0.34125966237997901</c:v>
                </c:pt>
                <c:pt idx="16">
                  <c:v>0.299996490242875</c:v>
                </c:pt>
                <c:pt idx="17">
                  <c:v>0.24978263809726201</c:v>
                </c:pt>
                <c:pt idx="18">
                  <c:v>0.19519532708228099</c:v>
                </c:pt>
                <c:pt idx="19">
                  <c:v>0.14304722275982201</c:v>
                </c:pt>
              </c:numCache>
            </c:numRef>
          </c:val>
          <c:smooth val="0"/>
          <c:extLst>
            <c:ext xmlns:c16="http://schemas.microsoft.com/office/drawing/2014/chart" uri="{C3380CC4-5D6E-409C-BE32-E72D297353CC}">
              <c16:uniqueId val="{00000007-C89C-4B05-970B-FDAA6C759E56}"/>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Maintenance'!$J$61:$J$80</c:f>
              <c:numCache>
                <c:formatCode>0%</c:formatCode>
                <c:ptCount val="20"/>
                <c:pt idx="0">
                  <c:v>0.99990594431903701</c:v>
                </c:pt>
                <c:pt idx="1">
                  <c:v>0.99993218959788399</c:v>
                </c:pt>
                <c:pt idx="2">
                  <c:v>0.99969788884726496</c:v>
                </c:pt>
                <c:pt idx="3">
                  <c:v>0.99776051188299797</c:v>
                </c:pt>
                <c:pt idx="4">
                  <c:v>0.97073802617302496</c:v>
                </c:pt>
                <c:pt idx="5">
                  <c:v>0.90069925799260997</c:v>
                </c:pt>
                <c:pt idx="6">
                  <c:v>0.84656896818041405</c:v>
                </c:pt>
                <c:pt idx="7">
                  <c:v>0.80709506252316598</c:v>
                </c:pt>
                <c:pt idx="8">
                  <c:v>0.75022419265454199</c:v>
                </c:pt>
                <c:pt idx="9">
                  <c:v>0.68295017097141897</c:v>
                </c:pt>
                <c:pt idx="10">
                  <c:v>0.62769716964009303</c:v>
                </c:pt>
                <c:pt idx="11">
                  <c:v>0.54036024016010697</c:v>
                </c:pt>
                <c:pt idx="12">
                  <c:v>0.46301044971265798</c:v>
                </c:pt>
                <c:pt idx="13">
                  <c:v>0.396931222648441</c:v>
                </c:pt>
                <c:pt idx="14">
                  <c:v>0.353597741780937</c:v>
                </c:pt>
                <c:pt idx="15">
                  <c:v>0.32445186252939801</c:v>
                </c:pt>
                <c:pt idx="16">
                  <c:v>0.29659606918783998</c:v>
                </c:pt>
                <c:pt idx="17">
                  <c:v>0.259932612663204</c:v>
                </c:pt>
                <c:pt idx="18">
                  <c:v>0.20200166161099001</c:v>
                </c:pt>
                <c:pt idx="19">
                  <c:v>0.14049496036364401</c:v>
                </c:pt>
              </c:numCache>
            </c:numRef>
          </c:val>
          <c:smooth val="0"/>
          <c:extLst>
            <c:ext xmlns:c16="http://schemas.microsoft.com/office/drawing/2014/chart" uri="{C3380CC4-5D6E-409C-BE32-E72D297353CC}">
              <c16:uniqueId val="{00000008-C89C-4B05-970B-FDAA6C759E56}"/>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Maintenance'!$K$61:$K$80</c:f>
              <c:numCache>
                <c:formatCode>0%</c:formatCode>
                <c:ptCount val="20"/>
                <c:pt idx="0">
                  <c:v>1</c:v>
                </c:pt>
                <c:pt idx="1">
                  <c:v>0.99980415623980001</c:v>
                </c:pt>
                <c:pt idx="2">
                  <c:v>0.99966677774075297</c:v>
                </c:pt>
                <c:pt idx="3">
                  <c:v>0.997699074125043</c:v>
                </c:pt>
                <c:pt idx="4">
                  <c:v>0.97432805336462203</c:v>
                </c:pt>
                <c:pt idx="5">
                  <c:v>0.91334954432138604</c:v>
                </c:pt>
                <c:pt idx="6">
                  <c:v>0.85501612074202105</c:v>
                </c:pt>
                <c:pt idx="7">
                  <c:v>0.80481467260761996</c:v>
                </c:pt>
                <c:pt idx="8">
                  <c:v>0.74887966003476902</c:v>
                </c:pt>
                <c:pt idx="9">
                  <c:v>0.68940210004933</c:v>
                </c:pt>
                <c:pt idx="10">
                  <c:v>0.61899693597806804</c:v>
                </c:pt>
                <c:pt idx="11">
                  <c:v>0.56692930198791402</c:v>
                </c:pt>
                <c:pt idx="12">
                  <c:v>0.48020555370246798</c:v>
                </c:pt>
                <c:pt idx="13">
                  <c:v>0.41053890516201602</c:v>
                </c:pt>
                <c:pt idx="14">
                  <c:v>0.35081311794262199</c:v>
                </c:pt>
                <c:pt idx="15">
                  <c:v>0.31402304803832698</c:v>
                </c:pt>
                <c:pt idx="16">
                  <c:v>0.287201274561869</c:v>
                </c:pt>
                <c:pt idx="17">
                  <c:v>0.25409892890568098</c:v>
                </c:pt>
                <c:pt idx="18">
                  <c:v>0.20932191492348701</c:v>
                </c:pt>
                <c:pt idx="19">
                  <c:v>0.15029851034642699</c:v>
                </c:pt>
              </c:numCache>
            </c:numRef>
          </c:val>
          <c:smooth val="0"/>
          <c:extLst>
            <c:ext xmlns:c16="http://schemas.microsoft.com/office/drawing/2014/chart" uri="{C3380CC4-5D6E-409C-BE32-E72D297353CC}">
              <c16:uniqueId val="{00000009-C89C-4B05-970B-FDAA6C759E56}"/>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Maintenance'!$L$61:$L$80</c:f>
              <c:numCache>
                <c:formatCode>0%</c:formatCode>
                <c:ptCount val="20"/>
                <c:pt idx="0">
                  <c:v>0.99992825369493499</c:v>
                </c:pt>
                <c:pt idx="1">
                  <c:v>0.99989758925096806</c:v>
                </c:pt>
                <c:pt idx="2">
                  <c:v>0.99971900324832197</c:v>
                </c:pt>
                <c:pt idx="3">
                  <c:v>0.99749460043196503</c:v>
                </c:pt>
                <c:pt idx="4">
                  <c:v>0.97404567375589801</c:v>
                </c:pt>
                <c:pt idx="5">
                  <c:v>0.91553502169751799</c:v>
                </c:pt>
                <c:pt idx="6">
                  <c:v>0.86207381041588604</c:v>
                </c:pt>
                <c:pt idx="7">
                  <c:v>0.80751478128812604</c:v>
                </c:pt>
                <c:pt idx="8">
                  <c:v>0.74419037325135295</c:v>
                </c:pt>
                <c:pt idx="9">
                  <c:v>0.68522111848011802</c:v>
                </c:pt>
                <c:pt idx="10">
                  <c:v>0.62159495862610503</c:v>
                </c:pt>
                <c:pt idx="11">
                  <c:v>0.55979143148954502</c:v>
                </c:pt>
                <c:pt idx="12">
                  <c:v>0.50712104712489103</c:v>
                </c:pt>
                <c:pt idx="13">
                  <c:v>0.42702426617745198</c:v>
                </c:pt>
                <c:pt idx="14">
                  <c:v>0.36362162107375601</c:v>
                </c:pt>
                <c:pt idx="15">
                  <c:v>0.30880112377762198</c:v>
                </c:pt>
                <c:pt idx="16">
                  <c:v>0.276783633303121</c:v>
                </c:pt>
                <c:pt idx="17">
                  <c:v>0.24768985661178999</c:v>
                </c:pt>
                <c:pt idx="18">
                  <c:v>0.20508509827030399</c:v>
                </c:pt>
                <c:pt idx="19">
                  <c:v>0.15263933735785501</c:v>
                </c:pt>
              </c:numCache>
            </c:numRef>
          </c:val>
          <c:smooth val="0"/>
          <c:extLst>
            <c:ext xmlns:c16="http://schemas.microsoft.com/office/drawing/2014/chart" uri="{C3380CC4-5D6E-409C-BE32-E72D297353CC}">
              <c16:uniqueId val="{0000000A-C89C-4B05-970B-FDAA6C759E56}"/>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Maintenance'!$M$61:$M$80</c:f>
              <c:numCache>
                <c:formatCode>0%</c:formatCode>
                <c:ptCount val="20"/>
                <c:pt idx="0">
                  <c:v>1</c:v>
                </c:pt>
                <c:pt idx="1">
                  <c:v>0.99988380649909003</c:v>
                </c:pt>
                <c:pt idx="2">
                  <c:v>0.99968520461699895</c:v>
                </c:pt>
                <c:pt idx="3">
                  <c:v>0.99743144671757</c:v>
                </c:pt>
                <c:pt idx="4">
                  <c:v>0.97470416993710796</c:v>
                </c:pt>
                <c:pt idx="5">
                  <c:v>0.91837032001165397</c:v>
                </c:pt>
                <c:pt idx="6">
                  <c:v>0.86898292638149399</c:v>
                </c:pt>
                <c:pt idx="7">
                  <c:v>0.81988930456618703</c:v>
                </c:pt>
                <c:pt idx="8">
                  <c:v>0.74858563563944502</c:v>
                </c:pt>
                <c:pt idx="9">
                  <c:v>0.68153594047566302</c:v>
                </c:pt>
                <c:pt idx="10">
                  <c:v>0.62086342047341403</c:v>
                </c:pt>
                <c:pt idx="11">
                  <c:v>0.56134611125651801</c:v>
                </c:pt>
                <c:pt idx="12">
                  <c:v>0.50184378863624102</c:v>
                </c:pt>
                <c:pt idx="13">
                  <c:v>0.45213844938398101</c:v>
                </c:pt>
                <c:pt idx="14">
                  <c:v>0.38000333555703802</c:v>
                </c:pt>
                <c:pt idx="15">
                  <c:v>0.32237008807759698</c:v>
                </c:pt>
                <c:pt idx="16">
                  <c:v>0.26980387919390603</c:v>
                </c:pt>
                <c:pt idx="17">
                  <c:v>0.23819759160947801</c:v>
                </c:pt>
                <c:pt idx="18">
                  <c:v>0.19256505576208199</c:v>
                </c:pt>
                <c:pt idx="19">
                  <c:v>0.14211931089465801</c:v>
                </c:pt>
              </c:numCache>
            </c:numRef>
          </c:val>
          <c:smooth val="0"/>
          <c:extLst>
            <c:ext xmlns:c16="http://schemas.microsoft.com/office/drawing/2014/chart" uri="{C3380CC4-5D6E-409C-BE32-E72D297353CC}">
              <c16:uniqueId val="{0000000B-C89C-4B05-970B-FDAA6C759E56}"/>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Maintenance'!$N$61:$N$80</c:f>
              <c:numCache>
                <c:formatCode>0%</c:formatCode>
                <c:ptCount val="20"/>
                <c:pt idx="0">
                  <c:v>1</c:v>
                </c:pt>
                <c:pt idx="1">
                  <c:v>0.99989097252507597</c:v>
                </c:pt>
                <c:pt idx="2">
                  <c:v>0.99967360438675701</c:v>
                </c:pt>
                <c:pt idx="3">
                  <c:v>0.99751918252914296</c:v>
                </c:pt>
                <c:pt idx="4">
                  <c:v>0.97676043219076003</c:v>
                </c:pt>
                <c:pt idx="5">
                  <c:v>0.932808963429969</c:v>
                </c:pt>
                <c:pt idx="6">
                  <c:v>0.87660804801727499</c:v>
                </c:pt>
                <c:pt idx="7">
                  <c:v>0.83540049273178296</c:v>
                </c:pt>
                <c:pt idx="8">
                  <c:v>0.77355327112300398</c:v>
                </c:pt>
                <c:pt idx="9">
                  <c:v>0.70093521164871198</c:v>
                </c:pt>
                <c:pt idx="10">
                  <c:v>0.63004889455782298</c:v>
                </c:pt>
                <c:pt idx="11">
                  <c:v>0.57188091284704801</c:v>
                </c:pt>
                <c:pt idx="12">
                  <c:v>0.51655962471561701</c:v>
                </c:pt>
                <c:pt idx="13">
                  <c:v>0.46051712089447899</c:v>
                </c:pt>
                <c:pt idx="14">
                  <c:v>0.414696901757308</c:v>
                </c:pt>
                <c:pt idx="15">
                  <c:v>0.34723148765843898</c:v>
                </c:pt>
                <c:pt idx="16">
                  <c:v>0.29532854261475899</c:v>
                </c:pt>
                <c:pt idx="17">
                  <c:v>0.244281160516505</c:v>
                </c:pt>
                <c:pt idx="18">
                  <c:v>0.20084164184902201</c:v>
                </c:pt>
                <c:pt idx="19">
                  <c:v>0.14695394886579199</c:v>
                </c:pt>
              </c:numCache>
            </c:numRef>
          </c:val>
          <c:smooth val="0"/>
          <c:extLst>
            <c:ext xmlns:c16="http://schemas.microsoft.com/office/drawing/2014/chart" uri="{C3380CC4-5D6E-409C-BE32-E72D297353CC}">
              <c16:uniqueId val="{0000000C-C89C-4B05-970B-FDAA6C759E56}"/>
            </c:ext>
          </c:extLst>
        </c:ser>
        <c:ser>
          <c:idx val="13"/>
          <c:order val="13"/>
          <c:tx>
            <c:strRef>
              <c:f>'Ch4. Maintenance'!$O$8</c:f>
              <c:strCache>
                <c:ptCount val="1"/>
                <c:pt idx="0">
                  <c:v>2023</c:v>
                </c:pt>
              </c:strCache>
            </c:strRef>
          </c:tx>
          <c:spPr>
            <a:ln w="28575" cap="rnd">
              <a:solidFill>
                <a:schemeClr val="accent2">
                  <a:lumMod val="80000"/>
                  <a:lumOff val="20000"/>
                </a:schemeClr>
              </a:solidFill>
              <a:round/>
            </a:ln>
            <a:effectLst/>
          </c:spPr>
          <c:marker>
            <c:symbol val="none"/>
          </c:marker>
          <c:cat>
            <c:numRef>
              <c:f>'Ch4. Maintenance'!$A$61:$A$80</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Maintenance'!$O$61:$O$80</c:f>
              <c:numCache>
                <c:formatCode>0%</c:formatCode>
                <c:ptCount val="20"/>
                <c:pt idx="0">
                  <c:v>0.99975064416922999</c:v>
                </c:pt>
                <c:pt idx="1">
                  <c:v>0.999672370775473</c:v>
                </c:pt>
                <c:pt idx="2">
                  <c:v>0.999635754352735</c:v>
                </c:pt>
                <c:pt idx="3">
                  <c:v>0.997586382113821</c:v>
                </c:pt>
                <c:pt idx="4">
                  <c:v>0.97760312323419096</c:v>
                </c:pt>
                <c:pt idx="5">
                  <c:v>0.93738235973978801</c:v>
                </c:pt>
                <c:pt idx="6">
                  <c:v>0.89597123477976603</c:v>
                </c:pt>
                <c:pt idx="7">
                  <c:v>0.84401982798796804</c:v>
                </c:pt>
                <c:pt idx="8">
                  <c:v>0.79072103332060495</c:v>
                </c:pt>
                <c:pt idx="9">
                  <c:v>0.72577340535414903</c:v>
                </c:pt>
                <c:pt idx="10">
                  <c:v>0.650648559977</c:v>
                </c:pt>
                <c:pt idx="11">
                  <c:v>0.58257526772190604</c:v>
                </c:pt>
                <c:pt idx="12">
                  <c:v>0.52913464880101901</c:v>
                </c:pt>
                <c:pt idx="13">
                  <c:v>0.476851991664905</c:v>
                </c:pt>
                <c:pt idx="14">
                  <c:v>0.42501747030048898</c:v>
                </c:pt>
                <c:pt idx="15">
                  <c:v>0.38031943287852599</c:v>
                </c:pt>
                <c:pt idx="16">
                  <c:v>0.317878585723816</c:v>
                </c:pt>
                <c:pt idx="17">
                  <c:v>0.26821604856937298</c:v>
                </c:pt>
                <c:pt idx="18">
                  <c:v>0.206213193581501</c:v>
                </c:pt>
                <c:pt idx="19">
                  <c:v>0.15499158358151</c:v>
                </c:pt>
              </c:numCache>
            </c:numRef>
          </c:val>
          <c:smooth val="0"/>
          <c:extLst>
            <c:ext xmlns:c16="http://schemas.microsoft.com/office/drawing/2014/chart" uri="{C3380CC4-5D6E-409C-BE32-E72D297353CC}">
              <c16:uniqueId val="{0000000D-C89C-4B05-970B-FDAA6C759E56}"/>
            </c:ext>
          </c:extLst>
        </c:ser>
        <c:ser>
          <c:idx val="14"/>
          <c:order val="14"/>
          <c:tx>
            <c:strRef>
              <c:f>'Ch4. Maintenance'!$P$60</c:f>
              <c:strCache>
                <c:ptCount val="1"/>
                <c:pt idx="0">
                  <c:v>2024</c:v>
                </c:pt>
              </c:strCache>
            </c:strRef>
          </c:tx>
          <c:spPr>
            <a:ln w="28575" cap="rnd">
              <a:solidFill>
                <a:schemeClr val="accent3">
                  <a:lumMod val="80000"/>
                  <a:lumOff val="20000"/>
                </a:schemeClr>
              </a:solidFill>
              <a:round/>
            </a:ln>
            <a:effectLst/>
          </c:spPr>
          <c:marker>
            <c:symbol val="none"/>
          </c:marker>
          <c:val>
            <c:numRef>
              <c:f>'Ch4. Maintenance'!$P$61:$P$80</c:f>
              <c:numCache>
                <c:formatCode>0%</c:formatCode>
                <c:ptCount val="20"/>
                <c:pt idx="0">
                  <c:v>1</c:v>
                </c:pt>
                <c:pt idx="1">
                  <c:v>0.99974503454781904</c:v>
                </c:pt>
                <c:pt idx="2">
                  <c:v>0.999615407372345</c:v>
                </c:pt>
                <c:pt idx="3">
                  <c:v>0.99689810840003301</c:v>
                </c:pt>
                <c:pt idx="4">
                  <c:v>0.97375398109086098</c:v>
                </c:pt>
                <c:pt idx="5">
                  <c:v>0.93682337123361104</c:v>
                </c:pt>
                <c:pt idx="6">
                  <c:v>0.89920569075712897</c:v>
                </c:pt>
                <c:pt idx="7">
                  <c:v>0.85103309929789395</c:v>
                </c:pt>
                <c:pt idx="8">
                  <c:v>0.79582063205380704</c:v>
                </c:pt>
                <c:pt idx="9">
                  <c:v>0.73792640143315702</c:v>
                </c:pt>
                <c:pt idx="10">
                  <c:v>0.67173239412770702</c:v>
                </c:pt>
                <c:pt idx="11">
                  <c:v>0.60053102433579697</c:v>
                </c:pt>
                <c:pt idx="12">
                  <c:v>0.53869456230015</c:v>
                </c:pt>
                <c:pt idx="13">
                  <c:v>0.48469899988415599</c:v>
                </c:pt>
                <c:pt idx="14">
                  <c:v>0.43919306616736598</c:v>
                </c:pt>
                <c:pt idx="15">
                  <c:v>0.39077568134171897</c:v>
                </c:pt>
                <c:pt idx="16">
                  <c:v>0.34729784553626702</c:v>
                </c:pt>
                <c:pt idx="17">
                  <c:v>0.28753544029352901</c:v>
                </c:pt>
                <c:pt idx="18">
                  <c:v>0.22816050596474899</c:v>
                </c:pt>
                <c:pt idx="19">
                  <c:v>0.16189961640283099</c:v>
                </c:pt>
              </c:numCache>
            </c:numRef>
          </c:val>
          <c:smooth val="0"/>
          <c:extLst>
            <c:ext xmlns:c16="http://schemas.microsoft.com/office/drawing/2014/chart" uri="{C3380CC4-5D6E-409C-BE32-E72D297353CC}">
              <c16:uniqueId val="{0000000E-C89C-4B05-970B-FDAA6C759E56}"/>
            </c:ext>
          </c:extLst>
        </c:ser>
        <c:dLbls>
          <c:showLegendKey val="0"/>
          <c:showVal val="0"/>
          <c:showCatName val="0"/>
          <c:showSerName val="0"/>
          <c:showPercent val="0"/>
          <c:showBubbleSize val="0"/>
        </c:dLbls>
        <c:smooth val="0"/>
        <c:axId val="1808650032"/>
        <c:axId val="1808643504"/>
      </c:lineChart>
      <c:catAx>
        <c:axId val="1808650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3504"/>
        <c:crosses val="autoZero"/>
        <c:auto val="1"/>
        <c:lblAlgn val="ctr"/>
        <c:lblOffset val="100"/>
        <c:noMultiLvlLbl val="0"/>
      </c:catAx>
      <c:valAx>
        <c:axId val="18086435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50032"/>
        <c:crosses val="autoZero"/>
        <c:crossBetween val="between"/>
        <c:majorUnit val="0.25"/>
        <c:minorUnit val="0.05"/>
      </c:valAx>
      <c:spPr>
        <a:noFill/>
        <a:ln>
          <a:noFill/>
        </a:ln>
        <a:effectLst/>
      </c:spPr>
    </c:plotArea>
    <c:legend>
      <c:legendPos val="b"/>
      <c:layout>
        <c:manualLayout>
          <c:xMode val="edge"/>
          <c:yMode val="edge"/>
          <c:x val="9.0502719073559501E-2"/>
          <c:y val="0.90446416809503005"/>
          <c:w val="0.80109915785075403"/>
          <c:h val="9.5535746989967196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ce9ae87d-02ee-4e37-bd61-66f724353a07}"/>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2015</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4CA1-4F90-8B41-FD159E9397ED}"/>
              </c:ext>
            </c:extLst>
          </c:dPt>
          <c:dPt>
            <c:idx val="1"/>
            <c:bubble3D val="0"/>
            <c:spPr>
              <a:solidFill>
                <a:srgbClr val="FF0000"/>
              </a:solidFill>
              <a:ln>
                <a:solidFill>
                  <a:schemeClr val="bg1"/>
                </a:solidFill>
              </a:ln>
            </c:spPr>
            <c:extLst>
              <c:ext xmlns:c16="http://schemas.microsoft.com/office/drawing/2014/chart" uri="{C3380CC4-5D6E-409C-BE32-E72D297353CC}">
                <c16:uniqueId val="{00000003-4CA1-4F90-8B41-FD159E9397ED}"/>
              </c:ext>
            </c:extLst>
          </c:dPt>
          <c:dPt>
            <c:idx val="2"/>
            <c:bubble3D val="0"/>
            <c:spPr>
              <a:solidFill>
                <a:srgbClr val="7030A0"/>
              </a:solidFill>
              <a:ln>
                <a:solidFill>
                  <a:schemeClr val="bg1"/>
                </a:solidFill>
              </a:ln>
            </c:spPr>
            <c:extLst>
              <c:ext xmlns:c16="http://schemas.microsoft.com/office/drawing/2014/chart" uri="{C3380CC4-5D6E-409C-BE32-E72D297353CC}">
                <c16:uniqueId val="{00000005-4CA1-4F90-8B41-FD159E9397ED}"/>
              </c:ext>
            </c:extLst>
          </c:dPt>
          <c:dPt>
            <c:idx val="3"/>
            <c:bubble3D val="0"/>
            <c:spPr>
              <a:solidFill>
                <a:srgbClr val="FFC000"/>
              </a:solidFill>
              <a:ln>
                <a:solidFill>
                  <a:schemeClr val="bg1"/>
                </a:solidFill>
              </a:ln>
            </c:spPr>
            <c:extLst>
              <c:ext xmlns:c16="http://schemas.microsoft.com/office/drawing/2014/chart" uri="{C3380CC4-5D6E-409C-BE32-E72D297353CC}">
                <c16:uniqueId val="{00000007-4CA1-4F90-8B41-FD159E9397ED}"/>
              </c:ext>
            </c:extLst>
          </c:dPt>
          <c:dPt>
            <c:idx val="4"/>
            <c:bubble3D val="0"/>
            <c:spPr>
              <a:solidFill>
                <a:srgbClr val="008000"/>
              </a:solidFill>
              <a:ln>
                <a:solidFill>
                  <a:schemeClr val="bg1"/>
                </a:solidFill>
              </a:ln>
            </c:spPr>
            <c:extLst>
              <c:ext xmlns:c16="http://schemas.microsoft.com/office/drawing/2014/chart" uri="{C3380CC4-5D6E-409C-BE32-E72D297353CC}">
                <c16:uniqueId val="{00000009-4CA1-4F90-8B41-FD159E9397ED}"/>
              </c:ext>
            </c:extLst>
          </c:dPt>
          <c:dPt>
            <c:idx val="5"/>
            <c:bubble3D val="0"/>
            <c:spPr>
              <a:solidFill>
                <a:schemeClr val="accent2"/>
              </a:solidFill>
              <a:ln>
                <a:solidFill>
                  <a:schemeClr val="bg1"/>
                </a:solidFill>
              </a:ln>
            </c:spPr>
            <c:extLst>
              <c:ext xmlns:c16="http://schemas.microsoft.com/office/drawing/2014/chart" uri="{C3380CC4-5D6E-409C-BE32-E72D297353CC}">
                <c16:uniqueId val="{0000000B-4CA1-4F90-8B41-FD159E9397ED}"/>
              </c:ext>
            </c:extLst>
          </c:dPt>
          <c:dLbls>
            <c:dLbl>
              <c:idx val="0"/>
              <c:layout>
                <c:manualLayout>
                  <c:x val="-0.205457408732999"/>
                  <c:y val="0.22560913326934001"/>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47232323232323"/>
                      <c:h val="0.28706765691402503"/>
                    </c:manualLayout>
                  </c15:layout>
                </c:ext>
                <c:ext xmlns:c16="http://schemas.microsoft.com/office/drawing/2014/chart" uri="{C3380CC4-5D6E-409C-BE32-E72D297353CC}">
                  <c16:uniqueId val="{00000001-4CA1-4F90-8B41-FD159E9397ED}"/>
                </c:ext>
              </c:extLst>
            </c:dLbl>
            <c:dLbl>
              <c:idx val="3"/>
              <c:layout>
                <c:manualLayout>
                  <c:x val="0.17376886980036599"/>
                  <c:y val="-4.96607503801395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29333333333333"/>
                      <c:h val="0.28706765691402503"/>
                    </c:manualLayout>
                  </c15:layout>
                </c:ext>
                <c:ext xmlns:c16="http://schemas.microsoft.com/office/drawing/2014/chart" uri="{C3380CC4-5D6E-409C-BE32-E72D297353CC}">
                  <c16:uniqueId val="{00000007-4CA1-4F90-8B41-FD159E9397ED}"/>
                </c:ext>
              </c:extLst>
            </c:dLbl>
            <c:dLbl>
              <c:idx val="5"/>
              <c:layout>
                <c:manualLayout>
                  <c:x val="0.15748063310268001"/>
                  <c:y val="0.126573925226207"/>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5050505050505101"/>
                      <c:h val="0.232109444050799"/>
                    </c:manualLayout>
                  </c15:layout>
                </c:ext>
                <c:ext xmlns:c16="http://schemas.microsoft.com/office/drawing/2014/chart" uri="{C3380CC4-5D6E-409C-BE32-E72D297353CC}">
                  <c16:uniqueId val="{0000000B-4CA1-4F90-8B41-FD159E9397ED}"/>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Patents-in-Force'!$P$8:$P$13</c:f>
              <c:numCache>
                <c:formatCode>#,##0</c:formatCode>
                <c:ptCount val="6"/>
                <c:pt idx="0">
                  <c:v>2493883</c:v>
                </c:pt>
                <c:pt idx="1">
                  <c:v>1946568</c:v>
                </c:pt>
                <c:pt idx="2">
                  <c:v>912442</c:v>
                </c:pt>
                <c:pt idx="3">
                  <c:v>1472374</c:v>
                </c:pt>
                <c:pt idx="4">
                  <c:v>2644697</c:v>
                </c:pt>
                <c:pt idx="5">
                  <c:v>1056861</c:v>
                </c:pt>
              </c:numCache>
            </c:numRef>
          </c:val>
          <c:extLst>
            <c:ext xmlns:c16="http://schemas.microsoft.com/office/drawing/2014/chart" uri="{C3380CC4-5D6E-409C-BE32-E72D297353CC}">
              <c16:uniqueId val="{0000000C-4CA1-4F90-8B41-FD159E9397ED}"/>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4CA1-4F90-8B41-FD159E9397E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4CA1-4F90-8B41-FD159E9397E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4CA1-4F90-8B41-FD159E9397E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4CA1-4F90-8B41-FD159E9397E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4CA1-4F90-8B41-FD159E9397E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4CA1-4F90-8B41-FD159E9397ED}"/>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4CA1-4F90-8B41-FD159E9397ED}"/>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34726810-9c33-4d10-8957-eab46ff7100c}"/>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Maintenance'!$B$87:$B$106</c:f>
              <c:numCache>
                <c:formatCode>General</c:formatCode>
                <c:ptCount val="20"/>
              </c:numCache>
            </c:numRef>
          </c:val>
          <c:smooth val="0"/>
          <c:extLst>
            <c:ext xmlns:c16="http://schemas.microsoft.com/office/drawing/2014/chart" uri="{C3380CC4-5D6E-409C-BE32-E72D297353CC}">
              <c16:uniqueId val="{00000000-5F37-4D0F-AE1B-87FE6EBB82C5}"/>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Maintenance'!$C$87:$C$106</c:f>
              <c:numCache>
                <c:formatCode>0%</c:formatCode>
                <c:ptCount val="20"/>
                <c:pt idx="0">
                  <c:v>1</c:v>
                </c:pt>
                <c:pt idx="1">
                  <c:v>0.99959966882998597</c:v>
                </c:pt>
                <c:pt idx="2">
                  <c:v>0.972939621737265</c:v>
                </c:pt>
                <c:pt idx="3">
                  <c:v>0.89365683152945197</c:v>
                </c:pt>
                <c:pt idx="4">
                  <c:v>0.78103319878953603</c:v>
                </c:pt>
                <c:pt idx="5">
                  <c:v>0.65141916682330803</c:v>
                </c:pt>
                <c:pt idx="6">
                  <c:v>0.51414144747698098</c:v>
                </c:pt>
                <c:pt idx="7">
                  <c:v>0.38761670944996801</c:v>
                </c:pt>
                <c:pt idx="8">
                  <c:v>0.285493519370146</c:v>
                </c:pt>
                <c:pt idx="9">
                  <c:v>0.204056976165229</c:v>
                </c:pt>
                <c:pt idx="10">
                  <c:v>0.14693588818276901</c:v>
                </c:pt>
                <c:pt idx="11">
                  <c:v>0.107996148785447</c:v>
                </c:pt>
                <c:pt idx="12">
                  <c:v>8.0267117027275597E-2</c:v>
                </c:pt>
                <c:pt idx="13">
                  <c:v>5.9332236129385901E-2</c:v>
                </c:pt>
                <c:pt idx="14">
                  <c:v>4.2297355661959801E-2</c:v>
                </c:pt>
                <c:pt idx="15">
                  <c:v>2.8129362928185801E-2</c:v>
                </c:pt>
                <c:pt idx="16">
                  <c:v>1.7360597942670902E-2</c:v>
                </c:pt>
                <c:pt idx="17">
                  <c:v>9.4587206908080205E-3</c:v>
                </c:pt>
                <c:pt idx="18">
                  <c:v>3.9631350952687699E-3</c:v>
                </c:pt>
                <c:pt idx="19">
                  <c:v>1.35739529331074E-3</c:v>
                </c:pt>
              </c:numCache>
            </c:numRef>
          </c:val>
          <c:smooth val="0"/>
          <c:extLst>
            <c:ext xmlns:c16="http://schemas.microsoft.com/office/drawing/2014/chart" uri="{C3380CC4-5D6E-409C-BE32-E72D297353CC}">
              <c16:uniqueId val="{00000001-5F37-4D0F-AE1B-87FE6EBB82C5}"/>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Maintenance'!$D$87:$D$106</c:f>
              <c:numCache>
                <c:formatCode>0%</c:formatCode>
                <c:ptCount val="20"/>
                <c:pt idx="0">
                  <c:v>1</c:v>
                </c:pt>
                <c:pt idx="1">
                  <c:v>0.97029992517578001</c:v>
                </c:pt>
                <c:pt idx="2">
                  <c:v>0.88451138641854699</c:v>
                </c:pt>
                <c:pt idx="3">
                  <c:v>0.77024052274142196</c:v>
                </c:pt>
                <c:pt idx="4">
                  <c:v>0.63902854172735402</c:v>
                </c:pt>
                <c:pt idx="5">
                  <c:v>0.51141040799191195</c:v>
                </c:pt>
                <c:pt idx="6">
                  <c:v>0.39165966974531202</c:v>
                </c:pt>
                <c:pt idx="7">
                  <c:v>0.29076806205269701</c:v>
                </c:pt>
                <c:pt idx="8">
                  <c:v>0.21179823734699599</c:v>
                </c:pt>
                <c:pt idx="9">
                  <c:v>0.14994659492680401</c:v>
                </c:pt>
                <c:pt idx="10">
                  <c:v>0.10736190361955</c:v>
                </c:pt>
                <c:pt idx="11">
                  <c:v>7.8443199278031894E-2</c:v>
                </c:pt>
                <c:pt idx="12">
                  <c:v>5.7926512334572799E-2</c:v>
                </c:pt>
                <c:pt idx="13">
                  <c:v>4.2566413635143401E-2</c:v>
                </c:pt>
                <c:pt idx="14">
                  <c:v>2.99296880801019E-2</c:v>
                </c:pt>
                <c:pt idx="15">
                  <c:v>1.9464578442628101E-2</c:v>
                </c:pt>
                <c:pt idx="16">
                  <c:v>1.16177453349098E-2</c:v>
                </c:pt>
                <c:pt idx="17">
                  <c:v>5.8294350485786298E-3</c:v>
                </c:pt>
                <c:pt idx="18">
                  <c:v>1.8928814178904099E-3</c:v>
                </c:pt>
                <c:pt idx="19">
                  <c:v>8.4534233508684706E-5</c:v>
                </c:pt>
              </c:numCache>
            </c:numRef>
          </c:val>
          <c:smooth val="0"/>
          <c:extLst>
            <c:ext xmlns:c16="http://schemas.microsoft.com/office/drawing/2014/chart" uri="{C3380CC4-5D6E-409C-BE32-E72D297353CC}">
              <c16:uniqueId val="{00000002-5F37-4D0F-AE1B-87FE6EBB82C5}"/>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Maintenance'!$E$87:$E$106</c:f>
              <c:numCache>
                <c:formatCode>0%</c:formatCode>
                <c:ptCount val="20"/>
                <c:pt idx="0">
                  <c:v>1</c:v>
                </c:pt>
                <c:pt idx="1">
                  <c:v>1</c:v>
                </c:pt>
                <c:pt idx="2">
                  <c:v>0.99995490213763905</c:v>
                </c:pt>
                <c:pt idx="3">
                  <c:v>0.97996433531660998</c:v>
                </c:pt>
                <c:pt idx="4">
                  <c:v>0.95932914353600296</c:v>
                </c:pt>
                <c:pt idx="5">
                  <c:v>0.93964604767348303</c:v>
                </c:pt>
                <c:pt idx="6">
                  <c:v>0.90102309899236699</c:v>
                </c:pt>
                <c:pt idx="7">
                  <c:v>0.84779244424214795</c:v>
                </c:pt>
                <c:pt idx="8">
                  <c:v>0.79084529327451103</c:v>
                </c:pt>
                <c:pt idx="9">
                  <c:v>0.73668513471247898</c:v>
                </c:pt>
                <c:pt idx="10">
                  <c:v>0.67142743686133299</c:v>
                </c:pt>
                <c:pt idx="11">
                  <c:v>0.61735714159307697</c:v>
                </c:pt>
                <c:pt idx="12">
                  <c:v>0.56861427714457102</c:v>
                </c:pt>
                <c:pt idx="13">
                  <c:v>0.51345928258319395</c:v>
                </c:pt>
                <c:pt idx="14">
                  <c:v>0.48307573415765098</c:v>
                </c:pt>
                <c:pt idx="15">
                  <c:v>0.44323905462998803</c:v>
                </c:pt>
                <c:pt idx="16">
                  <c:v>0.40590994825168097</c:v>
                </c:pt>
                <c:pt idx="17">
                  <c:v>0.35958727429062798</c:v>
                </c:pt>
                <c:pt idx="18">
                  <c:v>0.32460435739124299</c:v>
                </c:pt>
                <c:pt idx="19">
                  <c:v>0.26851607221488299</c:v>
                </c:pt>
              </c:numCache>
            </c:numRef>
          </c:val>
          <c:smooth val="0"/>
          <c:extLst>
            <c:ext xmlns:c16="http://schemas.microsoft.com/office/drawing/2014/chart" uri="{C3380CC4-5D6E-409C-BE32-E72D297353CC}">
              <c16:uniqueId val="{00000003-5F37-4D0F-AE1B-87FE6EBB82C5}"/>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Maintenance'!$F$87:$F$106</c:f>
              <c:numCache>
                <c:formatCode>0%</c:formatCode>
                <c:ptCount val="20"/>
                <c:pt idx="0">
                  <c:v>0.99988728584310205</c:v>
                </c:pt>
                <c:pt idx="1">
                  <c:v>0.99979850896635103</c:v>
                </c:pt>
                <c:pt idx="2">
                  <c:v>0.99967251108424005</c:v>
                </c:pt>
                <c:pt idx="3">
                  <c:v>0.99628088196227704</c:v>
                </c:pt>
                <c:pt idx="4">
                  <c:v>0.97499076797697704</c:v>
                </c:pt>
                <c:pt idx="5">
                  <c:v>0.93558660624370604</c:v>
                </c:pt>
                <c:pt idx="6">
                  <c:v>0.86574260617293897</c:v>
                </c:pt>
                <c:pt idx="7">
                  <c:v>0.78286440446558903</c:v>
                </c:pt>
                <c:pt idx="8">
                  <c:v>0.71619648325795504</c:v>
                </c:pt>
                <c:pt idx="9">
                  <c:v>0.66517895737874999</c:v>
                </c:pt>
                <c:pt idx="10">
                  <c:v>0.60715303136249499</c:v>
                </c:pt>
                <c:pt idx="11">
                  <c:v>0.55464008254430697</c:v>
                </c:pt>
                <c:pt idx="12">
                  <c:v>0.50846664471289704</c:v>
                </c:pt>
                <c:pt idx="13">
                  <c:v>0.45172782955123802</c:v>
                </c:pt>
                <c:pt idx="14">
                  <c:v>0.38150166164309501</c:v>
                </c:pt>
                <c:pt idx="15">
                  <c:v>0.32816548816373098</c:v>
                </c:pt>
                <c:pt idx="16">
                  <c:v>0.29528740081285099</c:v>
                </c:pt>
                <c:pt idx="17">
                  <c:v>0.20880469692940301</c:v>
                </c:pt>
                <c:pt idx="18">
                  <c:v>0.154028999286903</c:v>
                </c:pt>
                <c:pt idx="19">
                  <c:v>0.115042669723602</c:v>
                </c:pt>
              </c:numCache>
            </c:numRef>
          </c:val>
          <c:smooth val="0"/>
          <c:extLst>
            <c:ext xmlns:c16="http://schemas.microsoft.com/office/drawing/2014/chart" uri="{C3380CC4-5D6E-409C-BE32-E72D297353CC}">
              <c16:uniqueId val="{00000004-5F37-4D0F-AE1B-87FE6EBB82C5}"/>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Maintenance'!$G$87:$G$106</c:f>
              <c:numCache>
                <c:formatCode>0%</c:formatCode>
                <c:ptCount val="20"/>
                <c:pt idx="0">
                  <c:v>1</c:v>
                </c:pt>
                <c:pt idx="1">
                  <c:v>1</c:v>
                </c:pt>
                <c:pt idx="2">
                  <c:v>0.99982843040213298</c:v>
                </c:pt>
                <c:pt idx="3">
                  <c:v>0.98242888321680899</c:v>
                </c:pt>
                <c:pt idx="4">
                  <c:v>0.95033891969977102</c:v>
                </c:pt>
                <c:pt idx="5">
                  <c:v>0.90841837278169502</c:v>
                </c:pt>
                <c:pt idx="6">
                  <c:v>0.86814376695502304</c:v>
                </c:pt>
                <c:pt idx="7">
                  <c:v>0.82251416127652399</c:v>
                </c:pt>
                <c:pt idx="8">
                  <c:v>0.78389012620638499</c:v>
                </c:pt>
                <c:pt idx="9">
                  <c:v>0.73926385322286303</c:v>
                </c:pt>
                <c:pt idx="10">
                  <c:v>0.67489983588671598</c:v>
                </c:pt>
                <c:pt idx="11">
                  <c:v>0.61918675432188897</c:v>
                </c:pt>
                <c:pt idx="12">
                  <c:v>0.56929766767690104</c:v>
                </c:pt>
                <c:pt idx="13">
                  <c:v>0.51999929393490096</c:v>
                </c:pt>
                <c:pt idx="14">
                  <c:v>0.46889745862176302</c:v>
                </c:pt>
                <c:pt idx="15">
                  <c:v>0.42105587763661001</c:v>
                </c:pt>
                <c:pt idx="16">
                  <c:v>0.38730109686389602</c:v>
                </c:pt>
                <c:pt idx="17">
                  <c:v>0.34899935442220797</c:v>
                </c:pt>
                <c:pt idx="18">
                  <c:v>0.31752018956429201</c:v>
                </c:pt>
                <c:pt idx="19">
                  <c:v>0.27060777911439499</c:v>
                </c:pt>
              </c:numCache>
            </c:numRef>
          </c:val>
          <c:smooth val="0"/>
          <c:extLst>
            <c:ext xmlns:c16="http://schemas.microsoft.com/office/drawing/2014/chart" uri="{C3380CC4-5D6E-409C-BE32-E72D297353CC}">
              <c16:uniqueId val="{00000005-5F37-4D0F-AE1B-87FE6EBB82C5}"/>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Maintenance'!$H$87:$H$106</c:f>
              <c:numCache>
                <c:formatCode>0%</c:formatCode>
                <c:ptCount val="20"/>
                <c:pt idx="0">
                  <c:v>1</c:v>
                </c:pt>
                <c:pt idx="1">
                  <c:v>1</c:v>
                </c:pt>
                <c:pt idx="2">
                  <c:v>0.99970679207533697</c:v>
                </c:pt>
                <c:pt idx="3">
                  <c:v>0.98326113778139901</c:v>
                </c:pt>
                <c:pt idx="4">
                  <c:v>0.95143926442729798</c:v>
                </c:pt>
                <c:pt idx="5">
                  <c:v>0.91231288617109396</c:v>
                </c:pt>
                <c:pt idx="6">
                  <c:v>0.85281276659808303</c:v>
                </c:pt>
                <c:pt idx="7">
                  <c:v>0.801485709728322</c:v>
                </c:pt>
                <c:pt idx="8">
                  <c:v>0.76559623644917196</c:v>
                </c:pt>
                <c:pt idx="9">
                  <c:v>0.72925141045539099</c:v>
                </c:pt>
                <c:pt idx="10">
                  <c:v>0.67049055392884405</c:v>
                </c:pt>
                <c:pt idx="11">
                  <c:v>0.61534949550289897</c:v>
                </c:pt>
                <c:pt idx="12">
                  <c:v>0.56707868888643598</c:v>
                </c:pt>
                <c:pt idx="13">
                  <c:v>0.51541467650890105</c:v>
                </c:pt>
                <c:pt idx="14">
                  <c:v>0.47108006561888099</c:v>
                </c:pt>
                <c:pt idx="15">
                  <c:v>0.42195092758827102</c:v>
                </c:pt>
                <c:pt idx="16">
                  <c:v>0.37600961834884999</c:v>
                </c:pt>
                <c:pt idx="17">
                  <c:v>0.34308880308880302</c:v>
                </c:pt>
                <c:pt idx="18">
                  <c:v>0.30253872633390699</c:v>
                </c:pt>
                <c:pt idx="19">
                  <c:v>0.26862640816129202</c:v>
                </c:pt>
              </c:numCache>
            </c:numRef>
          </c:val>
          <c:smooth val="0"/>
          <c:extLst>
            <c:ext xmlns:c16="http://schemas.microsoft.com/office/drawing/2014/chart" uri="{C3380CC4-5D6E-409C-BE32-E72D297353CC}">
              <c16:uniqueId val="{00000006-5F37-4D0F-AE1B-87FE6EBB82C5}"/>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Maintenance'!$I$87:$I$106</c:f>
              <c:numCache>
                <c:formatCode>0%</c:formatCode>
                <c:ptCount val="20"/>
                <c:pt idx="0">
                  <c:v>1</c:v>
                </c:pt>
                <c:pt idx="1">
                  <c:v>1</c:v>
                </c:pt>
                <c:pt idx="2">
                  <c:v>0.999391623739183</c:v>
                </c:pt>
                <c:pt idx="3">
                  <c:v>0.98397839284661803</c:v>
                </c:pt>
                <c:pt idx="4">
                  <c:v>0.94586270680391304</c:v>
                </c:pt>
                <c:pt idx="5">
                  <c:v>0.92022864011035899</c:v>
                </c:pt>
                <c:pt idx="6">
                  <c:v>0.87246096055153799</c:v>
                </c:pt>
                <c:pt idx="7">
                  <c:v>0.80421752397558899</c:v>
                </c:pt>
                <c:pt idx="8">
                  <c:v>0.75521488661818104</c:v>
                </c:pt>
                <c:pt idx="9">
                  <c:v>0.71802054154995298</c:v>
                </c:pt>
                <c:pt idx="10">
                  <c:v>0.66281719657944305</c:v>
                </c:pt>
                <c:pt idx="11">
                  <c:v>0.61702400102438504</c:v>
                </c:pt>
                <c:pt idx="12">
                  <c:v>0.56715968777356296</c:v>
                </c:pt>
                <c:pt idx="13">
                  <c:v>0.51531517629812496</c:v>
                </c:pt>
                <c:pt idx="14">
                  <c:v>0.46692965154503602</c:v>
                </c:pt>
                <c:pt idx="15">
                  <c:v>0.42366486238693901</c:v>
                </c:pt>
                <c:pt idx="16">
                  <c:v>0.37406973126899401</c:v>
                </c:pt>
                <c:pt idx="17">
                  <c:v>0.33092882024723302</c:v>
                </c:pt>
                <c:pt idx="18">
                  <c:v>0.30112342199745201</c:v>
                </c:pt>
                <c:pt idx="19">
                  <c:v>0.25834767641996598</c:v>
                </c:pt>
              </c:numCache>
            </c:numRef>
          </c:val>
          <c:smooth val="0"/>
          <c:extLst>
            <c:ext xmlns:c16="http://schemas.microsoft.com/office/drawing/2014/chart" uri="{C3380CC4-5D6E-409C-BE32-E72D297353CC}">
              <c16:uniqueId val="{00000007-5F37-4D0F-AE1B-87FE6EBB82C5}"/>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Maintenance'!$J$87:$J$106</c:f>
              <c:numCache>
                <c:formatCode>0%</c:formatCode>
                <c:ptCount val="20"/>
                <c:pt idx="0">
                  <c:v>1</c:v>
                </c:pt>
                <c:pt idx="1">
                  <c:v>1</c:v>
                </c:pt>
                <c:pt idx="2">
                  <c:v>0.999391623739183</c:v>
                </c:pt>
                <c:pt idx="3">
                  <c:v>0.98397839284661803</c:v>
                </c:pt>
                <c:pt idx="4">
                  <c:v>0.94586270680391304</c:v>
                </c:pt>
                <c:pt idx="5">
                  <c:v>0.92022864011035899</c:v>
                </c:pt>
                <c:pt idx="6">
                  <c:v>0.87246096055153799</c:v>
                </c:pt>
                <c:pt idx="7">
                  <c:v>0.80421752397558899</c:v>
                </c:pt>
                <c:pt idx="8">
                  <c:v>0.75521488661818104</c:v>
                </c:pt>
                <c:pt idx="9">
                  <c:v>0.71802054154995298</c:v>
                </c:pt>
                <c:pt idx="10">
                  <c:v>0.66281719657944305</c:v>
                </c:pt>
                <c:pt idx="11">
                  <c:v>0.61702400102438504</c:v>
                </c:pt>
                <c:pt idx="12">
                  <c:v>0.56715968777356296</c:v>
                </c:pt>
                <c:pt idx="13">
                  <c:v>0.51531517629812496</c:v>
                </c:pt>
                <c:pt idx="14">
                  <c:v>0.46692965154503602</c:v>
                </c:pt>
                <c:pt idx="15">
                  <c:v>0.42366486238693901</c:v>
                </c:pt>
                <c:pt idx="16">
                  <c:v>0.37406973126899401</c:v>
                </c:pt>
                <c:pt idx="17">
                  <c:v>0.33092882024723302</c:v>
                </c:pt>
                <c:pt idx="18">
                  <c:v>0.30112342199745201</c:v>
                </c:pt>
                <c:pt idx="19">
                  <c:v>0.25834767641996598</c:v>
                </c:pt>
              </c:numCache>
            </c:numRef>
          </c:val>
          <c:smooth val="0"/>
          <c:extLst>
            <c:ext xmlns:c16="http://schemas.microsoft.com/office/drawing/2014/chart" uri="{C3380CC4-5D6E-409C-BE32-E72D297353CC}">
              <c16:uniqueId val="{00000008-5F37-4D0F-AE1B-87FE6EBB82C5}"/>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Maintenance'!$K$87:$K$106</c:f>
              <c:numCache>
                <c:formatCode>0%</c:formatCode>
                <c:ptCount val="20"/>
                <c:pt idx="0">
                  <c:v>1</c:v>
                </c:pt>
                <c:pt idx="1">
                  <c:v>0.99992277395937901</c:v>
                </c:pt>
                <c:pt idx="2">
                  <c:v>0.998176887343316</c:v>
                </c:pt>
                <c:pt idx="3">
                  <c:v>0.98532067912383803</c:v>
                </c:pt>
                <c:pt idx="4">
                  <c:v>0.95448172298815603</c:v>
                </c:pt>
                <c:pt idx="5">
                  <c:v>0.91542951822584795</c:v>
                </c:pt>
                <c:pt idx="6">
                  <c:v>0.87132594999384405</c:v>
                </c:pt>
                <c:pt idx="7">
                  <c:v>0.83544555099915396</c:v>
                </c:pt>
                <c:pt idx="8">
                  <c:v>0.78241954375592604</c:v>
                </c:pt>
                <c:pt idx="9">
                  <c:v>0.710009290499242</c:v>
                </c:pt>
                <c:pt idx="10">
                  <c:v>0.64795918367346905</c:v>
                </c:pt>
                <c:pt idx="11">
                  <c:v>0.60125755194030395</c:v>
                </c:pt>
                <c:pt idx="12">
                  <c:v>0.55802072690118198</c:v>
                </c:pt>
                <c:pt idx="13">
                  <c:v>0.51511308897183095</c:v>
                </c:pt>
                <c:pt idx="14">
                  <c:v>0.46609498320452197</c:v>
                </c:pt>
                <c:pt idx="15">
                  <c:v>0.41768500781645601</c:v>
                </c:pt>
                <c:pt idx="16">
                  <c:v>0.36777787997845002</c:v>
                </c:pt>
                <c:pt idx="17">
                  <c:v>0.335048548821964</c:v>
                </c:pt>
                <c:pt idx="18">
                  <c:v>0.28475046652949898</c:v>
                </c:pt>
                <c:pt idx="19">
                  <c:v>0.24607797811681301</c:v>
                </c:pt>
              </c:numCache>
            </c:numRef>
          </c:val>
          <c:smooth val="0"/>
          <c:extLst>
            <c:ext xmlns:c16="http://schemas.microsoft.com/office/drawing/2014/chart" uri="{C3380CC4-5D6E-409C-BE32-E72D297353CC}">
              <c16:uniqueId val="{00000009-5F37-4D0F-AE1B-87FE6EBB82C5}"/>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Maintenance'!$L$87:$L$106</c:f>
              <c:numCache>
                <c:formatCode>0%</c:formatCode>
                <c:ptCount val="20"/>
                <c:pt idx="0">
                  <c:v>1</c:v>
                </c:pt>
                <c:pt idx="1">
                  <c:v>1.00002347610719</c:v>
                </c:pt>
                <c:pt idx="2">
                  <c:v>0.99888147086581103</c:v>
                </c:pt>
                <c:pt idx="3">
                  <c:v>0.98917544545908298</c:v>
                </c:pt>
                <c:pt idx="4">
                  <c:v>0.96034504233655804</c:v>
                </c:pt>
                <c:pt idx="5">
                  <c:v>0.92942128040153404</c:v>
                </c:pt>
                <c:pt idx="6">
                  <c:v>0.88106750999427497</c:v>
                </c:pt>
                <c:pt idx="7">
                  <c:v>0.829046292611752</c:v>
                </c:pt>
                <c:pt idx="8">
                  <c:v>0.79819927077907604</c:v>
                </c:pt>
                <c:pt idx="9">
                  <c:v>0.74259099767023695</c:v>
                </c:pt>
                <c:pt idx="10">
                  <c:v>0.66017114210261696</c:v>
                </c:pt>
                <c:pt idx="11">
                  <c:v>0.595294498888156</c:v>
                </c:pt>
                <c:pt idx="12">
                  <c:v>0.54273242794875498</c:v>
                </c:pt>
                <c:pt idx="13">
                  <c:v>0.499128443377993</c:v>
                </c:pt>
                <c:pt idx="14">
                  <c:v>0.461887339885379</c:v>
                </c:pt>
                <c:pt idx="15">
                  <c:v>0.42110053333818698</c:v>
                </c:pt>
                <c:pt idx="16">
                  <c:v>0.38484314804622999</c:v>
                </c:pt>
                <c:pt idx="17">
                  <c:v>0.34402922316829598</c:v>
                </c:pt>
                <c:pt idx="18">
                  <c:v>0.31933039647577099</c:v>
                </c:pt>
                <c:pt idx="19">
                  <c:v>0.26590909090909098</c:v>
                </c:pt>
              </c:numCache>
            </c:numRef>
          </c:val>
          <c:smooth val="0"/>
          <c:extLst>
            <c:ext xmlns:c16="http://schemas.microsoft.com/office/drawing/2014/chart" uri="{C3380CC4-5D6E-409C-BE32-E72D297353CC}">
              <c16:uniqueId val="{0000000A-5F37-4D0F-AE1B-87FE6EBB82C5}"/>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Maintenance'!$M$87:$M$106</c:f>
              <c:numCache>
                <c:formatCode>0%</c:formatCode>
                <c:ptCount val="20"/>
                <c:pt idx="0">
                  <c:v>0.99980803685692299</c:v>
                </c:pt>
                <c:pt idx="1">
                  <c:v>0.99975569037827305</c:v>
                </c:pt>
                <c:pt idx="2">
                  <c:v>0.99872821986707405</c:v>
                </c:pt>
                <c:pt idx="3">
                  <c:v>0.99126951849909595</c:v>
                </c:pt>
                <c:pt idx="4">
                  <c:v>0.97228638594929495</c:v>
                </c:pt>
                <c:pt idx="5">
                  <c:v>0.93775950911628603</c:v>
                </c:pt>
                <c:pt idx="6">
                  <c:v>0.89882428519468505</c:v>
                </c:pt>
                <c:pt idx="7">
                  <c:v>0.842306107634052</c:v>
                </c:pt>
                <c:pt idx="8">
                  <c:v>0.79251905176278203</c:v>
                </c:pt>
                <c:pt idx="9">
                  <c:v>0.75943665239287395</c:v>
                </c:pt>
                <c:pt idx="10">
                  <c:v>0.69310310686917098</c:v>
                </c:pt>
                <c:pt idx="11">
                  <c:v>0.61573344906109395</c:v>
                </c:pt>
                <c:pt idx="12">
                  <c:v>0.55082351627491499</c:v>
                </c:pt>
                <c:pt idx="13">
                  <c:v>0.49477413417048</c:v>
                </c:pt>
                <c:pt idx="14">
                  <c:v>0.45196920429856702</c:v>
                </c:pt>
                <c:pt idx="15">
                  <c:v>0.48758997501212098</c:v>
                </c:pt>
                <c:pt idx="16">
                  <c:v>0.33014839927079698</c:v>
                </c:pt>
                <c:pt idx="17">
                  <c:v>0.35315248502265401</c:v>
                </c:pt>
                <c:pt idx="18">
                  <c:v>0.32797314531142402</c:v>
                </c:pt>
                <c:pt idx="19">
                  <c:v>0.31869776724460502</c:v>
                </c:pt>
              </c:numCache>
            </c:numRef>
          </c:val>
          <c:smooth val="0"/>
          <c:extLst>
            <c:ext xmlns:c16="http://schemas.microsoft.com/office/drawing/2014/chart" uri="{C3380CC4-5D6E-409C-BE32-E72D297353CC}">
              <c16:uniqueId val="{0000000B-5F37-4D0F-AE1B-87FE6EBB82C5}"/>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Maintenance'!$N$87:$N$106</c:f>
              <c:numCache>
                <c:formatCode>0%</c:formatCode>
                <c:ptCount val="20"/>
                <c:pt idx="0">
                  <c:v>0.99985964173552999</c:v>
                </c:pt>
                <c:pt idx="1">
                  <c:v>0.999572699531179</c:v>
                </c:pt>
                <c:pt idx="2">
                  <c:v>0.99694045847458101</c:v>
                </c:pt>
                <c:pt idx="3">
                  <c:v>0.98525580490397502</c:v>
                </c:pt>
                <c:pt idx="4">
                  <c:v>0.96794757895010597</c:v>
                </c:pt>
                <c:pt idx="5">
                  <c:v>0.94748834871922005</c:v>
                </c:pt>
                <c:pt idx="6">
                  <c:v>0.90572156786370495</c:v>
                </c:pt>
                <c:pt idx="7">
                  <c:v>0.857578295328012</c:v>
                </c:pt>
                <c:pt idx="8">
                  <c:v>0.80310281741675804</c:v>
                </c:pt>
                <c:pt idx="9">
                  <c:v>0.75277340475020305</c:v>
                </c:pt>
                <c:pt idx="10">
                  <c:v>0.71121694584955997</c:v>
                </c:pt>
                <c:pt idx="11">
                  <c:v>0.64941096421479005</c:v>
                </c:pt>
                <c:pt idx="12">
                  <c:v>0.57093078223916005</c:v>
                </c:pt>
                <c:pt idx="13">
                  <c:v>0.50878917837709603</c:v>
                </c:pt>
                <c:pt idx="14">
                  <c:v>0.46469649903450599</c:v>
                </c:pt>
                <c:pt idx="15">
                  <c:v>0.42096827100852902</c:v>
                </c:pt>
                <c:pt idx="16">
                  <c:v>0.38355003056857601</c:v>
                </c:pt>
                <c:pt idx="17">
                  <c:v>0.33822785275960698</c:v>
                </c:pt>
                <c:pt idx="18">
                  <c:v>0.29585987261146501</c:v>
                </c:pt>
                <c:pt idx="19">
                  <c:v>0.248711158869658</c:v>
                </c:pt>
              </c:numCache>
            </c:numRef>
          </c:val>
          <c:smooth val="0"/>
          <c:extLst>
            <c:ext xmlns:c16="http://schemas.microsoft.com/office/drawing/2014/chart" uri="{C3380CC4-5D6E-409C-BE32-E72D297353CC}">
              <c16:uniqueId val="{0000000C-5F37-4D0F-AE1B-87FE6EBB82C5}"/>
            </c:ext>
          </c:extLst>
        </c:ser>
        <c:ser>
          <c:idx val="13"/>
          <c:order val="13"/>
          <c:tx>
            <c:strRef>
              <c:f>'Ch4. Maintenance'!$O$8</c:f>
              <c:strCache>
                <c:ptCount val="1"/>
                <c:pt idx="0">
                  <c:v>2023</c:v>
                </c:pt>
              </c:strCache>
            </c:strRef>
          </c:tx>
          <c:spPr>
            <a:ln w="28575" cap="rnd">
              <a:solidFill>
                <a:schemeClr val="accent2">
                  <a:lumMod val="80000"/>
                  <a:lumOff val="20000"/>
                </a:schemeClr>
              </a:solidFill>
              <a:round/>
            </a:ln>
            <a:effectLst/>
          </c:spPr>
          <c:marker>
            <c:symbol val="none"/>
          </c:marker>
          <c:cat>
            <c:numRef>
              <c:f>'Ch4. Maintenance'!$A$87:$A$106</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Maintenance'!$O$87:$O$106</c:f>
              <c:numCache>
                <c:formatCode>0%</c:formatCode>
                <c:ptCount val="20"/>
                <c:pt idx="0">
                  <c:v>0.99994853478533896</c:v>
                </c:pt>
                <c:pt idx="1">
                  <c:v>0.99989968863351797</c:v>
                </c:pt>
                <c:pt idx="2">
                  <c:v>0.99893112128196104</c:v>
                </c:pt>
                <c:pt idx="3">
                  <c:v>0.98984383111763996</c:v>
                </c:pt>
                <c:pt idx="4">
                  <c:v>0.97661538923662095</c:v>
                </c:pt>
                <c:pt idx="5">
                  <c:v>0.95878355512873303</c:v>
                </c:pt>
                <c:pt idx="6">
                  <c:v>0.93501315749367497</c:v>
                </c:pt>
                <c:pt idx="7">
                  <c:v>0.88381537978708502</c:v>
                </c:pt>
                <c:pt idx="8">
                  <c:v>0.83413450916642795</c:v>
                </c:pt>
                <c:pt idx="9">
                  <c:v>0.77830823072190003</c:v>
                </c:pt>
                <c:pt idx="10">
                  <c:v>0.722375549154047</c:v>
                </c:pt>
                <c:pt idx="11">
                  <c:v>0.68111963638818296</c:v>
                </c:pt>
                <c:pt idx="12">
                  <c:v>0.61813549801017498</c:v>
                </c:pt>
                <c:pt idx="13">
                  <c:v>0.53618159755556705</c:v>
                </c:pt>
                <c:pt idx="14">
                  <c:v>0.47249785139464001</c:v>
                </c:pt>
                <c:pt idx="15">
                  <c:v>0.423300860754389</c:v>
                </c:pt>
                <c:pt idx="16">
                  <c:v>0.38075143034145997</c:v>
                </c:pt>
                <c:pt idx="17">
                  <c:v>0.34443591834124698</c:v>
                </c:pt>
                <c:pt idx="18">
                  <c:v>0.30962214370286101</c:v>
                </c:pt>
                <c:pt idx="19">
                  <c:v>0.27659204671857601</c:v>
                </c:pt>
              </c:numCache>
            </c:numRef>
          </c:val>
          <c:smooth val="0"/>
          <c:extLst>
            <c:ext xmlns:c16="http://schemas.microsoft.com/office/drawing/2014/chart" uri="{C3380CC4-5D6E-409C-BE32-E72D297353CC}">
              <c16:uniqueId val="{0000000D-5F37-4D0F-AE1B-87FE6EBB82C5}"/>
            </c:ext>
          </c:extLst>
        </c:ser>
        <c:ser>
          <c:idx val="14"/>
          <c:order val="14"/>
          <c:tx>
            <c:strRef>
              <c:f>'Ch4. Maintenance'!$P$86</c:f>
              <c:strCache>
                <c:ptCount val="1"/>
                <c:pt idx="0">
                  <c:v>2024</c:v>
                </c:pt>
              </c:strCache>
            </c:strRef>
          </c:tx>
          <c:spPr>
            <a:ln w="28575" cap="rnd">
              <a:solidFill>
                <a:schemeClr val="accent3">
                  <a:lumMod val="80000"/>
                  <a:lumOff val="20000"/>
                </a:schemeClr>
              </a:solidFill>
              <a:round/>
            </a:ln>
            <a:effectLst/>
          </c:spPr>
          <c:marker>
            <c:symbol val="none"/>
          </c:marker>
          <c:val>
            <c:numRef>
              <c:f>'Ch4. Maintenance'!$P$87:$P$106</c:f>
              <c:numCache>
                <c:formatCode>0%</c:formatCode>
                <c:ptCount val="20"/>
                <c:pt idx="0">
                  <c:v>0.99998188635499097</c:v>
                </c:pt>
                <c:pt idx="1">
                  <c:v>0.99980897327286899</c:v>
                </c:pt>
                <c:pt idx="2">
                  <c:v>0.99558881667926702</c:v>
                </c:pt>
                <c:pt idx="3">
                  <c:v>0.97915029015780997</c:v>
                </c:pt>
                <c:pt idx="4">
                  <c:v>0.963174530751428</c:v>
                </c:pt>
                <c:pt idx="5">
                  <c:v>0.94559124708792397</c:v>
                </c:pt>
                <c:pt idx="6">
                  <c:v>0.91938187667836901</c:v>
                </c:pt>
                <c:pt idx="7">
                  <c:v>0.88406541622890999</c:v>
                </c:pt>
                <c:pt idx="8">
                  <c:v>0.82325319308790401</c:v>
                </c:pt>
                <c:pt idx="9">
                  <c:v>0.76898671884950698</c:v>
                </c:pt>
                <c:pt idx="10">
                  <c:v>0.70092187268591</c:v>
                </c:pt>
                <c:pt idx="11">
                  <c:v>0.65202457143007098</c:v>
                </c:pt>
                <c:pt idx="12">
                  <c:v>0.60954896422753302</c:v>
                </c:pt>
                <c:pt idx="13">
                  <c:v>0.537002175202689</c:v>
                </c:pt>
                <c:pt idx="14">
                  <c:v>0.46841135885242102</c:v>
                </c:pt>
                <c:pt idx="15">
                  <c:v>0.41782033468927698</c:v>
                </c:pt>
                <c:pt idx="16">
                  <c:v>0.37021938833373202</c:v>
                </c:pt>
                <c:pt idx="17">
                  <c:v>0.33327260006413401</c:v>
                </c:pt>
                <c:pt idx="18">
                  <c:v>0.29729924148569697</c:v>
                </c:pt>
                <c:pt idx="19">
                  <c:v>0.263431687875822</c:v>
                </c:pt>
              </c:numCache>
            </c:numRef>
          </c:val>
          <c:smooth val="0"/>
          <c:extLst>
            <c:ext xmlns:c16="http://schemas.microsoft.com/office/drawing/2014/chart" uri="{C3380CC4-5D6E-409C-BE32-E72D297353CC}">
              <c16:uniqueId val="{0000000E-5F37-4D0F-AE1B-87FE6EBB82C5}"/>
            </c:ext>
          </c:extLst>
        </c:ser>
        <c:dLbls>
          <c:showLegendKey val="0"/>
          <c:showVal val="0"/>
          <c:showCatName val="0"/>
          <c:showSerName val="0"/>
          <c:showPercent val="0"/>
          <c:showBubbleSize val="0"/>
        </c:dLbls>
        <c:smooth val="0"/>
        <c:axId val="1808642416"/>
        <c:axId val="1808644048"/>
      </c:lineChart>
      <c:catAx>
        <c:axId val="1808642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4048"/>
        <c:crosses val="autoZero"/>
        <c:auto val="1"/>
        <c:lblAlgn val="ctr"/>
        <c:lblOffset val="100"/>
        <c:noMultiLvlLbl val="0"/>
      </c:catAx>
      <c:valAx>
        <c:axId val="18086440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2416"/>
        <c:crosses val="autoZero"/>
        <c:crossBetween val="between"/>
        <c:majorUnit val="0.25"/>
        <c:minorUnit val="0.05"/>
      </c:valAx>
      <c:spPr>
        <a:noFill/>
        <a:ln>
          <a:noFill/>
        </a:ln>
        <a:effectLst/>
      </c:spPr>
    </c:plotArea>
    <c:legend>
      <c:legendPos val="b"/>
      <c:layout>
        <c:manualLayout>
          <c:xMode val="edge"/>
          <c:yMode val="edge"/>
          <c:x val="9.1079218181755794E-2"/>
          <c:y val="0.90446427474742996"/>
          <c:w val="0.72085522288158099"/>
          <c:h val="9.5535636344180705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fc961ac4-61a6-40a0-b8f2-34ad3c0b2379}"/>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8164374891545698E-2"/>
          <c:y val="0.231460345332163"/>
          <c:w val="0.85814172368870201"/>
          <c:h val="0.60648628424686701"/>
        </c:manualLayout>
      </c:layout>
      <c:lineChart>
        <c:grouping val="standard"/>
        <c:varyColors val="0"/>
        <c:ser>
          <c:idx val="0"/>
          <c:order val="0"/>
          <c:tx>
            <c:strRef>
              <c:f>'Ch4. Maintenance'!$B$8</c:f>
              <c:strCache>
                <c:ptCount val="1"/>
                <c:pt idx="0">
                  <c:v>2010</c:v>
                </c:pt>
              </c:strCache>
            </c:strRef>
          </c:tx>
          <c:spPr>
            <a:ln w="28575" cap="rnd">
              <a:solidFill>
                <a:schemeClr val="accent1"/>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Maintenance'!$B$113:$B$132</c:f>
              <c:numCache>
                <c:formatCode>0%</c:formatCode>
                <c:ptCount val="20"/>
                <c:pt idx="0">
                  <c:v>1</c:v>
                </c:pt>
                <c:pt idx="1">
                  <c:v>1</c:v>
                </c:pt>
                <c:pt idx="2">
                  <c:v>1</c:v>
                </c:pt>
                <c:pt idx="3">
                  <c:v>1</c:v>
                </c:pt>
                <c:pt idx="4">
                  <c:v>0.99900582842571795</c:v>
                </c:pt>
                <c:pt idx="5">
                  <c:v>0.98272619189904997</c:v>
                </c:pt>
                <c:pt idx="6">
                  <c:v>0.94738104347130903</c:v>
                </c:pt>
                <c:pt idx="7">
                  <c:v>0.91089717763311395</c:v>
                </c:pt>
                <c:pt idx="8">
                  <c:v>0.89018528820660903</c:v>
                </c:pt>
                <c:pt idx="9">
                  <c:v>0.84088925868052</c:v>
                </c:pt>
                <c:pt idx="10">
                  <c:v>0.75745922362203</c:v>
                </c:pt>
                <c:pt idx="11">
                  <c:v>0.70988842741497804</c:v>
                </c:pt>
                <c:pt idx="12">
                  <c:v>0.69015324995596306</c:v>
                </c:pt>
                <c:pt idx="13">
                  <c:v>0.64014049656604199</c:v>
                </c:pt>
                <c:pt idx="14">
                  <c:v>0.53234792016467303</c:v>
                </c:pt>
                <c:pt idx="15">
                  <c:v>0.51211520400709598</c:v>
                </c:pt>
                <c:pt idx="16">
                  <c:v>0.48728820429671699</c:v>
                </c:pt>
                <c:pt idx="17">
                  <c:v>0.47011316017795501</c:v>
                </c:pt>
                <c:pt idx="18">
                  <c:v>0.45118114024536898</c:v>
                </c:pt>
                <c:pt idx="19">
                  <c:v>0.44053579621391997</c:v>
                </c:pt>
              </c:numCache>
            </c:numRef>
          </c:val>
          <c:smooth val="0"/>
          <c:extLst>
            <c:ext xmlns:c16="http://schemas.microsoft.com/office/drawing/2014/chart" uri="{C3380CC4-5D6E-409C-BE32-E72D297353CC}">
              <c16:uniqueId val="{00000000-2FFD-4D7E-81CA-5D5D9E51232B}"/>
            </c:ext>
          </c:extLst>
        </c:ser>
        <c:ser>
          <c:idx val="1"/>
          <c:order val="1"/>
          <c:tx>
            <c:strRef>
              <c:f>'Ch4. Maintenance'!$C$8</c:f>
              <c:strCache>
                <c:ptCount val="1"/>
                <c:pt idx="0">
                  <c:v>2011</c:v>
                </c:pt>
              </c:strCache>
            </c:strRef>
          </c:tx>
          <c:spPr>
            <a:ln w="28575" cap="rnd">
              <a:solidFill>
                <a:schemeClr val="accent2"/>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Maintenance'!$C$113:$C$132</c:f>
              <c:numCache>
                <c:formatCode>0%</c:formatCode>
                <c:ptCount val="20"/>
                <c:pt idx="0">
                  <c:v>1</c:v>
                </c:pt>
                <c:pt idx="1">
                  <c:v>1</c:v>
                </c:pt>
                <c:pt idx="2">
                  <c:v>1</c:v>
                </c:pt>
                <c:pt idx="3">
                  <c:v>1</c:v>
                </c:pt>
                <c:pt idx="4">
                  <c:v>0.99900582842571795</c:v>
                </c:pt>
                <c:pt idx="5">
                  <c:v>0.99</c:v>
                </c:pt>
                <c:pt idx="6">
                  <c:v>0.96</c:v>
                </c:pt>
                <c:pt idx="7">
                  <c:v>0.92</c:v>
                </c:pt>
                <c:pt idx="8">
                  <c:v>0.89</c:v>
                </c:pt>
                <c:pt idx="9">
                  <c:v>0.85</c:v>
                </c:pt>
                <c:pt idx="10">
                  <c:v>0.77</c:v>
                </c:pt>
                <c:pt idx="11">
                  <c:v>0.72</c:v>
                </c:pt>
                <c:pt idx="12">
                  <c:v>0.69015324995596306</c:v>
                </c:pt>
                <c:pt idx="13">
                  <c:v>0.65</c:v>
                </c:pt>
                <c:pt idx="14">
                  <c:v>0.55000000000000004</c:v>
                </c:pt>
                <c:pt idx="15">
                  <c:v>0.5</c:v>
                </c:pt>
                <c:pt idx="16">
                  <c:v>0.5</c:v>
                </c:pt>
                <c:pt idx="17">
                  <c:v>0.48</c:v>
                </c:pt>
                <c:pt idx="18">
                  <c:v>0.47</c:v>
                </c:pt>
                <c:pt idx="19">
                  <c:v>0.45</c:v>
                </c:pt>
              </c:numCache>
            </c:numRef>
          </c:val>
          <c:smooth val="0"/>
          <c:extLst>
            <c:ext xmlns:c16="http://schemas.microsoft.com/office/drawing/2014/chart" uri="{C3380CC4-5D6E-409C-BE32-E72D297353CC}">
              <c16:uniqueId val="{00000001-2FFD-4D7E-81CA-5D5D9E51232B}"/>
            </c:ext>
          </c:extLst>
        </c:ser>
        <c:ser>
          <c:idx val="2"/>
          <c:order val="2"/>
          <c:tx>
            <c:strRef>
              <c:f>'Ch4. Maintenance'!$D$8</c:f>
              <c:strCache>
                <c:ptCount val="1"/>
                <c:pt idx="0">
                  <c:v>2012</c:v>
                </c:pt>
              </c:strCache>
            </c:strRef>
          </c:tx>
          <c:spPr>
            <a:ln w="28575" cap="rnd">
              <a:solidFill>
                <a:schemeClr val="accent3"/>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Maintenance'!$D$113:$D$132</c:f>
              <c:numCache>
                <c:formatCode>0%</c:formatCode>
                <c:ptCount val="20"/>
                <c:pt idx="0">
                  <c:v>1</c:v>
                </c:pt>
                <c:pt idx="1">
                  <c:v>1</c:v>
                </c:pt>
                <c:pt idx="2">
                  <c:v>1</c:v>
                </c:pt>
                <c:pt idx="3">
                  <c:v>1</c:v>
                </c:pt>
                <c:pt idx="4">
                  <c:v>0.999</c:v>
                </c:pt>
                <c:pt idx="5">
                  <c:v>0.98699999999999999</c:v>
                </c:pt>
                <c:pt idx="6">
                  <c:v>0.96099999999999997</c:v>
                </c:pt>
                <c:pt idx="7">
                  <c:v>0.92500000000000004</c:v>
                </c:pt>
                <c:pt idx="8">
                  <c:v>0.89300000000000002</c:v>
                </c:pt>
                <c:pt idx="9">
                  <c:v>0.84899999999999998</c:v>
                </c:pt>
                <c:pt idx="10">
                  <c:v>0.77500000000000002</c:v>
                </c:pt>
                <c:pt idx="11">
                  <c:v>0.72699999999999998</c:v>
                </c:pt>
                <c:pt idx="12">
                  <c:v>0.69699999999999995</c:v>
                </c:pt>
                <c:pt idx="13">
                  <c:v>0.64900000000000002</c:v>
                </c:pt>
                <c:pt idx="14">
                  <c:v>0.57099999999999995</c:v>
                </c:pt>
                <c:pt idx="15">
                  <c:v>0.51400000000000001</c:v>
                </c:pt>
                <c:pt idx="16">
                  <c:v>0.48499999999999999</c:v>
                </c:pt>
                <c:pt idx="17">
                  <c:v>0.498</c:v>
                </c:pt>
                <c:pt idx="18">
                  <c:v>0.48199999999999998</c:v>
                </c:pt>
                <c:pt idx="19">
                  <c:v>0.46700000000000003</c:v>
                </c:pt>
              </c:numCache>
            </c:numRef>
          </c:val>
          <c:smooth val="0"/>
          <c:extLst>
            <c:ext xmlns:c16="http://schemas.microsoft.com/office/drawing/2014/chart" uri="{C3380CC4-5D6E-409C-BE32-E72D297353CC}">
              <c16:uniqueId val="{00000002-2FFD-4D7E-81CA-5D5D9E51232B}"/>
            </c:ext>
          </c:extLst>
        </c:ser>
        <c:ser>
          <c:idx val="3"/>
          <c:order val="3"/>
          <c:tx>
            <c:strRef>
              <c:f>'Ch4. Maintenance'!$E$8</c:f>
              <c:strCache>
                <c:ptCount val="1"/>
                <c:pt idx="0">
                  <c:v>2013</c:v>
                </c:pt>
              </c:strCache>
            </c:strRef>
          </c:tx>
          <c:spPr>
            <a:ln w="28575" cap="rnd">
              <a:solidFill>
                <a:schemeClr val="accent4"/>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Maintenance'!$E$113:$E$132</c:f>
              <c:numCache>
                <c:formatCode>0%</c:formatCode>
                <c:ptCount val="20"/>
                <c:pt idx="0">
                  <c:v>1</c:v>
                </c:pt>
                <c:pt idx="1">
                  <c:v>1</c:v>
                </c:pt>
                <c:pt idx="2">
                  <c:v>1</c:v>
                </c:pt>
                <c:pt idx="3">
                  <c:v>1</c:v>
                </c:pt>
                <c:pt idx="4">
                  <c:v>1</c:v>
                </c:pt>
                <c:pt idx="5">
                  <c:v>0.98</c:v>
                </c:pt>
                <c:pt idx="6">
                  <c:v>0.95</c:v>
                </c:pt>
                <c:pt idx="7">
                  <c:v>0.92</c:v>
                </c:pt>
                <c:pt idx="8">
                  <c:v>0.89</c:v>
                </c:pt>
                <c:pt idx="9">
                  <c:v>0.86</c:v>
                </c:pt>
                <c:pt idx="10">
                  <c:v>0.79</c:v>
                </c:pt>
                <c:pt idx="11">
                  <c:v>0.73</c:v>
                </c:pt>
                <c:pt idx="12">
                  <c:v>0.71</c:v>
                </c:pt>
                <c:pt idx="13">
                  <c:v>0.65</c:v>
                </c:pt>
                <c:pt idx="14">
                  <c:v>0.56999999999999995</c:v>
                </c:pt>
                <c:pt idx="15">
                  <c:v>0.53</c:v>
                </c:pt>
                <c:pt idx="16">
                  <c:v>0.5</c:v>
                </c:pt>
                <c:pt idx="17">
                  <c:v>0.48</c:v>
                </c:pt>
                <c:pt idx="18">
                  <c:v>0.5</c:v>
                </c:pt>
                <c:pt idx="19">
                  <c:v>0.48</c:v>
                </c:pt>
              </c:numCache>
            </c:numRef>
          </c:val>
          <c:smooth val="0"/>
          <c:extLst>
            <c:ext xmlns:c16="http://schemas.microsoft.com/office/drawing/2014/chart" uri="{C3380CC4-5D6E-409C-BE32-E72D297353CC}">
              <c16:uniqueId val="{00000003-2FFD-4D7E-81CA-5D5D9E51232B}"/>
            </c:ext>
          </c:extLst>
        </c:ser>
        <c:ser>
          <c:idx val="4"/>
          <c:order val="4"/>
          <c:tx>
            <c:strRef>
              <c:f>'Ch4. Maintenance'!$F$8</c:f>
              <c:strCache>
                <c:ptCount val="1"/>
                <c:pt idx="0">
                  <c:v>2014</c:v>
                </c:pt>
              </c:strCache>
            </c:strRef>
          </c:tx>
          <c:spPr>
            <a:ln w="28575" cap="rnd">
              <a:solidFill>
                <a:schemeClr val="accent5"/>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Maintenance'!$F$113:$F$132</c:f>
              <c:numCache>
                <c:formatCode>0%</c:formatCode>
                <c:ptCount val="20"/>
                <c:pt idx="0">
                  <c:v>1</c:v>
                </c:pt>
                <c:pt idx="1">
                  <c:v>1</c:v>
                </c:pt>
                <c:pt idx="2">
                  <c:v>1</c:v>
                </c:pt>
                <c:pt idx="3">
                  <c:v>1</c:v>
                </c:pt>
                <c:pt idx="4">
                  <c:v>1</c:v>
                </c:pt>
                <c:pt idx="5">
                  <c:v>0.99</c:v>
                </c:pt>
                <c:pt idx="6">
                  <c:v>0.96</c:v>
                </c:pt>
                <c:pt idx="7">
                  <c:v>0.93</c:v>
                </c:pt>
                <c:pt idx="8">
                  <c:v>0.91</c:v>
                </c:pt>
                <c:pt idx="9">
                  <c:v>0.87</c:v>
                </c:pt>
                <c:pt idx="10">
                  <c:v>0.8</c:v>
                </c:pt>
                <c:pt idx="11">
                  <c:v>0.74</c:v>
                </c:pt>
                <c:pt idx="12">
                  <c:v>0.71</c:v>
                </c:pt>
                <c:pt idx="13">
                  <c:v>0.65</c:v>
                </c:pt>
                <c:pt idx="14">
                  <c:v>0.56999999999999995</c:v>
                </c:pt>
                <c:pt idx="15">
                  <c:v>0.53</c:v>
                </c:pt>
                <c:pt idx="16">
                  <c:v>0.51</c:v>
                </c:pt>
                <c:pt idx="17">
                  <c:v>0.5</c:v>
                </c:pt>
                <c:pt idx="18">
                  <c:v>0.48</c:v>
                </c:pt>
                <c:pt idx="19">
                  <c:v>0.47</c:v>
                </c:pt>
              </c:numCache>
            </c:numRef>
          </c:val>
          <c:smooth val="0"/>
          <c:extLst>
            <c:ext xmlns:c16="http://schemas.microsoft.com/office/drawing/2014/chart" uri="{C3380CC4-5D6E-409C-BE32-E72D297353CC}">
              <c16:uniqueId val="{00000004-2FFD-4D7E-81CA-5D5D9E51232B}"/>
            </c:ext>
          </c:extLst>
        </c:ser>
        <c:ser>
          <c:idx val="5"/>
          <c:order val="5"/>
          <c:tx>
            <c:strRef>
              <c:f>'Ch4. Maintenance'!$G$8</c:f>
              <c:strCache>
                <c:ptCount val="1"/>
                <c:pt idx="0">
                  <c:v>2015</c:v>
                </c:pt>
              </c:strCache>
            </c:strRef>
          </c:tx>
          <c:spPr>
            <a:ln w="28575" cap="rnd">
              <a:solidFill>
                <a:schemeClr val="accent6"/>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Maintenance'!$G$113:$G$132</c:f>
              <c:numCache>
                <c:formatCode>0%</c:formatCode>
                <c:ptCount val="20"/>
                <c:pt idx="0">
                  <c:v>1</c:v>
                </c:pt>
                <c:pt idx="1">
                  <c:v>1</c:v>
                </c:pt>
                <c:pt idx="2">
                  <c:v>1</c:v>
                </c:pt>
                <c:pt idx="3">
                  <c:v>1</c:v>
                </c:pt>
                <c:pt idx="4">
                  <c:v>1</c:v>
                </c:pt>
                <c:pt idx="5">
                  <c:v>0.99</c:v>
                </c:pt>
                <c:pt idx="6">
                  <c:v>0.96</c:v>
                </c:pt>
                <c:pt idx="7">
                  <c:v>0.92</c:v>
                </c:pt>
                <c:pt idx="8">
                  <c:v>0.88</c:v>
                </c:pt>
                <c:pt idx="9">
                  <c:v>0.83</c:v>
                </c:pt>
                <c:pt idx="10">
                  <c:v>0.76</c:v>
                </c:pt>
                <c:pt idx="11">
                  <c:v>0.7</c:v>
                </c:pt>
                <c:pt idx="12">
                  <c:v>0.67</c:v>
                </c:pt>
                <c:pt idx="13">
                  <c:v>0.65</c:v>
                </c:pt>
                <c:pt idx="14">
                  <c:v>0.57999999999999996</c:v>
                </c:pt>
                <c:pt idx="15">
                  <c:v>0.54</c:v>
                </c:pt>
                <c:pt idx="16">
                  <c:v>0.53</c:v>
                </c:pt>
                <c:pt idx="17">
                  <c:v>0.5</c:v>
                </c:pt>
                <c:pt idx="18">
                  <c:v>0.51</c:v>
                </c:pt>
                <c:pt idx="19">
                  <c:v>0.47</c:v>
                </c:pt>
              </c:numCache>
            </c:numRef>
          </c:val>
          <c:smooth val="0"/>
          <c:extLst>
            <c:ext xmlns:c16="http://schemas.microsoft.com/office/drawing/2014/chart" uri="{C3380CC4-5D6E-409C-BE32-E72D297353CC}">
              <c16:uniqueId val="{00000005-2FFD-4D7E-81CA-5D5D9E51232B}"/>
            </c:ext>
          </c:extLst>
        </c:ser>
        <c:ser>
          <c:idx val="6"/>
          <c:order val="6"/>
          <c:tx>
            <c:strRef>
              <c:f>'Ch4. Maintenance'!$H$8</c:f>
              <c:strCache>
                <c:ptCount val="1"/>
                <c:pt idx="0">
                  <c:v>2016</c:v>
                </c:pt>
              </c:strCache>
            </c:strRef>
          </c:tx>
          <c:spPr>
            <a:ln w="28575" cap="rnd">
              <a:solidFill>
                <a:schemeClr val="accent1">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Maintenance'!$H$113:$H$132</c:f>
              <c:numCache>
                <c:formatCode>0%</c:formatCode>
                <c:ptCount val="20"/>
                <c:pt idx="0">
                  <c:v>1</c:v>
                </c:pt>
                <c:pt idx="1">
                  <c:v>1</c:v>
                </c:pt>
                <c:pt idx="2">
                  <c:v>1</c:v>
                </c:pt>
                <c:pt idx="3">
                  <c:v>1</c:v>
                </c:pt>
                <c:pt idx="4">
                  <c:v>1</c:v>
                </c:pt>
                <c:pt idx="5">
                  <c:v>0.99</c:v>
                </c:pt>
                <c:pt idx="6">
                  <c:v>0.95</c:v>
                </c:pt>
                <c:pt idx="7">
                  <c:v>0.92</c:v>
                </c:pt>
                <c:pt idx="8">
                  <c:v>0.88</c:v>
                </c:pt>
                <c:pt idx="9">
                  <c:v>0.86</c:v>
                </c:pt>
                <c:pt idx="10">
                  <c:v>0.82</c:v>
                </c:pt>
                <c:pt idx="11">
                  <c:v>0.76</c:v>
                </c:pt>
                <c:pt idx="12">
                  <c:v>0.71</c:v>
                </c:pt>
                <c:pt idx="13">
                  <c:v>0.65</c:v>
                </c:pt>
                <c:pt idx="14">
                  <c:v>0.56999999999999995</c:v>
                </c:pt>
                <c:pt idx="15">
                  <c:v>0.52</c:v>
                </c:pt>
                <c:pt idx="16">
                  <c:v>0.5</c:v>
                </c:pt>
                <c:pt idx="17">
                  <c:v>0.5</c:v>
                </c:pt>
                <c:pt idx="18">
                  <c:v>0.5</c:v>
                </c:pt>
                <c:pt idx="19">
                  <c:v>0.49</c:v>
                </c:pt>
              </c:numCache>
            </c:numRef>
          </c:val>
          <c:smooth val="0"/>
          <c:extLst>
            <c:ext xmlns:c16="http://schemas.microsoft.com/office/drawing/2014/chart" uri="{C3380CC4-5D6E-409C-BE32-E72D297353CC}">
              <c16:uniqueId val="{00000006-2FFD-4D7E-81CA-5D5D9E51232B}"/>
            </c:ext>
          </c:extLst>
        </c:ser>
        <c:ser>
          <c:idx val="7"/>
          <c:order val="7"/>
          <c:tx>
            <c:strRef>
              <c:f>'Ch4. Maintenance'!$I$8</c:f>
              <c:strCache>
                <c:ptCount val="1"/>
                <c:pt idx="0">
                  <c:v>2017</c:v>
                </c:pt>
              </c:strCache>
            </c:strRef>
          </c:tx>
          <c:spPr>
            <a:ln w="28575" cap="rnd">
              <a:solidFill>
                <a:schemeClr val="accent2">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Maintenance'!$I$113:$I$132</c:f>
              <c:numCache>
                <c:formatCode>0%</c:formatCode>
                <c:ptCount val="20"/>
                <c:pt idx="0">
                  <c:v>1</c:v>
                </c:pt>
                <c:pt idx="1">
                  <c:v>1</c:v>
                </c:pt>
                <c:pt idx="2">
                  <c:v>1</c:v>
                </c:pt>
                <c:pt idx="3">
                  <c:v>1</c:v>
                </c:pt>
                <c:pt idx="4">
                  <c:v>1</c:v>
                </c:pt>
                <c:pt idx="5">
                  <c:v>0.98</c:v>
                </c:pt>
                <c:pt idx="6">
                  <c:v>0.95</c:v>
                </c:pt>
                <c:pt idx="7">
                  <c:v>0.91</c:v>
                </c:pt>
                <c:pt idx="8">
                  <c:v>0.88</c:v>
                </c:pt>
                <c:pt idx="9">
                  <c:v>0.85</c:v>
                </c:pt>
                <c:pt idx="10">
                  <c:v>0.81</c:v>
                </c:pt>
                <c:pt idx="11">
                  <c:v>0.76</c:v>
                </c:pt>
                <c:pt idx="12">
                  <c:v>0.71</c:v>
                </c:pt>
                <c:pt idx="13">
                  <c:v>0.66</c:v>
                </c:pt>
                <c:pt idx="14">
                  <c:v>0.57999999999999996</c:v>
                </c:pt>
                <c:pt idx="15">
                  <c:v>0.52</c:v>
                </c:pt>
                <c:pt idx="16">
                  <c:v>0.49</c:v>
                </c:pt>
                <c:pt idx="17">
                  <c:v>0.48</c:v>
                </c:pt>
                <c:pt idx="18">
                  <c:v>0.49</c:v>
                </c:pt>
                <c:pt idx="19">
                  <c:v>0.49</c:v>
                </c:pt>
              </c:numCache>
            </c:numRef>
          </c:val>
          <c:smooth val="0"/>
          <c:extLst>
            <c:ext xmlns:c16="http://schemas.microsoft.com/office/drawing/2014/chart" uri="{C3380CC4-5D6E-409C-BE32-E72D297353CC}">
              <c16:uniqueId val="{00000007-2FFD-4D7E-81CA-5D5D9E51232B}"/>
            </c:ext>
          </c:extLst>
        </c:ser>
        <c:ser>
          <c:idx val="8"/>
          <c:order val="8"/>
          <c:tx>
            <c:strRef>
              <c:f>'Ch4. Maintenance'!$J$8</c:f>
              <c:strCache>
                <c:ptCount val="1"/>
                <c:pt idx="0">
                  <c:v>2018</c:v>
                </c:pt>
              </c:strCache>
            </c:strRef>
          </c:tx>
          <c:spPr>
            <a:ln w="28575" cap="rnd">
              <a:solidFill>
                <a:schemeClr val="accent3">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Maintenance'!$J$113:$J$132</c:f>
              <c:numCache>
                <c:formatCode>0%</c:formatCode>
                <c:ptCount val="20"/>
                <c:pt idx="0">
                  <c:v>1</c:v>
                </c:pt>
                <c:pt idx="1">
                  <c:v>1</c:v>
                </c:pt>
                <c:pt idx="2">
                  <c:v>1</c:v>
                </c:pt>
                <c:pt idx="3">
                  <c:v>1</c:v>
                </c:pt>
                <c:pt idx="4">
                  <c:v>0.99853574504737297</c:v>
                </c:pt>
                <c:pt idx="5">
                  <c:v>0.97987719742310597</c:v>
                </c:pt>
                <c:pt idx="6">
                  <c:v>0.93838815047493296</c:v>
                </c:pt>
                <c:pt idx="7">
                  <c:v>0.90401040321520998</c:v>
                </c:pt>
                <c:pt idx="8">
                  <c:v>0.87372929332709803</c:v>
                </c:pt>
                <c:pt idx="9">
                  <c:v>0.84896446253142899</c:v>
                </c:pt>
                <c:pt idx="10">
                  <c:v>0.79546149488954498</c:v>
                </c:pt>
                <c:pt idx="11">
                  <c:v>0.74648795280138602</c:v>
                </c:pt>
                <c:pt idx="12">
                  <c:v>0.70459063750859396</c:v>
                </c:pt>
                <c:pt idx="13">
                  <c:v>0.649606341907778</c:v>
                </c:pt>
                <c:pt idx="14">
                  <c:v>0.58054034081029404</c:v>
                </c:pt>
                <c:pt idx="15">
                  <c:v>0.51248058109753503</c:v>
                </c:pt>
                <c:pt idx="16">
                  <c:v>0.47599572990121602</c:v>
                </c:pt>
                <c:pt idx="17">
                  <c:v>0.46490249000547901</c:v>
                </c:pt>
                <c:pt idx="18">
                  <c:v>0.46691770629430301</c:v>
                </c:pt>
                <c:pt idx="19">
                  <c:v>0.48671191243344503</c:v>
                </c:pt>
              </c:numCache>
            </c:numRef>
          </c:val>
          <c:smooth val="0"/>
          <c:extLst>
            <c:ext xmlns:c16="http://schemas.microsoft.com/office/drawing/2014/chart" uri="{C3380CC4-5D6E-409C-BE32-E72D297353CC}">
              <c16:uniqueId val="{00000008-2FFD-4D7E-81CA-5D5D9E51232B}"/>
            </c:ext>
          </c:extLst>
        </c:ser>
        <c:ser>
          <c:idx val="9"/>
          <c:order val="9"/>
          <c:tx>
            <c:strRef>
              <c:f>'Ch4. Maintenance'!$K$8</c:f>
              <c:strCache>
                <c:ptCount val="1"/>
                <c:pt idx="0">
                  <c:v>2019</c:v>
                </c:pt>
              </c:strCache>
            </c:strRef>
          </c:tx>
          <c:spPr>
            <a:ln w="28575" cap="rnd">
              <a:solidFill>
                <a:schemeClr val="accent4">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Maintenance'!$K$113:$K$132</c:f>
              <c:numCache>
                <c:formatCode>0%</c:formatCode>
                <c:ptCount val="20"/>
                <c:pt idx="0">
                  <c:v>1</c:v>
                </c:pt>
                <c:pt idx="1">
                  <c:v>1</c:v>
                </c:pt>
                <c:pt idx="2">
                  <c:v>1</c:v>
                </c:pt>
                <c:pt idx="3">
                  <c:v>1</c:v>
                </c:pt>
                <c:pt idx="4">
                  <c:v>0.99463545965176603</c:v>
                </c:pt>
                <c:pt idx="5">
                  <c:v>0.96809322165831202</c:v>
                </c:pt>
                <c:pt idx="6">
                  <c:v>0.925916775491476</c:v>
                </c:pt>
                <c:pt idx="7">
                  <c:v>0.88960854590419602</c:v>
                </c:pt>
                <c:pt idx="8">
                  <c:v>0.86752007510957196</c:v>
                </c:pt>
                <c:pt idx="9">
                  <c:v>0.82589903266300702</c:v>
                </c:pt>
                <c:pt idx="10">
                  <c:v>0.77933590813655096</c:v>
                </c:pt>
                <c:pt idx="11">
                  <c:v>0.71566420876922998</c:v>
                </c:pt>
                <c:pt idx="12">
                  <c:v>0.67707215941909404</c:v>
                </c:pt>
                <c:pt idx="13">
                  <c:v>0.63670378049365495</c:v>
                </c:pt>
                <c:pt idx="14">
                  <c:v>0.56742614844054995</c:v>
                </c:pt>
                <c:pt idx="15">
                  <c:v>0.50369500956355395</c:v>
                </c:pt>
                <c:pt idx="16">
                  <c:v>0.46175525884872098</c:v>
                </c:pt>
                <c:pt idx="17">
                  <c:v>0.44978875039468302</c:v>
                </c:pt>
                <c:pt idx="18">
                  <c:v>0.45084420723664198</c:v>
                </c:pt>
                <c:pt idx="19">
                  <c:v>0.46007456516985201</c:v>
                </c:pt>
              </c:numCache>
            </c:numRef>
          </c:val>
          <c:smooth val="0"/>
          <c:extLst>
            <c:ext xmlns:c16="http://schemas.microsoft.com/office/drawing/2014/chart" uri="{C3380CC4-5D6E-409C-BE32-E72D297353CC}">
              <c16:uniqueId val="{00000009-2FFD-4D7E-81CA-5D5D9E51232B}"/>
            </c:ext>
          </c:extLst>
        </c:ser>
        <c:ser>
          <c:idx val="10"/>
          <c:order val="10"/>
          <c:tx>
            <c:strRef>
              <c:f>'Ch4. Maintenance'!$L$8</c:f>
              <c:strCache>
                <c:ptCount val="1"/>
                <c:pt idx="0">
                  <c:v>2020</c:v>
                </c:pt>
              </c:strCache>
            </c:strRef>
          </c:tx>
          <c:spPr>
            <a:ln w="28575" cap="rnd">
              <a:solidFill>
                <a:schemeClr val="accent5">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Maintenance'!$L$113:$L$132</c:f>
              <c:numCache>
                <c:formatCode>0%</c:formatCode>
                <c:ptCount val="20"/>
                <c:pt idx="0">
                  <c:v>1</c:v>
                </c:pt>
                <c:pt idx="1">
                  <c:v>1</c:v>
                </c:pt>
                <c:pt idx="2">
                  <c:v>1</c:v>
                </c:pt>
                <c:pt idx="3">
                  <c:v>1</c:v>
                </c:pt>
                <c:pt idx="4">
                  <c:v>0.99</c:v>
                </c:pt>
                <c:pt idx="5">
                  <c:v>0.96</c:v>
                </c:pt>
                <c:pt idx="6">
                  <c:v>0.93</c:v>
                </c:pt>
                <c:pt idx="7">
                  <c:v>0.89</c:v>
                </c:pt>
                <c:pt idx="8">
                  <c:v>0.86</c:v>
                </c:pt>
                <c:pt idx="9">
                  <c:v>0.82</c:v>
                </c:pt>
                <c:pt idx="10">
                  <c:v>0.76</c:v>
                </c:pt>
                <c:pt idx="11">
                  <c:v>0.71</c:v>
                </c:pt>
                <c:pt idx="12">
                  <c:v>0.66</c:v>
                </c:pt>
                <c:pt idx="13">
                  <c:v>0.62</c:v>
                </c:pt>
                <c:pt idx="14">
                  <c:v>0.56999999999999995</c:v>
                </c:pt>
                <c:pt idx="15">
                  <c:v>0.5</c:v>
                </c:pt>
                <c:pt idx="16">
                  <c:v>0.46</c:v>
                </c:pt>
                <c:pt idx="17">
                  <c:v>0.44</c:v>
                </c:pt>
                <c:pt idx="18">
                  <c:v>0.44</c:v>
                </c:pt>
                <c:pt idx="19">
                  <c:v>0.44</c:v>
                </c:pt>
              </c:numCache>
            </c:numRef>
          </c:val>
          <c:smooth val="0"/>
          <c:extLst>
            <c:ext xmlns:c16="http://schemas.microsoft.com/office/drawing/2014/chart" uri="{C3380CC4-5D6E-409C-BE32-E72D297353CC}">
              <c16:uniqueId val="{0000000A-2FFD-4D7E-81CA-5D5D9E51232B}"/>
            </c:ext>
          </c:extLst>
        </c:ser>
        <c:ser>
          <c:idx val="11"/>
          <c:order val="11"/>
          <c:tx>
            <c:strRef>
              <c:f>'Ch4. Maintenance'!$M$8</c:f>
              <c:strCache>
                <c:ptCount val="1"/>
                <c:pt idx="0">
                  <c:v>2021</c:v>
                </c:pt>
              </c:strCache>
            </c:strRef>
          </c:tx>
          <c:spPr>
            <a:ln w="28575" cap="rnd">
              <a:solidFill>
                <a:schemeClr val="accent6">
                  <a:lumMod val="6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Maintenance'!$M$113:$M$132</c:f>
              <c:numCache>
                <c:formatCode>0%</c:formatCode>
                <c:ptCount val="20"/>
                <c:pt idx="0">
                  <c:v>1</c:v>
                </c:pt>
                <c:pt idx="1">
                  <c:v>1</c:v>
                </c:pt>
                <c:pt idx="2">
                  <c:v>1</c:v>
                </c:pt>
                <c:pt idx="3">
                  <c:v>1</c:v>
                </c:pt>
                <c:pt idx="4">
                  <c:v>0.99313954128945803</c:v>
                </c:pt>
                <c:pt idx="5">
                  <c:v>0.95974279130376094</c:v>
                </c:pt>
                <c:pt idx="6">
                  <c:v>0.92264284203393698</c:v>
                </c:pt>
                <c:pt idx="7">
                  <c:v>0.89165070682832703</c:v>
                </c:pt>
                <c:pt idx="8">
                  <c:v>0.86144249844349996</c:v>
                </c:pt>
                <c:pt idx="9">
                  <c:v>0.811854897953321</c:v>
                </c:pt>
                <c:pt idx="10">
                  <c:v>0.75665672126855699</c:v>
                </c:pt>
                <c:pt idx="11">
                  <c:v>0.69299083363691005</c:v>
                </c:pt>
                <c:pt idx="12">
                  <c:v>0.65745612898208905</c:v>
                </c:pt>
                <c:pt idx="13">
                  <c:v>0.61210975878731999</c:v>
                </c:pt>
                <c:pt idx="14">
                  <c:v>0.56054026734879103</c:v>
                </c:pt>
                <c:pt idx="15">
                  <c:v>0.50619067161991504</c:v>
                </c:pt>
                <c:pt idx="16">
                  <c:v>0.45015290851516099</c:v>
                </c:pt>
                <c:pt idx="17">
                  <c:v>0.42</c:v>
                </c:pt>
                <c:pt idx="18">
                  <c:v>0.424855459920014</c:v>
                </c:pt>
                <c:pt idx="19">
                  <c:v>0.43</c:v>
                </c:pt>
              </c:numCache>
            </c:numRef>
          </c:val>
          <c:smooth val="0"/>
          <c:extLst>
            <c:ext xmlns:c16="http://schemas.microsoft.com/office/drawing/2014/chart" uri="{C3380CC4-5D6E-409C-BE32-E72D297353CC}">
              <c16:uniqueId val="{0000000B-2FFD-4D7E-81CA-5D5D9E51232B}"/>
            </c:ext>
          </c:extLst>
        </c:ser>
        <c:ser>
          <c:idx val="12"/>
          <c:order val="12"/>
          <c:tx>
            <c:strRef>
              <c:f>'Ch4. Maintenance'!$N$8</c:f>
              <c:strCache>
                <c:ptCount val="1"/>
                <c:pt idx="0">
                  <c:v>2022</c:v>
                </c:pt>
              </c:strCache>
            </c:strRef>
          </c:tx>
          <c:spPr>
            <a:ln w="28575" cap="rnd">
              <a:solidFill>
                <a:schemeClr val="accent1">
                  <a:lumMod val="80000"/>
                  <a:lumOff val="2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Maintenance'!$N$113:$N$132</c:f>
              <c:numCache>
                <c:formatCode>0%</c:formatCode>
                <c:ptCount val="20"/>
                <c:pt idx="0">
                  <c:v>1</c:v>
                </c:pt>
                <c:pt idx="1">
                  <c:v>1</c:v>
                </c:pt>
                <c:pt idx="2">
                  <c:v>1</c:v>
                </c:pt>
                <c:pt idx="3">
                  <c:v>1</c:v>
                </c:pt>
                <c:pt idx="4">
                  <c:v>0.998</c:v>
                </c:pt>
                <c:pt idx="5">
                  <c:v>0.97499999999999998</c:v>
                </c:pt>
                <c:pt idx="6">
                  <c:v>0.93400000000000005</c:v>
                </c:pt>
                <c:pt idx="7">
                  <c:v>0.9</c:v>
                </c:pt>
                <c:pt idx="8">
                  <c:v>0.87</c:v>
                </c:pt>
                <c:pt idx="9">
                  <c:v>0.81599999999999995</c:v>
                </c:pt>
                <c:pt idx="10">
                  <c:v>0.747</c:v>
                </c:pt>
                <c:pt idx="11">
                  <c:v>0.69299999999999995</c:v>
                </c:pt>
                <c:pt idx="12">
                  <c:v>0.64400000000000002</c:v>
                </c:pt>
                <c:pt idx="13">
                  <c:v>0.60799999999999998</c:v>
                </c:pt>
                <c:pt idx="14">
                  <c:v>0.54900000000000004</c:v>
                </c:pt>
                <c:pt idx="15">
                  <c:v>0.48699999999999999</c:v>
                </c:pt>
                <c:pt idx="16">
                  <c:v>0.44400000000000001</c:v>
                </c:pt>
                <c:pt idx="17">
                  <c:v>0.41099999999999998</c:v>
                </c:pt>
                <c:pt idx="18">
                  <c:v>0.40300000000000002</c:v>
                </c:pt>
                <c:pt idx="19">
                  <c:v>0.40899999999999997</c:v>
                </c:pt>
              </c:numCache>
            </c:numRef>
          </c:val>
          <c:smooth val="0"/>
          <c:extLst>
            <c:ext xmlns:c16="http://schemas.microsoft.com/office/drawing/2014/chart" uri="{C3380CC4-5D6E-409C-BE32-E72D297353CC}">
              <c16:uniqueId val="{0000000C-2FFD-4D7E-81CA-5D5D9E51232B}"/>
            </c:ext>
          </c:extLst>
        </c:ser>
        <c:ser>
          <c:idx val="13"/>
          <c:order val="13"/>
          <c:tx>
            <c:strRef>
              <c:f>'Ch4. Maintenance'!$O$8</c:f>
              <c:strCache>
                <c:ptCount val="1"/>
                <c:pt idx="0">
                  <c:v>2023</c:v>
                </c:pt>
              </c:strCache>
            </c:strRef>
          </c:tx>
          <c:spPr>
            <a:ln w="28575" cap="rnd">
              <a:solidFill>
                <a:schemeClr val="accent2">
                  <a:lumMod val="80000"/>
                  <a:lumOff val="20000"/>
                </a:schemeClr>
              </a:solidFill>
              <a:round/>
            </a:ln>
            <a:effectLst/>
          </c:spPr>
          <c:marker>
            <c:symbol val="none"/>
          </c:marker>
          <c:cat>
            <c:numRef>
              <c:f>'Ch4. Maintenance'!$A$113:$A$132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'Ch4. Maintenance'!$O$113:$O$132</c:f>
              <c:numCache>
                <c:formatCode>0%</c:formatCode>
                <c:ptCount val="20"/>
                <c:pt idx="0">
                  <c:v>1</c:v>
                </c:pt>
                <c:pt idx="1">
                  <c:v>1</c:v>
                </c:pt>
                <c:pt idx="2">
                  <c:v>1</c:v>
                </c:pt>
                <c:pt idx="3">
                  <c:v>1</c:v>
                </c:pt>
                <c:pt idx="4">
                  <c:v>0.998</c:v>
                </c:pt>
                <c:pt idx="5">
                  <c:v>0.97499999999999998</c:v>
                </c:pt>
                <c:pt idx="6">
                  <c:v>0.93400000000000005</c:v>
                </c:pt>
                <c:pt idx="7">
                  <c:v>0.89800000000000002</c:v>
                </c:pt>
                <c:pt idx="8">
                  <c:v>0.87</c:v>
                </c:pt>
                <c:pt idx="9">
                  <c:v>0.82899999999999996</c:v>
                </c:pt>
                <c:pt idx="10">
                  <c:v>0.76500000000000001</c:v>
                </c:pt>
                <c:pt idx="11">
                  <c:v>0.70299999999999996</c:v>
                </c:pt>
                <c:pt idx="12">
                  <c:v>0.66100000000000003</c:v>
                </c:pt>
                <c:pt idx="13">
                  <c:v>0.60699999999999998</c:v>
                </c:pt>
                <c:pt idx="14">
                  <c:v>0.56399999999999995</c:v>
                </c:pt>
                <c:pt idx="15">
                  <c:v>0.502</c:v>
                </c:pt>
                <c:pt idx="16">
                  <c:v>0.44700000000000001</c:v>
                </c:pt>
                <c:pt idx="17">
                  <c:v>0.41699999999999998</c:v>
                </c:pt>
                <c:pt idx="18">
                  <c:v>0.39500000000000002</c:v>
                </c:pt>
                <c:pt idx="19">
                  <c:v>0.39500000000000002</c:v>
                </c:pt>
              </c:numCache>
            </c:numRef>
          </c:val>
          <c:smooth val="0"/>
          <c:extLst>
            <c:ext xmlns:c16="http://schemas.microsoft.com/office/drawing/2014/chart" uri="{C3380CC4-5D6E-409C-BE32-E72D297353CC}">
              <c16:uniqueId val="{0000000D-2FFD-4D7E-81CA-5D5D9E51232B}"/>
            </c:ext>
          </c:extLst>
        </c:ser>
        <c:ser>
          <c:idx val="14"/>
          <c:order val="14"/>
          <c:tx>
            <c:strRef>
              <c:f>'Ch4. Maintenance'!$P$112</c:f>
              <c:strCache>
                <c:ptCount val="1"/>
                <c:pt idx="0">
                  <c:v>2024</c:v>
                </c:pt>
              </c:strCache>
            </c:strRef>
          </c:tx>
          <c:spPr>
            <a:ln w="28575" cap="rnd">
              <a:solidFill>
                <a:schemeClr val="accent3">
                  <a:lumMod val="80000"/>
                  <a:lumOff val="20000"/>
                </a:schemeClr>
              </a:solidFill>
              <a:round/>
            </a:ln>
            <a:effectLst/>
          </c:spPr>
          <c:marker>
            <c:symbol val="none"/>
          </c:marker>
          <c:val>
            <c:numRef>
              <c:f>'Ch4. Maintenance'!$P$113:$P$132</c:f>
              <c:numCache>
                <c:formatCode>0%</c:formatCode>
                <c:ptCount val="20"/>
                <c:pt idx="0">
                  <c:v>1</c:v>
                </c:pt>
                <c:pt idx="1">
                  <c:v>1</c:v>
                </c:pt>
                <c:pt idx="2">
                  <c:v>1</c:v>
                </c:pt>
                <c:pt idx="3">
                  <c:v>0.99639999999999995</c:v>
                </c:pt>
                <c:pt idx="4">
                  <c:v>0.96799999999999997</c:v>
                </c:pt>
                <c:pt idx="5">
                  <c:v>0.93300000000000005</c:v>
                </c:pt>
                <c:pt idx="6">
                  <c:v>0.91239999999999999</c:v>
                </c:pt>
                <c:pt idx="7">
                  <c:v>0.89800000000000002</c:v>
                </c:pt>
                <c:pt idx="8">
                  <c:v>0.8478</c:v>
                </c:pt>
                <c:pt idx="9">
                  <c:v>0.78100000000000003</c:v>
                </c:pt>
                <c:pt idx="10">
                  <c:v>0.73040000000000005</c:v>
                </c:pt>
                <c:pt idx="11">
                  <c:v>0.69479999999999997</c:v>
                </c:pt>
                <c:pt idx="12">
                  <c:v>0.64359999999999995</c:v>
                </c:pt>
                <c:pt idx="13">
                  <c:v>0.58279999999999998</c:v>
                </c:pt>
                <c:pt idx="14">
                  <c:v>0.53620000000000001</c:v>
                </c:pt>
                <c:pt idx="15">
                  <c:v>0.50460000000000005</c:v>
                </c:pt>
                <c:pt idx="16">
                  <c:v>0.48280000000000001</c:v>
                </c:pt>
                <c:pt idx="17">
                  <c:v>0.46639999999999998</c:v>
                </c:pt>
                <c:pt idx="18">
                  <c:v>0.45279999999999998</c:v>
                </c:pt>
                <c:pt idx="19">
                  <c:v>0.4446</c:v>
                </c:pt>
              </c:numCache>
            </c:numRef>
          </c:val>
          <c:smooth val="0"/>
          <c:extLst>
            <c:ext xmlns:c16="http://schemas.microsoft.com/office/drawing/2014/chart" uri="{C3380CC4-5D6E-409C-BE32-E72D297353CC}">
              <c16:uniqueId val="{0000000E-2FFD-4D7E-81CA-5D5D9E51232B}"/>
            </c:ext>
          </c:extLst>
        </c:ser>
        <c:dLbls>
          <c:showLegendKey val="0"/>
          <c:showVal val="0"/>
          <c:showCatName val="0"/>
          <c:showSerName val="0"/>
          <c:showPercent val="0"/>
          <c:showBubbleSize val="0"/>
        </c:dLbls>
        <c:smooth val="0"/>
        <c:axId val="1808650576"/>
        <c:axId val="1808647312"/>
      </c:lineChart>
      <c:catAx>
        <c:axId val="1808650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47312"/>
        <c:crosses val="autoZero"/>
        <c:auto val="1"/>
        <c:lblAlgn val="ctr"/>
        <c:lblOffset val="100"/>
        <c:noMultiLvlLbl val="0"/>
      </c:catAx>
      <c:valAx>
        <c:axId val="18086473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ja-JP" sz="900" b="0" i="0" u="none" strike="noStrike" kern="1200" baseline="0">
                <a:solidFill>
                  <a:sysClr val="windowText" lastClr="000000"/>
                </a:solidFill>
                <a:latin typeface="+mn-lt"/>
                <a:ea typeface="+mn-ea"/>
                <a:cs typeface="+mn-cs"/>
              </a:defRPr>
            </a:pPr>
            <a:endParaRPr lang="zh-CN"/>
          </a:p>
        </c:txPr>
        <c:crossAx val="1808650576"/>
        <c:crosses val="autoZero"/>
        <c:crossBetween val="between"/>
        <c:majorUnit val="0.25"/>
        <c:minorUnit val="0.05"/>
      </c:valAx>
      <c:spPr>
        <a:noFill/>
        <a:ln>
          <a:noFill/>
        </a:ln>
        <a:effectLst/>
      </c:spPr>
    </c:plotArea>
    <c:legend>
      <c:legendPos val="b"/>
      <c:layout>
        <c:manualLayout>
          <c:xMode val="edge"/>
          <c:yMode val="edge"/>
          <c:x val="9.1079218181755794E-2"/>
          <c:y val="0.90446427474742996"/>
          <c:w val="0.80807689132633398"/>
          <c:h val="9.5535636344180705E-2"/>
        </c:manualLayout>
      </c:layout>
      <c:overlay val="0"/>
      <c:spPr>
        <a:noFill/>
        <a:ln>
          <a:noFill/>
        </a:ln>
        <a:effectLst/>
      </c:spPr>
      <c:txPr>
        <a:bodyPr rot="0" spcFirstLastPara="1" vertOverflow="ellipsis" vert="horz" wrap="square" anchor="ctr" anchorCtr="1"/>
        <a:lstStyle/>
        <a:p>
          <a:pPr>
            <a:defRPr lang="ja-JP" sz="10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a5300db8-c62f-48ca-a7ff-c34e93c4e84e}"/>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5.1 PROPORTIONS OF APPLICATIONS FILED VIA THE PCT - ORIGIN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2.08601538234503E-2"/>
          <c:w val="0.88785263858496499"/>
          <c:h val="0.848096681618974"/>
        </c:manualLayout>
      </c:layout>
      <c:lineChart>
        <c:grouping val="standard"/>
        <c:varyColors val="0"/>
        <c:ser>
          <c:idx val="0"/>
          <c:order val="0"/>
          <c:tx>
            <c:strRef>
              <c:f>'Ch5. PCT as filing route '!$A$7</c:f>
              <c:strCache>
                <c:ptCount val="1"/>
                <c:pt idx="0">
                  <c:v>EPC states</c:v>
                </c:pt>
              </c:strCache>
            </c:strRef>
          </c:tx>
          <c:spPr>
            <a:ln w="38100" cap="rnd">
              <a:solidFill>
                <a:srgbClr val="558ED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chemeClr val="accent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'!$D$6:$S$6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'Ch5. PCT as filing route '!$D$7:$S$7</c:f>
              <c:numCache>
                <c:formatCode>0%</c:formatCode>
                <c:ptCount val="16"/>
                <c:pt idx="0">
                  <c:v>0.2</c:v>
                </c:pt>
                <c:pt idx="1">
                  <c:v>0.2</c:v>
                </c:pt>
                <c:pt idx="2">
                  <c:v>0.2</c:v>
                </c:pt>
                <c:pt idx="3">
                  <c:v>0.196379110196852</c:v>
                </c:pt>
                <c:pt idx="4">
                  <c:v>0.196873983531063</c:v>
                </c:pt>
                <c:pt idx="5">
                  <c:v>0.19592403732601599</c:v>
                </c:pt>
                <c:pt idx="6">
                  <c:v>0.19762442022930299</c:v>
                </c:pt>
                <c:pt idx="7">
                  <c:v>0.20121857085516101</c:v>
                </c:pt>
                <c:pt idx="8">
                  <c:v>0.196655577996911</c:v>
                </c:pt>
                <c:pt idx="9">
                  <c:v>0.20101416250447099</c:v>
                </c:pt>
                <c:pt idx="10">
                  <c:v>0.20548435171386001</c:v>
                </c:pt>
                <c:pt idx="11">
                  <c:v>0.20699999999999999</c:v>
                </c:pt>
                <c:pt idx="12">
                  <c:v>0.21277459950295</c:v>
                </c:pt>
                <c:pt idx="13">
                  <c:v>0.21</c:v>
                </c:pt>
                <c:pt idx="14">
                  <c:v>0.21348560922141299</c:v>
                </c:pt>
                <c:pt idx="15">
                  <c:v>0.20397926261854901</c:v>
                </c:pt>
              </c:numCache>
            </c:numRef>
          </c:val>
          <c:smooth val="0"/>
          <c:extLst>
            <c:ext xmlns:c16="http://schemas.microsoft.com/office/drawing/2014/chart" uri="{C3380CC4-5D6E-409C-BE32-E72D297353CC}">
              <c16:uniqueId val="{00000000-A26E-403F-9093-4346C364C5EA}"/>
            </c:ext>
          </c:extLst>
        </c:ser>
        <c:ser>
          <c:idx val="1"/>
          <c:order val="1"/>
          <c:tx>
            <c:strRef>
              <c:f>'Ch5. PCT as filing route '!$A$8</c:f>
              <c:strCache>
                <c:ptCount val="1"/>
                <c:pt idx="0">
                  <c:v>Japan</c:v>
                </c:pt>
              </c:strCache>
            </c:strRef>
          </c:tx>
          <c:spPr>
            <a:ln w="38100" cap="rnd">
              <a:solidFill>
                <a:srgbClr val="C0504D"/>
              </a:solidFill>
              <a:round/>
            </a:ln>
            <a:effectLst/>
          </c:spPr>
          <c:marker>
            <c:symbol val="none"/>
          </c:marker>
          <c:dLbls>
            <c:dLbl>
              <c:idx val="0"/>
              <c:layout>
                <c:manualLayout>
                  <c:x val="-2.5960085570227401E-2"/>
                  <c:y val="-2.7365804212631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6E-403F-9093-4346C364C5EA}"/>
                </c:ext>
              </c:extLst>
            </c:dLbl>
            <c:dLbl>
              <c:idx val="11"/>
              <c:layout>
                <c:manualLayout>
                  <c:x val="-2.1800835792489402E-2"/>
                  <c:y val="3.55922583361210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26E-403F-9093-4346C364C5E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26E-403F-9093-4346C364C5EA}"/>
                </c:ext>
              </c:extLst>
            </c:dLbl>
            <c:dLbl>
              <c:idx val="13"/>
              <c:layout>
                <c:manualLayout>
                  <c:x val="-2.53138563942336E-2"/>
                  <c:y val="2.73718958207147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6E-403F-9093-4346C364C5EA}"/>
                </c:ext>
              </c:extLst>
            </c:dLbl>
            <c:dLbl>
              <c:idx val="14"/>
              <c:layout>
                <c:manualLayout>
                  <c:x val="-2.6524877989896899E-2"/>
                  <c:y val="2.60481821305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26E-403F-9093-4346C364C5EA}"/>
                </c:ext>
              </c:extLst>
            </c:dLbl>
            <c:dLbl>
              <c:idx val="15"/>
              <c:layout>
                <c:manualLayout>
                  <c:x val="-2.04606626286951E-2"/>
                  <c:y val="-2.241335486331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6E-403F-9093-4346C364C5EA}"/>
                </c:ext>
              </c:extLst>
            </c:dLbl>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C0504D"/>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'Ch5. PCT as filing route '!$D$6:$S$6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'Ch5. PCT as filing route '!$D$8:$S$8</c:f>
              <c:numCache>
                <c:formatCode>0%</c:formatCode>
                <c:ptCount val="16"/>
                <c:pt idx="0">
                  <c:v>0.06</c:v>
                </c:pt>
                <c:pt idx="1">
                  <c:v>7.0000000000000007E-2</c:v>
                </c:pt>
                <c:pt idx="2">
                  <c:v>0.08</c:v>
                </c:pt>
                <c:pt idx="3">
                  <c:v>9.3347644637823093E-2</c:v>
                </c:pt>
                <c:pt idx="4">
                  <c:v>0.10411677882211701</c:v>
                </c:pt>
                <c:pt idx="5">
                  <c:v>0.111537846055369</c:v>
                </c:pt>
                <c:pt idx="6">
                  <c:v>0.11069117996588899</c:v>
                </c:pt>
                <c:pt idx="7">
                  <c:v>0.116254090573208</c:v>
                </c:pt>
                <c:pt idx="8">
                  <c:v>0.11925569715083099</c:v>
                </c:pt>
                <c:pt idx="9">
                  <c:v>0.12738823206084299</c:v>
                </c:pt>
                <c:pt idx="10">
                  <c:v>0.132152476263656</c:v>
                </c:pt>
                <c:pt idx="11">
                  <c:v>0.14399999999999999</c:v>
                </c:pt>
                <c:pt idx="12">
                  <c:v>0.14951124563638599</c:v>
                </c:pt>
                <c:pt idx="13">
                  <c:v>0.15</c:v>
                </c:pt>
                <c:pt idx="14">
                  <c:v>0.15227573329183799</c:v>
                </c:pt>
                <c:pt idx="15">
                  <c:v>0.14526148988913801</c:v>
                </c:pt>
              </c:numCache>
            </c:numRef>
          </c:val>
          <c:smooth val="0"/>
          <c:extLst>
            <c:ext xmlns:c16="http://schemas.microsoft.com/office/drawing/2014/chart" uri="{C3380CC4-5D6E-409C-BE32-E72D297353CC}">
              <c16:uniqueId val="{00000007-A26E-403F-9093-4346C364C5EA}"/>
            </c:ext>
          </c:extLst>
        </c:ser>
        <c:ser>
          <c:idx val="2"/>
          <c:order val="2"/>
          <c:tx>
            <c:strRef>
              <c:f>'Ch5. PCT as filing route '!$A$9</c:f>
              <c:strCache>
                <c:ptCount val="1"/>
                <c:pt idx="0">
                  <c:v>R. Korea</c:v>
                </c:pt>
              </c:strCache>
            </c:strRef>
          </c:tx>
          <c:spPr>
            <a:ln w="38100" cap="rnd">
              <a:solidFill>
                <a:srgbClr val="604A7B"/>
              </a:solidFill>
              <a:round/>
            </a:ln>
            <a:effectLst/>
          </c:spPr>
          <c:marker>
            <c:symbol val="none"/>
          </c:marker>
          <c:dLbls>
            <c:dLbl>
              <c:idx val="11"/>
              <c:layout>
                <c:manualLayout>
                  <c:x val="-1.9199305833565099E-2"/>
                  <c:y val="-1.527873969476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6E-403F-9093-4346C364C5EA}"/>
                </c:ext>
              </c:extLst>
            </c:dLbl>
            <c:dLbl>
              <c:idx val="12"/>
              <c:layout>
                <c:manualLayout>
                  <c:x val="-2.0412148905805401E-2"/>
                  <c:y val="-2.06633549163127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26E-403F-9093-4346C364C5EA}"/>
                </c:ext>
              </c:extLst>
            </c:dLbl>
            <c:dLbl>
              <c:idx val="13"/>
              <c:layout>
                <c:manualLayout>
                  <c:x val="-1.9199305833565099E-2"/>
                  <c:y val="1.972125924526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26E-403F-9093-4346C364C5EA}"/>
                </c:ext>
              </c:extLst>
            </c:dLbl>
            <c:dLbl>
              <c:idx val="14"/>
              <c:layout>
                <c:manualLayout>
                  <c:x val="-1.9199305833565199E-2"/>
                  <c:y val="2.241356685603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26E-403F-9093-4346C364C5EA}"/>
                </c:ext>
              </c:extLst>
            </c:dLbl>
            <c:dLbl>
              <c:idx val="15"/>
              <c:layout>
                <c:manualLayout>
                  <c:x val="-1.9199305833565099E-2"/>
                  <c:y val="1.433664402372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26E-403F-9093-4346C364C5EA}"/>
                </c:ext>
              </c:extLst>
            </c:dLbl>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856BA5"/>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'!$D$6:$S$6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'Ch5. PCT as filing route '!$D$9:$S$9</c:f>
              <c:numCache>
                <c:formatCode>0%</c:formatCode>
                <c:ptCount val="16"/>
                <c:pt idx="0">
                  <c:v>0.05</c:v>
                </c:pt>
                <c:pt idx="1">
                  <c:v>0.05</c:v>
                </c:pt>
                <c:pt idx="2">
                  <c:v>0.06</c:v>
                </c:pt>
                <c:pt idx="3">
                  <c:v>5.6811754981292997E-2</c:v>
                </c:pt>
                <c:pt idx="4">
                  <c:v>5.9472632598692197E-2</c:v>
                </c:pt>
                <c:pt idx="5">
                  <c:v>5.7167786970010299E-2</c:v>
                </c:pt>
                <c:pt idx="6">
                  <c:v>5.8975592430911203E-2</c:v>
                </c:pt>
                <c:pt idx="7">
                  <c:v>6.3498914436684206E-2</c:v>
                </c:pt>
                <c:pt idx="8">
                  <c:v>6.9464292093887298E-2</c:v>
                </c:pt>
                <c:pt idx="9">
                  <c:v>7.0000000000000007E-2</c:v>
                </c:pt>
                <c:pt idx="10">
                  <c:v>7.6936369920326E-2</c:v>
                </c:pt>
                <c:pt idx="11">
                  <c:v>8.1000000000000003E-2</c:v>
                </c:pt>
                <c:pt idx="12">
                  <c:v>8.1474375650364195E-2</c:v>
                </c:pt>
                <c:pt idx="13">
                  <c:v>0.09</c:v>
                </c:pt>
                <c:pt idx="14">
                  <c:v>8.7378945304842207E-2</c:v>
                </c:pt>
                <c:pt idx="15">
                  <c:v>8.8090920171528003E-2</c:v>
                </c:pt>
              </c:numCache>
            </c:numRef>
          </c:val>
          <c:smooth val="0"/>
          <c:extLst>
            <c:ext xmlns:c16="http://schemas.microsoft.com/office/drawing/2014/chart" uri="{C3380CC4-5D6E-409C-BE32-E72D297353CC}">
              <c16:uniqueId val="{0000000D-A26E-403F-9093-4346C364C5EA}"/>
            </c:ext>
          </c:extLst>
        </c:ser>
        <c:ser>
          <c:idx val="3"/>
          <c:order val="3"/>
          <c:tx>
            <c:strRef>
              <c:f>'Ch5. PCT as filing route '!$A$10</c:f>
              <c:strCache>
                <c:ptCount val="1"/>
                <c:pt idx="0">
                  <c:v>P.R. China</c:v>
                </c:pt>
              </c:strCache>
            </c:strRef>
          </c:tx>
          <c:spPr>
            <a:ln w="38100" cap="rnd">
              <a:solidFill>
                <a:srgbClr val="FFC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FFC0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'!$D$6:$S$6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'Ch5. PCT as filing route '!$D$10:$S$10</c:f>
              <c:numCache>
                <c:formatCode>0%</c:formatCode>
                <c:ptCount val="16"/>
                <c:pt idx="0">
                  <c:v>0.03</c:v>
                </c:pt>
                <c:pt idx="1">
                  <c:v>0.03</c:v>
                </c:pt>
                <c:pt idx="2">
                  <c:v>0.04</c:v>
                </c:pt>
                <c:pt idx="3">
                  <c:v>3.7337266926629802E-2</c:v>
                </c:pt>
                <c:pt idx="4">
                  <c:v>3.3092397457110498E-2</c:v>
                </c:pt>
                <c:pt idx="5">
                  <c:v>2.9117185506160399E-2</c:v>
                </c:pt>
                <c:pt idx="6">
                  <c:v>3.04330002073596E-2</c:v>
                </c:pt>
                <c:pt idx="7">
                  <c:v>2.9460772008609901E-2</c:v>
                </c:pt>
                <c:pt idx="8">
                  <c:v>3.4052295019266099E-2</c:v>
                </c:pt>
                <c:pt idx="9">
                  <c:v>0.04</c:v>
                </c:pt>
                <c:pt idx="10">
                  <c:v>0.04</c:v>
                </c:pt>
                <c:pt idx="11">
                  <c:v>4.3999999999999997E-2</c:v>
                </c:pt>
                <c:pt idx="12">
                  <c:v>4.7307216879766301E-2</c:v>
                </c:pt>
                <c:pt idx="13">
                  <c:v>0.05</c:v>
                </c:pt>
                <c:pt idx="14">
                  <c:v>4.3965054000802299E-2</c:v>
                </c:pt>
                <c:pt idx="15">
                  <c:v>4.2587400104191597E-2</c:v>
                </c:pt>
              </c:numCache>
            </c:numRef>
          </c:val>
          <c:smooth val="0"/>
          <c:extLst>
            <c:ext xmlns:c16="http://schemas.microsoft.com/office/drawing/2014/chart" uri="{C3380CC4-5D6E-409C-BE32-E72D297353CC}">
              <c16:uniqueId val="{0000000E-A26E-403F-9093-4346C364C5EA}"/>
            </c:ext>
          </c:extLst>
        </c:ser>
        <c:ser>
          <c:idx val="4"/>
          <c:order val="4"/>
          <c:tx>
            <c:strRef>
              <c:f>'Ch5. PCT as filing route '!$A$11</c:f>
              <c:strCache>
                <c:ptCount val="1"/>
                <c:pt idx="0">
                  <c:v>U.S.</c:v>
                </c:pt>
              </c:strCache>
            </c:strRef>
          </c:tx>
          <c:spPr>
            <a:ln w="38100" cap="rnd">
              <a:solidFill>
                <a:srgbClr val="009900"/>
              </a:solidFill>
              <a:round/>
            </a:ln>
            <a:effectLst/>
          </c:spPr>
          <c:marker>
            <c:symbol val="none"/>
          </c:marker>
          <c:dLbls>
            <c:dLbl>
              <c:idx val="15"/>
              <c:layout>
                <c:manualLayout>
                  <c:x val="-2.2886348773176E-2"/>
                  <c:y val="2.60481821305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26E-403F-9093-4346C364C5EA}"/>
                </c:ext>
              </c:extLst>
            </c:dLbl>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rgbClr val="00990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'!$D$6:$S$6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'Ch5. PCT as filing route '!$D$11:$S$11</c:f>
              <c:numCache>
                <c:formatCode>0%</c:formatCode>
                <c:ptCount val="16"/>
                <c:pt idx="0">
                  <c:v>0.16</c:v>
                </c:pt>
                <c:pt idx="1">
                  <c:v>0.15</c:v>
                </c:pt>
                <c:pt idx="2">
                  <c:v>0.14000000000000001</c:v>
                </c:pt>
                <c:pt idx="3">
                  <c:v>0.14464428786879099</c:v>
                </c:pt>
                <c:pt idx="4">
                  <c:v>0.14113081013994999</c:v>
                </c:pt>
                <c:pt idx="5">
                  <c:v>0.14678801934962299</c:v>
                </c:pt>
                <c:pt idx="6">
                  <c:v>0.15827280543886099</c:v>
                </c:pt>
                <c:pt idx="7">
                  <c:v>0.14850475286163001</c:v>
                </c:pt>
                <c:pt idx="8">
                  <c:v>0.14350885645817699</c:v>
                </c:pt>
                <c:pt idx="9">
                  <c:v>0.15</c:v>
                </c:pt>
                <c:pt idx="10">
                  <c:v>0.14896451271186401</c:v>
                </c:pt>
                <c:pt idx="11">
                  <c:v>0.15</c:v>
                </c:pt>
                <c:pt idx="12">
                  <c:v>0.16293567345983301</c:v>
                </c:pt>
                <c:pt idx="13">
                  <c:v>0.16</c:v>
                </c:pt>
                <c:pt idx="14">
                  <c:v>0.16020342556605199</c:v>
                </c:pt>
                <c:pt idx="15">
                  <c:v>0.141530931768545</c:v>
                </c:pt>
              </c:numCache>
            </c:numRef>
          </c:val>
          <c:smooth val="0"/>
          <c:extLst>
            <c:ext xmlns:c16="http://schemas.microsoft.com/office/drawing/2014/chart" uri="{C3380CC4-5D6E-409C-BE32-E72D297353CC}">
              <c16:uniqueId val="{00000010-A26E-403F-9093-4346C364C5EA}"/>
            </c:ext>
          </c:extLst>
        </c:ser>
        <c:ser>
          <c:idx val="5"/>
          <c:order val="5"/>
          <c:tx>
            <c:strRef>
              <c:f>'Ch5. PCT as filing route '!$A$12</c:f>
              <c:strCache>
                <c:ptCount val="1"/>
                <c:pt idx="0">
                  <c:v>Others</c:v>
                </c:pt>
              </c:strCache>
            </c:strRef>
          </c:tx>
          <c:spPr>
            <a:ln w="38100" cap="rnd">
              <a:solidFill>
                <a:schemeClr val="accent2"/>
              </a:solidFill>
              <a:round/>
            </a:ln>
            <a:effectLst/>
          </c:spPr>
          <c:marker>
            <c:symbol val="none"/>
          </c:marker>
          <c:dLbls>
            <c:dLbl>
              <c:idx val="0"/>
              <c:layout>
                <c:manualLayout>
                  <c:x val="-2.3048129813611901E-2"/>
                  <c:y val="1.14633057554233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26E-403F-9093-4346C364C5EA}"/>
                </c:ext>
              </c:extLst>
            </c:dLbl>
            <c:dLbl>
              <c:idx val="8"/>
              <c:layout>
                <c:manualLayout>
                  <c:x val="-2.5263521194766901E-2"/>
                  <c:y val="-1.52787396947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26E-403F-9093-4346C364C5EA}"/>
                </c:ext>
              </c:extLst>
            </c:dLbl>
            <c:dLbl>
              <c:idx val="9"/>
              <c:layout>
                <c:manualLayout>
                  <c:x val="-2.3048129813611901E-2"/>
                  <c:y val="-1.7691657360522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26E-403F-9093-4346C364C5EA}"/>
                </c:ext>
              </c:extLst>
            </c:dLbl>
            <c:dLbl>
              <c:idx val="10"/>
              <c:layout>
                <c:manualLayout>
                  <c:x val="-1.6773619689084401E-2"/>
                  <c:y val="-1.7971047305540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26E-403F-9093-4346C364C5EA}"/>
                </c:ext>
              </c:extLst>
            </c:dLbl>
            <c:dLbl>
              <c:idx val="11"/>
              <c:layout>
                <c:manualLayout>
                  <c:x val="-2.5263521194767002E-2"/>
                  <c:y val="2.7798182077583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26E-403F-9093-4346C364C5EA}"/>
                </c:ext>
              </c:extLst>
            </c:dLbl>
            <c:spPr>
              <a:noFill/>
              <a:ln>
                <a:noFill/>
              </a:ln>
              <a:effectLst/>
            </c:spPr>
            <c:txPr>
              <a:bodyPr rot="0" spcFirstLastPara="1" vertOverflow="ellipsis" vert="horz" wrap="square" lIns="38100" tIns="19050" rIns="38100" bIns="19050" anchor="ctr" anchorCtr="1">
                <a:spAutoFit/>
              </a:bodyPr>
              <a:lstStyle/>
              <a:p>
                <a:pPr>
                  <a:defRPr lang="ja-JP" sz="1200" b="0" i="0" u="none" strike="noStrike" kern="1200" baseline="0">
                    <a:solidFill>
                      <a:schemeClr val="accent2"/>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'!$D$6:$S$6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'Ch5. PCT as filing route '!$D$12:$S$12</c:f>
              <c:numCache>
                <c:formatCode>0%</c:formatCode>
                <c:ptCount val="16"/>
                <c:pt idx="0">
                  <c:v>7.0000000000000007E-2</c:v>
                </c:pt>
                <c:pt idx="1">
                  <c:v>7.0000000000000007E-2</c:v>
                </c:pt>
                <c:pt idx="2">
                  <c:v>0.08</c:v>
                </c:pt>
                <c:pt idx="3">
                  <c:v>8.6032352199445203E-2</c:v>
                </c:pt>
                <c:pt idx="4">
                  <c:v>7.8409039136179304E-2</c:v>
                </c:pt>
                <c:pt idx="5">
                  <c:v>7.6355102390960702E-2</c:v>
                </c:pt>
                <c:pt idx="6">
                  <c:v>8.3515752896237194E-2</c:v>
                </c:pt>
                <c:pt idx="7">
                  <c:v>7.3264898773880802E-2</c:v>
                </c:pt>
                <c:pt idx="8">
                  <c:v>7.53361339621096E-2</c:v>
                </c:pt>
                <c:pt idx="9">
                  <c:v>7.8560193015032004E-2</c:v>
                </c:pt>
                <c:pt idx="10">
                  <c:v>8.2199234802323898E-2</c:v>
                </c:pt>
                <c:pt idx="11">
                  <c:v>7.5999999999999998E-2</c:v>
                </c:pt>
                <c:pt idx="12">
                  <c:v>7.5314100512163903E-2</c:v>
                </c:pt>
                <c:pt idx="13">
                  <c:v>0.08</c:v>
                </c:pt>
                <c:pt idx="14">
                  <c:v>7.7853541947016394E-2</c:v>
                </c:pt>
                <c:pt idx="15">
                  <c:v>7.9533006630152794E-2</c:v>
                </c:pt>
              </c:numCache>
            </c:numRef>
          </c:val>
          <c:smooth val="0"/>
          <c:extLst>
            <c:ext xmlns:c16="http://schemas.microsoft.com/office/drawing/2014/chart" uri="{C3380CC4-5D6E-409C-BE32-E72D297353CC}">
              <c16:uniqueId val="{00000016-A26E-403F-9093-4346C364C5EA}"/>
            </c:ext>
          </c:extLst>
        </c:ser>
        <c:ser>
          <c:idx val="6"/>
          <c:order val="6"/>
          <c:tx>
            <c:strRef>
              <c:f>'Ch5. PCT as filing route '!$A$13</c:f>
              <c:strCache>
                <c:ptCount val="1"/>
                <c:pt idx="0">
                  <c:v>All</c:v>
                </c:pt>
              </c:strCache>
            </c:strRef>
          </c:tx>
          <c:spPr>
            <a:ln w="44450" cap="rnd">
              <a:solidFill>
                <a:schemeClr val="tx1"/>
              </a:solidFill>
              <a:prstDash val="sysDot"/>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tx1">
                        <a:lumMod val="75000"/>
                        <a:lumOff val="25000"/>
                      </a:schemeClr>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'!$D$6:$S$6</c:f>
              <c:numCache>
                <c:formatCode>General</c:formatCode>
                <c:ptCount val="16"/>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numCache>
            </c:numRef>
          </c:cat>
          <c:val>
            <c:numRef>
              <c:f>'Ch5. PCT as filing route '!$D$13:$S$13</c:f>
              <c:numCache>
                <c:formatCode>0%</c:formatCode>
                <c:ptCount val="16"/>
                <c:pt idx="0">
                  <c:v>0.1</c:v>
                </c:pt>
                <c:pt idx="1">
                  <c:v>0.1</c:v>
                </c:pt>
                <c:pt idx="2">
                  <c:v>0.1</c:v>
                </c:pt>
                <c:pt idx="3">
                  <c:v>0.10127301160982601</c:v>
                </c:pt>
                <c:pt idx="4">
                  <c:v>9.8057435569973206E-2</c:v>
                </c:pt>
                <c:pt idx="5">
                  <c:v>9.3339128545039701E-2</c:v>
                </c:pt>
                <c:pt idx="6">
                  <c:v>9.3611005064439201E-2</c:v>
                </c:pt>
                <c:pt idx="7">
                  <c:v>8.7783640680312594E-2</c:v>
                </c:pt>
                <c:pt idx="8">
                  <c:v>8.51060098044088E-2</c:v>
                </c:pt>
                <c:pt idx="9">
                  <c:v>8.7885266526013098E-2</c:v>
                </c:pt>
                <c:pt idx="10">
                  <c:v>8.7885266526013098E-2</c:v>
                </c:pt>
                <c:pt idx="11">
                  <c:v>9.1999999999999998E-2</c:v>
                </c:pt>
                <c:pt idx="12">
                  <c:v>9.5098150801061196E-2</c:v>
                </c:pt>
                <c:pt idx="13">
                  <c:v>0.09</c:v>
                </c:pt>
                <c:pt idx="14">
                  <c:v>9.1036338192989397E-2</c:v>
                </c:pt>
                <c:pt idx="15">
                  <c:v>8.7160263314464095E-2</c:v>
                </c:pt>
              </c:numCache>
            </c:numRef>
          </c:val>
          <c:smooth val="0"/>
          <c:extLst>
            <c:ext xmlns:c16="http://schemas.microsoft.com/office/drawing/2014/chart" uri="{C3380CC4-5D6E-409C-BE32-E72D297353CC}">
              <c16:uniqueId val="{00000017-A26E-403F-9093-4346C364C5EA}"/>
            </c:ext>
          </c:extLst>
        </c:ser>
        <c:dLbls>
          <c:showLegendKey val="0"/>
          <c:showVal val="0"/>
          <c:showCatName val="0"/>
          <c:showSerName val="0"/>
          <c:showPercent val="0"/>
          <c:showBubbleSize val="0"/>
        </c:dLbls>
        <c:smooth val="0"/>
        <c:axId val="1808651664"/>
        <c:axId val="1808653296"/>
      </c:lineChart>
      <c:catAx>
        <c:axId val="180865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08653296"/>
        <c:crosses val="autoZero"/>
        <c:auto val="1"/>
        <c:lblAlgn val="ctr"/>
        <c:lblOffset val="100"/>
        <c:noMultiLvlLbl val="0"/>
      </c:catAx>
      <c:valAx>
        <c:axId val="1808653296"/>
        <c:scaling>
          <c:orientation val="minMax"/>
        </c:scaling>
        <c:delete val="1"/>
        <c:axPos val="l"/>
        <c:numFmt formatCode="0%" sourceLinked="1"/>
        <c:majorTickMark val="none"/>
        <c:minorTickMark val="none"/>
        <c:tickLblPos val="nextTo"/>
        <c:crossAx val="1808651664"/>
        <c:crosses val="autoZero"/>
        <c:crossBetween val="between"/>
      </c:valAx>
      <c:spPr>
        <a:noFill/>
        <a:ln>
          <a:noFill/>
        </a:ln>
        <a:effectLst/>
      </c:spPr>
    </c:plotArea>
    <c:plotVisOnly val="1"/>
    <c:dispBlanksAs val="gap"/>
    <c:showDLblsOverMax val="0"/>
    <c:extLst>
      <c:ext uri="{0b15fc19-7d7d-44ad-8c2d-2c3a37ce22c3}">
        <chartProps xmlns="https://web.wps.cn/et/2018/main" chartId="{497556b0-2958-43bb-9cab-594dfdc80c4f}"/>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5.2 PROPORTIONS OF PCT ENTERING NATIONAL&amp;/REGIONAL PHASE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2.08601538234503E-2"/>
          <c:w val="0.88785263858496499"/>
          <c:h val="0.848096681618974"/>
        </c:manualLayout>
      </c:layout>
      <c:lineChart>
        <c:grouping val="standard"/>
        <c:varyColors val="0"/>
        <c:ser>
          <c:idx val="0"/>
          <c:order val="0"/>
          <c:tx>
            <c:strRef>
              <c:f>'Ch5. PCT as filing route '!$A$36</c:f>
              <c:strCache>
                <c:ptCount val="1"/>
                <c:pt idx="0">
                  <c:v>EPC states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'!$D$36:$S$36</c:f>
              <c:numCache>
                <c:formatCode>0%</c:formatCode>
                <c:ptCount val="16"/>
                <c:pt idx="0">
                  <c:v>0.49</c:v>
                </c:pt>
                <c:pt idx="1">
                  <c:v>0.5</c:v>
                </c:pt>
                <c:pt idx="2">
                  <c:v>0.52</c:v>
                </c:pt>
                <c:pt idx="3">
                  <c:v>0.50870733465596596</c:v>
                </c:pt>
                <c:pt idx="4">
                  <c:v>0.48744016132005402</c:v>
                </c:pt>
                <c:pt idx="5">
                  <c:v>0.47378665774092998</c:v>
                </c:pt>
                <c:pt idx="6">
                  <c:v>0.479991601111388</c:v>
                </c:pt>
                <c:pt idx="7">
                  <c:v>0.46952060571780102</c:v>
                </c:pt>
                <c:pt idx="8">
                  <c:v>0.45842579359109398</c:v>
                </c:pt>
                <c:pt idx="9">
                  <c:v>0.44</c:v>
                </c:pt>
                <c:pt idx="10">
                  <c:v>0.42801937846333299</c:v>
                </c:pt>
                <c:pt idx="11">
                  <c:v>0.42017084466199001</c:v>
                </c:pt>
                <c:pt idx="12">
                  <c:v>0.43366673952860801</c:v>
                </c:pt>
                <c:pt idx="13">
                  <c:v>0.44</c:v>
                </c:pt>
                <c:pt idx="14">
                  <c:v>0.43594008800551598</c:v>
                </c:pt>
                <c:pt idx="15">
                  <c:v>0.43497417143189498</c:v>
                </c:pt>
              </c:numCache>
            </c:numRef>
          </c:val>
          <c:smooth val="0"/>
          <c:extLst>
            <c:ext xmlns:c16="http://schemas.microsoft.com/office/drawing/2014/chart" uri="{C3380CC4-5D6E-409C-BE32-E72D297353CC}">
              <c16:uniqueId val="{00000000-9626-496C-899D-E1BC37D16E93}"/>
            </c:ext>
          </c:extLst>
        </c:ser>
        <c:ser>
          <c:idx val="1"/>
          <c:order val="1"/>
          <c:tx>
            <c:strRef>
              <c:f>'Ch5. PCT as filing route '!$A$37</c:f>
              <c:strCache>
                <c:ptCount val="1"/>
                <c:pt idx="0">
                  <c:v>Japan</c:v>
                </c:pt>
              </c:strCache>
            </c:strRef>
          </c:tx>
          <c:spPr>
            <a:ln w="2857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'!$D$37:$S$37</c:f>
              <c:numCache>
                <c:formatCode>0%</c:formatCode>
                <c:ptCount val="16"/>
                <c:pt idx="0">
                  <c:v>0.33</c:v>
                </c:pt>
                <c:pt idx="1">
                  <c:v>0.34</c:v>
                </c:pt>
                <c:pt idx="2">
                  <c:v>0.36</c:v>
                </c:pt>
                <c:pt idx="3">
                  <c:v>0.34597728132295202</c:v>
                </c:pt>
                <c:pt idx="4">
                  <c:v>0.33453159780242803</c:v>
                </c:pt>
                <c:pt idx="5">
                  <c:v>0.33240090059357302</c:v>
                </c:pt>
                <c:pt idx="6">
                  <c:v>0.322666709269259</c:v>
                </c:pt>
                <c:pt idx="7">
                  <c:v>0.32482224885702399</c:v>
                </c:pt>
                <c:pt idx="8">
                  <c:v>0.318445711957629</c:v>
                </c:pt>
                <c:pt idx="9">
                  <c:v>0.31</c:v>
                </c:pt>
                <c:pt idx="10">
                  <c:v>0.29105132774131898</c:v>
                </c:pt>
                <c:pt idx="11">
                  <c:v>0.28646952343895399</c:v>
                </c:pt>
                <c:pt idx="12">
                  <c:v>0.29256268593285201</c:v>
                </c:pt>
                <c:pt idx="13">
                  <c:v>0.28999999999999998</c:v>
                </c:pt>
                <c:pt idx="14">
                  <c:v>0.28459964954764599</c:v>
                </c:pt>
                <c:pt idx="15">
                  <c:v>0.27956964501467102</c:v>
                </c:pt>
              </c:numCache>
            </c:numRef>
          </c:val>
          <c:smooth val="0"/>
          <c:extLst>
            <c:ext xmlns:c16="http://schemas.microsoft.com/office/drawing/2014/chart" uri="{C3380CC4-5D6E-409C-BE32-E72D297353CC}">
              <c16:uniqueId val="{00000001-9626-496C-899D-E1BC37D16E93}"/>
            </c:ext>
          </c:extLst>
        </c:ser>
        <c:ser>
          <c:idx val="2"/>
          <c:order val="2"/>
          <c:tx>
            <c:strRef>
              <c:f>'Ch5. PCT as filing route '!$A$38</c:f>
              <c:strCache>
                <c:ptCount val="1"/>
                <c:pt idx="0">
                  <c:v>R. Korea</c:v>
                </c:pt>
              </c:strCache>
            </c:strRef>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'!$D$38:$S$38</c:f>
              <c:numCache>
                <c:formatCode>0%</c:formatCode>
                <c:ptCount val="16"/>
                <c:pt idx="0">
                  <c:v>0.18</c:v>
                </c:pt>
                <c:pt idx="1">
                  <c:v>0.18</c:v>
                </c:pt>
                <c:pt idx="2">
                  <c:v>0.2</c:v>
                </c:pt>
                <c:pt idx="3">
                  <c:v>0.19447319071004299</c:v>
                </c:pt>
                <c:pt idx="4">
                  <c:v>0.18657153911993299</c:v>
                </c:pt>
                <c:pt idx="5">
                  <c:v>0.18071936677520201</c:v>
                </c:pt>
                <c:pt idx="6">
                  <c:v>0.18</c:v>
                </c:pt>
                <c:pt idx="7">
                  <c:v>0.19438228743613301</c:v>
                </c:pt>
                <c:pt idx="8">
                  <c:v>0.18511266387698899</c:v>
                </c:pt>
                <c:pt idx="9">
                  <c:v>0.17</c:v>
                </c:pt>
                <c:pt idx="10">
                  <c:v>0.16749151189193601</c:v>
                </c:pt>
                <c:pt idx="11">
                  <c:v>0.16</c:v>
                </c:pt>
                <c:pt idx="12">
                  <c:v>0.173857507237556</c:v>
                </c:pt>
                <c:pt idx="13">
                  <c:v>0.18</c:v>
                </c:pt>
                <c:pt idx="14">
                  <c:v>0.17334436013430299</c:v>
                </c:pt>
                <c:pt idx="15">
                  <c:v>0.16952220781799299</c:v>
                </c:pt>
              </c:numCache>
            </c:numRef>
          </c:val>
          <c:smooth val="0"/>
          <c:extLst>
            <c:ext xmlns:c16="http://schemas.microsoft.com/office/drawing/2014/chart" uri="{C3380CC4-5D6E-409C-BE32-E72D297353CC}">
              <c16:uniqueId val="{00000002-9626-496C-899D-E1BC37D16E93}"/>
            </c:ext>
          </c:extLst>
        </c:ser>
        <c:ser>
          <c:idx val="3"/>
          <c:order val="3"/>
          <c:tx>
            <c:strRef>
              <c:f>'Ch5. PCT as filing route '!$A$39</c:f>
              <c:strCache>
                <c:ptCount val="1"/>
                <c:pt idx="0">
                  <c:v>P.R. China</c:v>
                </c:pt>
              </c:strCache>
            </c:strRef>
          </c:tx>
          <c:spPr>
            <a:ln w="28575" cap="rnd">
              <a:solidFill>
                <a:srgbClr val="FFC000"/>
              </a:solidFill>
              <a:round/>
            </a:ln>
            <a:effectLst/>
          </c:spPr>
          <c:marker>
            <c:symbol val="none"/>
          </c:marker>
          <c:dLbls>
            <c:dLbl>
              <c:idx val="0"/>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626-496C-899D-E1BC37D16E93}"/>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'!$D$39:$S$39</c:f>
              <c:numCache>
                <c:formatCode>0%</c:formatCode>
                <c:ptCount val="16"/>
                <c:pt idx="0">
                  <c:v>0.33</c:v>
                </c:pt>
                <c:pt idx="1">
                  <c:v>0.39</c:v>
                </c:pt>
                <c:pt idx="2">
                  <c:v>0.43</c:v>
                </c:pt>
                <c:pt idx="3">
                  <c:v>0.41520258797876702</c:v>
                </c:pt>
                <c:pt idx="4">
                  <c:v>0.40703500745730897</c:v>
                </c:pt>
                <c:pt idx="5">
                  <c:v>0.409997064533905</c:v>
                </c:pt>
                <c:pt idx="6">
                  <c:v>0.4</c:v>
                </c:pt>
                <c:pt idx="7">
                  <c:v>0.40216226407605099</c:v>
                </c:pt>
                <c:pt idx="8">
                  <c:v>0.37753288638564803</c:v>
                </c:pt>
                <c:pt idx="9">
                  <c:v>0.36</c:v>
                </c:pt>
                <c:pt idx="10">
                  <c:v>0.36</c:v>
                </c:pt>
                <c:pt idx="11">
                  <c:v>0.346078026323555</c:v>
                </c:pt>
                <c:pt idx="12">
                  <c:v>0.4</c:v>
                </c:pt>
                <c:pt idx="13">
                  <c:v>0.38</c:v>
                </c:pt>
                <c:pt idx="14">
                  <c:v>0.37324664614422098</c:v>
                </c:pt>
                <c:pt idx="15">
                  <c:v>0.361064764833535</c:v>
                </c:pt>
              </c:numCache>
            </c:numRef>
          </c:val>
          <c:smooth val="0"/>
          <c:extLst>
            <c:ext xmlns:c16="http://schemas.microsoft.com/office/drawing/2014/chart" uri="{C3380CC4-5D6E-409C-BE32-E72D297353CC}">
              <c16:uniqueId val="{00000004-9626-496C-899D-E1BC37D16E93}"/>
            </c:ext>
          </c:extLst>
        </c:ser>
        <c:ser>
          <c:idx val="4"/>
          <c:order val="4"/>
          <c:tx>
            <c:strRef>
              <c:f>'Ch5. PCT as filing route '!$A$40</c:f>
              <c:strCache>
                <c:ptCount val="1"/>
                <c:pt idx="0">
                  <c:v>U.S.</c:v>
                </c:pt>
              </c:strCache>
            </c:strRef>
          </c:tx>
          <c:spPr>
            <a:ln w="28575" cap="rnd">
              <a:solidFill>
                <a:srgbClr val="009900"/>
              </a:solidFill>
              <a:round/>
            </a:ln>
            <a:effectLst/>
          </c:spPr>
          <c:marker>
            <c:symbol val="none"/>
          </c:marker>
          <c:dLbls>
            <c:dLbl>
              <c:idx val="9"/>
              <c:layout>
                <c:manualLayout>
                  <c:x val="-2.9950613224310699E-2"/>
                  <c:y val="-2.5411237801015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626-496C-899D-E1BC37D16E93}"/>
                </c:ext>
              </c:extLst>
            </c:dLbl>
            <c:dLbl>
              <c:idx val="10"/>
              <c:layout>
                <c:manualLayout>
                  <c:x val="-2.7080405919633201E-2"/>
                  <c:y val="-1.92389740454705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626-496C-899D-E1BC37D16E93}"/>
                </c:ext>
              </c:extLst>
            </c:dLbl>
            <c:dLbl>
              <c:idx val="11"/>
              <c:layout>
                <c:manualLayout>
                  <c:x val="-2.7080405919633101E-2"/>
                  <c:y val="-1.398598361521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626-496C-899D-E1BC37D16E93}"/>
                </c:ext>
              </c:extLst>
            </c:dLbl>
            <c:dLbl>
              <c:idx val="12"/>
              <c:layout>
                <c:manualLayout>
                  <c:x val="-2.8515509571971999E-2"/>
                  <c:y val="-1.398598361521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626-496C-899D-E1BC37D16E93}"/>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'!$D$40:$S$40</c:f>
              <c:numCache>
                <c:formatCode>0%</c:formatCode>
                <c:ptCount val="16"/>
                <c:pt idx="0">
                  <c:v>0.37</c:v>
                </c:pt>
                <c:pt idx="1">
                  <c:v>0.4</c:v>
                </c:pt>
                <c:pt idx="2">
                  <c:v>0.43</c:v>
                </c:pt>
                <c:pt idx="3">
                  <c:v>0.42172483938126698</c:v>
                </c:pt>
                <c:pt idx="4">
                  <c:v>0.40172030021363903</c:v>
                </c:pt>
                <c:pt idx="5">
                  <c:v>0.409452592737655</c:v>
                </c:pt>
                <c:pt idx="6">
                  <c:v>0.39295220884514898</c:v>
                </c:pt>
                <c:pt idx="7">
                  <c:v>0.41421589302106299</c:v>
                </c:pt>
                <c:pt idx="8">
                  <c:v>0.386475837619777</c:v>
                </c:pt>
                <c:pt idx="9">
                  <c:v>0.41</c:v>
                </c:pt>
                <c:pt idx="10">
                  <c:v>0.4</c:v>
                </c:pt>
                <c:pt idx="11">
                  <c:v>0.4</c:v>
                </c:pt>
                <c:pt idx="12">
                  <c:v>0.406627822835951</c:v>
                </c:pt>
                <c:pt idx="13">
                  <c:v>0.4</c:v>
                </c:pt>
                <c:pt idx="14">
                  <c:v>0.39052745346208001</c:v>
                </c:pt>
                <c:pt idx="15">
                  <c:v>0.39328285233398902</c:v>
                </c:pt>
              </c:numCache>
            </c:numRef>
          </c:val>
          <c:smooth val="0"/>
          <c:extLst>
            <c:ext xmlns:c16="http://schemas.microsoft.com/office/drawing/2014/chart" uri="{C3380CC4-5D6E-409C-BE32-E72D297353CC}">
              <c16:uniqueId val="{00000009-9626-496C-899D-E1BC37D16E93}"/>
            </c:ext>
          </c:extLst>
        </c:ser>
        <c:dLbls>
          <c:showLegendKey val="0"/>
          <c:showVal val="0"/>
          <c:showCatName val="0"/>
          <c:showSerName val="0"/>
          <c:showPercent val="0"/>
          <c:showBubbleSize val="0"/>
        </c:dLbls>
        <c:smooth val="0"/>
        <c:axId val="1808638064"/>
        <c:axId val="1808647856"/>
      </c:lineChart>
      <c:catAx>
        <c:axId val="180863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08647856"/>
        <c:crosses val="autoZero"/>
        <c:auto val="1"/>
        <c:lblAlgn val="ctr"/>
        <c:lblOffset val="100"/>
        <c:noMultiLvlLbl val="0"/>
      </c:catAx>
      <c:valAx>
        <c:axId val="1808647856"/>
        <c:scaling>
          <c:orientation val="minMax"/>
        </c:scaling>
        <c:delete val="1"/>
        <c:axPos val="l"/>
        <c:numFmt formatCode="0%" sourceLinked="1"/>
        <c:majorTickMark val="none"/>
        <c:minorTickMark val="none"/>
        <c:tickLblPos val="nextTo"/>
        <c:crossAx val="1808638064"/>
        <c:crosses val="autoZero"/>
        <c:crossBetween val="between"/>
      </c:valAx>
      <c:spPr>
        <a:noFill/>
        <a:ln>
          <a:noFill/>
        </a:ln>
        <a:effectLst/>
      </c:spPr>
    </c:plotArea>
    <c:plotVisOnly val="1"/>
    <c:dispBlanksAs val="gap"/>
    <c:showDLblsOverMax val="0"/>
    <c:extLst>
      <c:ext uri="{0b15fc19-7d7d-44ad-8c2d-2c3a37ce22c3}">
        <chartProps xmlns="https://web.wps.cn/et/2018/main" chartId="{4232d03b-0943-4b24-ad4c-18c8da2df5ea}"/>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5.3 PROPORTIONS OF PCT APPLICATIONS IN GRANT PROCEDURE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2.08601538234503E-2"/>
          <c:w val="0.88785263858496499"/>
          <c:h val="0.848096681618974"/>
        </c:manualLayout>
      </c:layout>
      <c:lineChart>
        <c:grouping val="standard"/>
        <c:varyColors val="0"/>
        <c:ser>
          <c:idx val="0"/>
          <c:order val="0"/>
          <c:tx>
            <c:strRef>
              <c:f>'Ch5. PCT as filing route '!$A$65</c:f>
              <c:strCache>
                <c:ptCount val="1"/>
                <c:pt idx="0">
                  <c:v>EPC states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'!$D$65:$S$65</c:f>
              <c:numCache>
                <c:formatCode>0%</c:formatCode>
                <c:ptCount val="16"/>
                <c:pt idx="0">
                  <c:v>0.57999999999999996</c:v>
                </c:pt>
                <c:pt idx="1">
                  <c:v>0.53</c:v>
                </c:pt>
                <c:pt idx="2">
                  <c:v>0.56000000000000005</c:v>
                </c:pt>
                <c:pt idx="3">
                  <c:v>0.57999999999999996</c:v>
                </c:pt>
                <c:pt idx="4">
                  <c:v>0.59</c:v>
                </c:pt>
                <c:pt idx="5">
                  <c:v>0.61</c:v>
                </c:pt>
                <c:pt idx="6">
                  <c:v>0.61</c:v>
                </c:pt>
                <c:pt idx="7">
                  <c:v>0.59</c:v>
                </c:pt>
                <c:pt idx="8">
                  <c:v>0.58885802282746502</c:v>
                </c:pt>
                <c:pt idx="9">
                  <c:v>0.59</c:v>
                </c:pt>
                <c:pt idx="10">
                  <c:v>0.58248349007199296</c:v>
                </c:pt>
                <c:pt idx="11">
                  <c:v>0.59</c:v>
                </c:pt>
                <c:pt idx="12">
                  <c:v>0.61012725344644703</c:v>
                </c:pt>
                <c:pt idx="13">
                  <c:v>0.62</c:v>
                </c:pt>
                <c:pt idx="14">
                  <c:v>0.61548111905657998</c:v>
                </c:pt>
                <c:pt idx="15">
                  <c:v>0.60047976553717697</c:v>
                </c:pt>
              </c:numCache>
            </c:numRef>
          </c:val>
          <c:smooth val="0"/>
          <c:extLst>
            <c:ext xmlns:c16="http://schemas.microsoft.com/office/drawing/2014/chart" uri="{C3380CC4-5D6E-409C-BE32-E72D297353CC}">
              <c16:uniqueId val="{00000000-C779-4588-A5E7-F082F9BE8393}"/>
            </c:ext>
          </c:extLst>
        </c:ser>
        <c:ser>
          <c:idx val="1"/>
          <c:order val="1"/>
          <c:tx>
            <c:strRef>
              <c:f>'Ch5. PCT as filing route '!$A$66</c:f>
              <c:strCache>
                <c:ptCount val="1"/>
                <c:pt idx="0">
                  <c:v>Japan</c:v>
                </c:pt>
              </c:strCache>
            </c:strRef>
          </c:tx>
          <c:spPr>
            <a:ln w="2857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'!$D$66:$S$66</c:f>
              <c:numCache>
                <c:formatCode>0%</c:formatCode>
                <c:ptCount val="16"/>
                <c:pt idx="0">
                  <c:v>0.14000000000000001</c:v>
                </c:pt>
                <c:pt idx="1">
                  <c:v>0.14000000000000001</c:v>
                </c:pt>
                <c:pt idx="2">
                  <c:v>0.15</c:v>
                </c:pt>
                <c:pt idx="3">
                  <c:v>0.15</c:v>
                </c:pt>
                <c:pt idx="4">
                  <c:v>0.17</c:v>
                </c:pt>
                <c:pt idx="5">
                  <c:v>0.18</c:v>
                </c:pt>
                <c:pt idx="6">
                  <c:v>0.19</c:v>
                </c:pt>
                <c:pt idx="7">
                  <c:v>0.2</c:v>
                </c:pt>
                <c:pt idx="8">
                  <c:v>0.196339476072206</c:v>
                </c:pt>
                <c:pt idx="9">
                  <c:v>0.2</c:v>
                </c:pt>
                <c:pt idx="10">
                  <c:v>0.21745045767593499</c:v>
                </c:pt>
                <c:pt idx="11">
                  <c:v>0.23</c:v>
                </c:pt>
                <c:pt idx="12">
                  <c:v>0.24993775933609999</c:v>
                </c:pt>
                <c:pt idx="13">
                  <c:v>0.26</c:v>
                </c:pt>
                <c:pt idx="14">
                  <c:v>0.252178200997558</c:v>
                </c:pt>
                <c:pt idx="15">
                  <c:v>0.237532385002689</c:v>
                </c:pt>
              </c:numCache>
            </c:numRef>
          </c:val>
          <c:smooth val="0"/>
          <c:extLst>
            <c:ext xmlns:c16="http://schemas.microsoft.com/office/drawing/2014/chart" uri="{C3380CC4-5D6E-409C-BE32-E72D297353CC}">
              <c16:uniqueId val="{00000001-C779-4588-A5E7-F082F9BE8393}"/>
            </c:ext>
          </c:extLst>
        </c:ser>
        <c:ser>
          <c:idx val="2"/>
          <c:order val="2"/>
          <c:tx>
            <c:strRef>
              <c:f>'Ch5. PCT as filing route '!$A$67</c:f>
              <c:strCache>
                <c:ptCount val="1"/>
                <c:pt idx="0">
                  <c:v>R. Korea</c:v>
                </c:pt>
              </c:strCache>
            </c:strRef>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'!$D$67:$S$67</c:f>
              <c:numCache>
                <c:formatCode>0%</c:formatCode>
                <c:ptCount val="16"/>
                <c:pt idx="0">
                  <c:v>0.17</c:v>
                </c:pt>
                <c:pt idx="1">
                  <c:v>0.16</c:v>
                </c:pt>
                <c:pt idx="2">
                  <c:v>0.16</c:v>
                </c:pt>
                <c:pt idx="3">
                  <c:v>0.17</c:v>
                </c:pt>
                <c:pt idx="4">
                  <c:v>0.16</c:v>
                </c:pt>
                <c:pt idx="5">
                  <c:v>0.16</c:v>
                </c:pt>
                <c:pt idx="6">
                  <c:v>0.17</c:v>
                </c:pt>
                <c:pt idx="7">
                  <c:v>0.18</c:v>
                </c:pt>
                <c:pt idx="8">
                  <c:v>0.18189720424856601</c:v>
                </c:pt>
                <c:pt idx="9">
                  <c:v>0.18</c:v>
                </c:pt>
                <c:pt idx="10">
                  <c:v>0.18</c:v>
                </c:pt>
                <c:pt idx="11">
                  <c:v>0.17</c:v>
                </c:pt>
                <c:pt idx="12">
                  <c:v>0.18243430617063999</c:v>
                </c:pt>
                <c:pt idx="13">
                  <c:v>0.2</c:v>
                </c:pt>
                <c:pt idx="14">
                  <c:v>0.18693847355225801</c:v>
                </c:pt>
                <c:pt idx="15">
                  <c:v>0.17683607788990599</c:v>
                </c:pt>
              </c:numCache>
            </c:numRef>
          </c:val>
          <c:smooth val="0"/>
          <c:extLst>
            <c:ext xmlns:c16="http://schemas.microsoft.com/office/drawing/2014/chart" uri="{C3380CC4-5D6E-409C-BE32-E72D297353CC}">
              <c16:uniqueId val="{00000002-C779-4588-A5E7-F082F9BE8393}"/>
            </c:ext>
          </c:extLst>
        </c:ser>
        <c:ser>
          <c:idx val="3"/>
          <c:order val="3"/>
          <c:tx>
            <c:strRef>
              <c:f>'Ch5. PCT as filing route '!$A$68</c:f>
              <c:strCache>
                <c:ptCount val="1"/>
                <c:pt idx="0">
                  <c:v>P.R. China</c:v>
                </c:pt>
              </c:strCache>
            </c:strRef>
          </c:tx>
          <c:spPr>
            <a:ln w="28575" cap="rnd">
              <a:solidFill>
                <a:srgbClr val="FFC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'!$D$68:$S$68</c:f>
              <c:numCache>
                <c:formatCode>0%</c:formatCode>
                <c:ptCount val="16"/>
                <c:pt idx="0">
                  <c:v>0.17</c:v>
                </c:pt>
                <c:pt idx="1">
                  <c:v>0.16</c:v>
                </c:pt>
                <c:pt idx="2">
                  <c:v>0.13</c:v>
                </c:pt>
                <c:pt idx="3">
                  <c:v>0.11</c:v>
                </c:pt>
                <c:pt idx="4">
                  <c:v>0.09</c:v>
                </c:pt>
                <c:pt idx="5">
                  <c:v>0.09</c:v>
                </c:pt>
                <c:pt idx="6">
                  <c:v>7.0000000000000007E-2</c:v>
                </c:pt>
                <c:pt idx="7">
                  <c:v>0.06</c:v>
                </c:pt>
                <c:pt idx="8">
                  <c:v>5.8122719120088803E-2</c:v>
                </c:pt>
                <c:pt idx="9">
                  <c:v>0.05</c:v>
                </c:pt>
                <c:pt idx="10">
                  <c:v>0.06</c:v>
                </c:pt>
                <c:pt idx="11">
                  <c:v>0.06</c:v>
                </c:pt>
                <c:pt idx="12">
                  <c:v>7.0000000000000007E-2</c:v>
                </c:pt>
                <c:pt idx="13">
                  <c:v>0.06</c:v>
                </c:pt>
                <c:pt idx="14">
                  <c:v>6.2586241529330899E-2</c:v>
                </c:pt>
                <c:pt idx="15">
                  <c:v>5.4336469272789498E-2</c:v>
                </c:pt>
              </c:numCache>
            </c:numRef>
          </c:val>
          <c:smooth val="0"/>
          <c:extLst>
            <c:ext xmlns:c16="http://schemas.microsoft.com/office/drawing/2014/chart" uri="{C3380CC4-5D6E-409C-BE32-E72D297353CC}">
              <c16:uniqueId val="{00000003-C779-4588-A5E7-F082F9BE8393}"/>
            </c:ext>
          </c:extLst>
        </c:ser>
        <c:ser>
          <c:idx val="4"/>
          <c:order val="4"/>
          <c:tx>
            <c:strRef>
              <c:f>'Ch5. PCT as filing route '!$A$69</c:f>
              <c:strCache>
                <c:ptCount val="1"/>
                <c:pt idx="0">
                  <c:v>U.S.</c:v>
                </c:pt>
              </c:strCache>
            </c:strRef>
          </c:tx>
          <c:spPr>
            <a:ln w="2857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'!$D$69:$S$69</c:f>
              <c:numCache>
                <c:formatCode>0%</c:formatCode>
                <c:ptCount val="16"/>
                <c:pt idx="0">
                  <c:v>0.13</c:v>
                </c:pt>
                <c:pt idx="1">
                  <c:v>0.13</c:v>
                </c:pt>
                <c:pt idx="2">
                  <c:v>0.13</c:v>
                </c:pt>
                <c:pt idx="3">
                  <c:v>0.13</c:v>
                </c:pt>
                <c:pt idx="4">
                  <c:v>0.13</c:v>
                </c:pt>
                <c:pt idx="5">
                  <c:v>0.14000000000000001</c:v>
                </c:pt>
                <c:pt idx="6">
                  <c:v>0.14000000000000001</c:v>
                </c:pt>
                <c:pt idx="7">
                  <c:v>0.14000000000000001</c:v>
                </c:pt>
                <c:pt idx="8">
                  <c:v>0.135426620710562</c:v>
                </c:pt>
                <c:pt idx="9">
                  <c:v>0.16</c:v>
                </c:pt>
                <c:pt idx="10">
                  <c:v>0.15</c:v>
                </c:pt>
                <c:pt idx="11">
                  <c:v>0.17</c:v>
                </c:pt>
                <c:pt idx="12">
                  <c:v>0.182413457880722</c:v>
                </c:pt>
                <c:pt idx="13">
                  <c:v>0.19</c:v>
                </c:pt>
                <c:pt idx="14">
                  <c:v>0.18366132187463399</c:v>
                </c:pt>
                <c:pt idx="15">
                  <c:v>0.179358971595873</c:v>
                </c:pt>
              </c:numCache>
            </c:numRef>
          </c:val>
          <c:smooth val="0"/>
          <c:extLst>
            <c:ext xmlns:c16="http://schemas.microsoft.com/office/drawing/2014/chart" uri="{C3380CC4-5D6E-409C-BE32-E72D297353CC}">
              <c16:uniqueId val="{00000004-C779-4588-A5E7-F082F9BE8393}"/>
            </c:ext>
          </c:extLst>
        </c:ser>
        <c:dLbls>
          <c:showLegendKey val="0"/>
          <c:showVal val="0"/>
          <c:showCatName val="0"/>
          <c:showSerName val="0"/>
          <c:showPercent val="0"/>
          <c:showBubbleSize val="0"/>
        </c:dLbls>
        <c:smooth val="0"/>
        <c:axId val="1808639696"/>
        <c:axId val="1808640240"/>
      </c:lineChart>
      <c:catAx>
        <c:axId val="180863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08640240"/>
        <c:crosses val="autoZero"/>
        <c:auto val="1"/>
        <c:lblAlgn val="ctr"/>
        <c:lblOffset val="100"/>
        <c:noMultiLvlLbl val="0"/>
      </c:catAx>
      <c:valAx>
        <c:axId val="1808640240"/>
        <c:scaling>
          <c:orientation val="minMax"/>
        </c:scaling>
        <c:delete val="1"/>
        <c:axPos val="l"/>
        <c:numFmt formatCode="0%" sourceLinked="1"/>
        <c:majorTickMark val="none"/>
        <c:minorTickMark val="none"/>
        <c:tickLblPos val="nextTo"/>
        <c:crossAx val="1808639696"/>
        <c:crosses val="autoZero"/>
        <c:crossBetween val="between"/>
      </c:valAx>
      <c:spPr>
        <a:noFill/>
        <a:ln>
          <a:noFill/>
        </a:ln>
        <a:effectLst/>
      </c:spPr>
    </c:plotArea>
    <c:plotVisOnly val="1"/>
    <c:dispBlanksAs val="gap"/>
    <c:showDLblsOverMax val="0"/>
    <c:extLst>
      <c:ext uri="{0b15fc19-7d7d-44ad-8c2d-2c3a37ce22c3}">
        <chartProps xmlns="https://web.wps.cn/et/2018/main" chartId="{c2553f7f-201a-4609-9524-f70b7d7ca62c}"/>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5.4 PROPORTIONS OF PCT AMONG GRANTED PATENTS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0.107534504805349"/>
          <c:w val="0.89072284588964301"/>
          <c:h val="0.76142241053940096"/>
        </c:manualLayout>
      </c:layout>
      <c:lineChart>
        <c:grouping val="standard"/>
        <c:varyColors val="0"/>
        <c:ser>
          <c:idx val="0"/>
          <c:order val="0"/>
          <c:tx>
            <c:strRef>
              <c:f>'Ch5. PCT as filing route '!$A$94</c:f>
              <c:strCache>
                <c:ptCount val="1"/>
                <c:pt idx="0">
                  <c:v>EPC states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'!$D$94:$S$94</c:f>
              <c:numCache>
                <c:formatCode>0%</c:formatCode>
                <c:ptCount val="16"/>
                <c:pt idx="0">
                  <c:v>0.53</c:v>
                </c:pt>
                <c:pt idx="1">
                  <c:v>0.56000000000000005</c:v>
                </c:pt>
                <c:pt idx="2">
                  <c:v>0.56999999999999995</c:v>
                </c:pt>
                <c:pt idx="3">
                  <c:v>0.56000000000000005</c:v>
                </c:pt>
                <c:pt idx="4">
                  <c:v>0.57999999999999996</c:v>
                </c:pt>
                <c:pt idx="5">
                  <c:v>0.6</c:v>
                </c:pt>
                <c:pt idx="6">
                  <c:v>0.62</c:v>
                </c:pt>
                <c:pt idx="7">
                  <c:v>0.64</c:v>
                </c:pt>
                <c:pt idx="8">
                  <c:v>0.64286458086808396</c:v>
                </c:pt>
                <c:pt idx="9">
                  <c:v>0.65</c:v>
                </c:pt>
                <c:pt idx="10">
                  <c:v>0.65</c:v>
                </c:pt>
                <c:pt idx="11">
                  <c:v>0.64</c:v>
                </c:pt>
                <c:pt idx="12">
                  <c:v>0.63646724694160794</c:v>
                </c:pt>
                <c:pt idx="13">
                  <c:v>0.63</c:v>
                </c:pt>
                <c:pt idx="14">
                  <c:v>0.62963033773384702</c:v>
                </c:pt>
                <c:pt idx="15">
                  <c:v>0.63139585844198498</c:v>
                </c:pt>
              </c:numCache>
            </c:numRef>
          </c:val>
          <c:smooth val="0"/>
          <c:extLst>
            <c:ext xmlns:c16="http://schemas.microsoft.com/office/drawing/2014/chart" uri="{C3380CC4-5D6E-409C-BE32-E72D297353CC}">
              <c16:uniqueId val="{00000000-0B31-46B1-86D7-2A185AE823C5}"/>
            </c:ext>
          </c:extLst>
        </c:ser>
        <c:ser>
          <c:idx val="1"/>
          <c:order val="1"/>
          <c:tx>
            <c:strRef>
              <c:f>'Ch5. PCT as filing route '!$A$95</c:f>
              <c:strCache>
                <c:ptCount val="1"/>
                <c:pt idx="0">
                  <c:v>Japan</c:v>
                </c:pt>
              </c:strCache>
            </c:strRef>
          </c:tx>
          <c:spPr>
            <a:ln w="28575" cap="rnd">
              <a:solidFill>
                <a:srgbClr val="FF0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'!$D$95:$S$95</c:f>
              <c:numCache>
                <c:formatCode>0%</c:formatCode>
                <c:ptCount val="16"/>
                <c:pt idx="0">
                  <c:v>0.12</c:v>
                </c:pt>
                <c:pt idx="1">
                  <c:v>0.14000000000000001</c:v>
                </c:pt>
                <c:pt idx="2">
                  <c:v>0.16</c:v>
                </c:pt>
                <c:pt idx="3">
                  <c:v>0.18</c:v>
                </c:pt>
                <c:pt idx="4">
                  <c:v>0.2</c:v>
                </c:pt>
                <c:pt idx="5">
                  <c:v>0.22</c:v>
                </c:pt>
                <c:pt idx="6">
                  <c:v>0.24</c:v>
                </c:pt>
                <c:pt idx="7">
                  <c:v>0.23</c:v>
                </c:pt>
                <c:pt idx="8">
                  <c:v>0.23612440311258301</c:v>
                </c:pt>
                <c:pt idx="9">
                  <c:v>0.24</c:v>
                </c:pt>
                <c:pt idx="10">
                  <c:v>0.250614195986882</c:v>
                </c:pt>
                <c:pt idx="11">
                  <c:v>0.26195347385203699</c:v>
                </c:pt>
                <c:pt idx="12">
                  <c:v>0.26793113921853601</c:v>
                </c:pt>
                <c:pt idx="13">
                  <c:v>0.28000000000000003</c:v>
                </c:pt>
                <c:pt idx="14">
                  <c:v>0.28958580107752901</c:v>
                </c:pt>
                <c:pt idx="15">
                  <c:v>0.30656467815701699</c:v>
                </c:pt>
              </c:numCache>
            </c:numRef>
          </c:val>
          <c:smooth val="0"/>
          <c:extLst>
            <c:ext xmlns:c16="http://schemas.microsoft.com/office/drawing/2014/chart" uri="{C3380CC4-5D6E-409C-BE32-E72D297353CC}">
              <c16:uniqueId val="{00000001-0B31-46B1-86D7-2A185AE823C5}"/>
            </c:ext>
          </c:extLst>
        </c:ser>
        <c:ser>
          <c:idx val="2"/>
          <c:order val="2"/>
          <c:tx>
            <c:strRef>
              <c:f>'Ch5. PCT as filing route '!$A$96</c:f>
              <c:strCache>
                <c:ptCount val="1"/>
                <c:pt idx="0">
                  <c:v>R. Korea</c:v>
                </c:pt>
              </c:strCache>
            </c:strRef>
          </c:tx>
          <c:spPr>
            <a:ln w="28575" cap="rnd">
              <a:solidFill>
                <a:srgbClr val="7030A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'!$D$96:$S$96</c:f>
              <c:numCache>
                <c:formatCode>0%</c:formatCode>
                <c:ptCount val="16"/>
                <c:pt idx="0">
                  <c:v>0.17</c:v>
                </c:pt>
                <c:pt idx="1">
                  <c:v>0.17</c:v>
                </c:pt>
                <c:pt idx="2">
                  <c:v>0.17</c:v>
                </c:pt>
                <c:pt idx="3">
                  <c:v>0.19</c:v>
                </c:pt>
                <c:pt idx="4">
                  <c:v>0.19</c:v>
                </c:pt>
                <c:pt idx="5">
                  <c:v>0.19</c:v>
                </c:pt>
                <c:pt idx="6">
                  <c:v>0.2</c:v>
                </c:pt>
                <c:pt idx="7">
                  <c:v>0.19</c:v>
                </c:pt>
                <c:pt idx="8">
                  <c:v>0.19746896288806801</c:v>
                </c:pt>
                <c:pt idx="9">
                  <c:v>0.2</c:v>
                </c:pt>
                <c:pt idx="10">
                  <c:v>0.2</c:v>
                </c:pt>
                <c:pt idx="11">
                  <c:v>0.19</c:v>
                </c:pt>
                <c:pt idx="12">
                  <c:v>0.2</c:v>
                </c:pt>
                <c:pt idx="13">
                  <c:v>0.22</c:v>
                </c:pt>
                <c:pt idx="14">
                  <c:v>0.21613698101444301</c:v>
                </c:pt>
                <c:pt idx="15">
                  <c:v>0.213855374552055</c:v>
                </c:pt>
              </c:numCache>
            </c:numRef>
          </c:val>
          <c:smooth val="0"/>
          <c:extLst>
            <c:ext xmlns:c16="http://schemas.microsoft.com/office/drawing/2014/chart" uri="{C3380CC4-5D6E-409C-BE32-E72D297353CC}">
              <c16:uniqueId val="{00000002-0B31-46B1-86D7-2A185AE823C5}"/>
            </c:ext>
          </c:extLst>
        </c:ser>
        <c:ser>
          <c:idx val="3"/>
          <c:order val="3"/>
          <c:tx>
            <c:strRef>
              <c:f>'Ch5. PCT as filing route '!$A$97</c:f>
              <c:strCache>
                <c:ptCount val="1"/>
                <c:pt idx="0">
                  <c:v>P.R. China</c:v>
                </c:pt>
              </c:strCache>
            </c:strRef>
          </c:tx>
          <c:spPr>
            <a:ln w="28575" cap="rnd">
              <a:solidFill>
                <a:srgbClr val="FFC0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'!$D$97:$S$97</c:f>
              <c:numCache>
                <c:formatCode>0%</c:formatCode>
                <c:ptCount val="16"/>
                <c:pt idx="0">
                  <c:v>0.25</c:v>
                </c:pt>
                <c:pt idx="1">
                  <c:v>0.22</c:v>
                </c:pt>
                <c:pt idx="2">
                  <c:v>0.2</c:v>
                </c:pt>
                <c:pt idx="3">
                  <c:v>0.2</c:v>
                </c:pt>
                <c:pt idx="4">
                  <c:v>0.2</c:v>
                </c:pt>
                <c:pt idx="5">
                  <c:v>0.2</c:v>
                </c:pt>
                <c:pt idx="6">
                  <c:v>0.17</c:v>
                </c:pt>
                <c:pt idx="7">
                  <c:v>0.17</c:v>
                </c:pt>
                <c:pt idx="8">
                  <c:v>0.140256673902281</c:v>
                </c:pt>
                <c:pt idx="9">
                  <c:v>0.12</c:v>
                </c:pt>
                <c:pt idx="10">
                  <c:v>0.12</c:v>
                </c:pt>
                <c:pt idx="11">
                  <c:v>0.11</c:v>
                </c:pt>
                <c:pt idx="12">
                  <c:v>0.103181856063545</c:v>
                </c:pt>
                <c:pt idx="13">
                  <c:v>0.09</c:v>
                </c:pt>
                <c:pt idx="14">
                  <c:v>7.1526080124066402E-2</c:v>
                </c:pt>
                <c:pt idx="15">
                  <c:v>6.61624442345113E-2</c:v>
                </c:pt>
              </c:numCache>
            </c:numRef>
          </c:val>
          <c:smooth val="0"/>
          <c:extLst>
            <c:ext xmlns:c16="http://schemas.microsoft.com/office/drawing/2014/chart" uri="{C3380CC4-5D6E-409C-BE32-E72D297353CC}">
              <c16:uniqueId val="{00000003-0B31-46B1-86D7-2A185AE823C5}"/>
            </c:ext>
          </c:extLst>
        </c:ser>
        <c:ser>
          <c:idx val="4"/>
          <c:order val="4"/>
          <c:tx>
            <c:strRef>
              <c:f>'Ch5. PCT as filing route '!$A$98</c:f>
              <c:strCache>
                <c:ptCount val="1"/>
                <c:pt idx="0">
                  <c:v>U.S.</c:v>
                </c:pt>
              </c:strCache>
            </c:strRef>
          </c:tx>
          <c:spPr>
            <a:ln w="2857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'!$D$35:$S$35</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as filing route '!$D$98:$S$98</c:f>
              <c:numCache>
                <c:formatCode>0%</c:formatCode>
                <c:ptCount val="16"/>
                <c:pt idx="0">
                  <c:v>0.11</c:v>
                </c:pt>
                <c:pt idx="1">
                  <c:v>0.13</c:v>
                </c:pt>
                <c:pt idx="2">
                  <c:v>0.14000000000000001</c:v>
                </c:pt>
                <c:pt idx="3">
                  <c:v>0.16</c:v>
                </c:pt>
                <c:pt idx="4">
                  <c:v>0.17</c:v>
                </c:pt>
                <c:pt idx="5">
                  <c:v>0.18</c:v>
                </c:pt>
                <c:pt idx="6">
                  <c:v>0.19</c:v>
                </c:pt>
                <c:pt idx="7">
                  <c:v>0.19</c:v>
                </c:pt>
                <c:pt idx="8">
                  <c:v>0.20003826502607999</c:v>
                </c:pt>
                <c:pt idx="9">
                  <c:v>0.2</c:v>
                </c:pt>
                <c:pt idx="10">
                  <c:v>0.21</c:v>
                </c:pt>
                <c:pt idx="11">
                  <c:v>0.2</c:v>
                </c:pt>
                <c:pt idx="12">
                  <c:v>0.21</c:v>
                </c:pt>
                <c:pt idx="13">
                  <c:v>0.23</c:v>
                </c:pt>
                <c:pt idx="14">
                  <c:v>0.163491887262288</c:v>
                </c:pt>
                <c:pt idx="15">
                  <c:v>0.22427028125635101</c:v>
                </c:pt>
              </c:numCache>
            </c:numRef>
          </c:val>
          <c:smooth val="0"/>
          <c:extLst>
            <c:ext xmlns:c16="http://schemas.microsoft.com/office/drawing/2014/chart" uri="{C3380CC4-5D6E-409C-BE32-E72D297353CC}">
              <c16:uniqueId val="{00000004-0B31-46B1-86D7-2A185AE823C5}"/>
            </c:ext>
          </c:extLst>
        </c:ser>
        <c:dLbls>
          <c:showLegendKey val="0"/>
          <c:showVal val="0"/>
          <c:showCatName val="0"/>
          <c:showSerName val="0"/>
          <c:showPercent val="0"/>
          <c:showBubbleSize val="0"/>
        </c:dLbls>
        <c:smooth val="0"/>
        <c:axId val="1808648400"/>
        <c:axId val="1812571760"/>
      </c:lineChart>
      <c:catAx>
        <c:axId val="1808648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12571760"/>
        <c:crosses val="autoZero"/>
        <c:auto val="1"/>
        <c:lblAlgn val="ctr"/>
        <c:lblOffset val="100"/>
        <c:noMultiLvlLbl val="0"/>
      </c:catAx>
      <c:valAx>
        <c:axId val="1812571760"/>
        <c:scaling>
          <c:orientation val="minMax"/>
        </c:scaling>
        <c:delete val="1"/>
        <c:axPos val="l"/>
        <c:numFmt formatCode="0%" sourceLinked="1"/>
        <c:majorTickMark val="out"/>
        <c:minorTickMark val="none"/>
        <c:tickLblPos val="nextTo"/>
        <c:crossAx val="1808648400"/>
        <c:crosses val="autoZero"/>
        <c:crossBetween val="between"/>
      </c:valAx>
      <c:spPr>
        <a:noFill/>
        <a:ln>
          <a:noFill/>
        </a:ln>
        <a:effectLst/>
      </c:spPr>
    </c:plotArea>
    <c:plotVisOnly val="1"/>
    <c:dispBlanksAs val="gap"/>
    <c:showDLblsOverMax val="0"/>
    <c:extLst>
      <c:ext uri="{0b15fc19-7d7d-44ad-8c2d-2c3a37ce22c3}">
        <chartProps xmlns="https://web.wps.cn/et/2018/main" chartId="{f32af795-9ba4-4619-9dd3-06ff3a2fec2c}"/>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sz="1400" b="1">
                <a:solidFill>
                  <a:sysClr val="windowText" lastClr="000000"/>
                </a:solidFill>
              </a:rPr>
              <a:t>Fig.</a:t>
            </a:r>
            <a:r>
              <a:rPr lang="en-US" sz="1400" b="1" baseline="0">
                <a:solidFill>
                  <a:sysClr val="windowText" lastClr="000000"/>
                </a:solidFill>
              </a:rPr>
              <a:t> 5.6 PROPORTIONS OF PCT IN IP5 PATENT FAMILIES BY ORIGIN </a:t>
            </a:r>
            <a:r>
              <a:rPr lang="en-US" sz="1400" b="1" baseline="0">
                <a:solidFill>
                  <a:srgbClr val="0000CC"/>
                </a:solidFill>
              </a:rPr>
              <a:t>(EXTENDED DATA)</a:t>
            </a:r>
            <a:endParaRPr lang="en-US" sz="1400" b="1">
              <a:solidFill>
                <a:sysClr val="windowText" lastClr="000000"/>
              </a:solidFill>
            </a:endParaRPr>
          </a:p>
        </c:rich>
      </c:tx>
      <c:layout>
        <c:manualLayout>
          <c:xMode val="edge"/>
          <c:yMode val="edge"/>
          <c:x val="2.37655363896545E-2"/>
          <c:y val="2.94219376917494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7.15385773810408E-3"/>
          <c:y val="0.133799456956603"/>
          <c:w val="0.88785263858496499"/>
          <c:h val="0.72202498231251899"/>
        </c:manualLayout>
      </c:layout>
      <c:lineChart>
        <c:grouping val="standard"/>
        <c:varyColors val="0"/>
        <c:ser>
          <c:idx val="0"/>
          <c:order val="0"/>
          <c:tx>
            <c:strRef>
              <c:f>'Ch5. PCT as filing route '!$A$123</c:f>
              <c:strCache>
                <c:ptCount val="1"/>
                <c:pt idx="0">
                  <c:v>EPC states</c:v>
                </c:pt>
              </c:strCache>
            </c:strRef>
          </c:tx>
          <c:spPr>
            <a:ln w="28575" cap="rnd">
              <a:solidFill>
                <a:schemeClr val="accent1"/>
              </a:solidFill>
              <a:round/>
            </a:ln>
            <a:effectLst/>
          </c:spPr>
          <c:marker>
            <c:symbol val="none"/>
          </c:marker>
          <c:dLbls>
            <c:dLbl>
              <c:idx val="0"/>
              <c:layout>
                <c:manualLayout>
                  <c:x val="-2.7080405919633101E-2"/>
                  <c:y val="1.05059808605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B4-4891-9E1E-FFD552BD84CA}"/>
                </c:ext>
              </c:extLst>
            </c:dLbl>
            <c:dLbl>
              <c:idx val="1"/>
              <c:layout>
                <c:manualLayout>
                  <c:x val="-2.7080405919633101E-2"/>
                  <c:y val="-7.8794856453764106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9B4-4891-9E1E-FFD552BD84CA}"/>
                </c:ext>
              </c:extLst>
            </c:dLbl>
            <c:dLbl>
              <c:idx val="2"/>
              <c:layout>
                <c:manualLayout>
                  <c:x val="-2.8515509571971898E-2"/>
                  <c:y val="-1.8385466505878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9B4-4891-9E1E-FFD552BD84CA}"/>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B4-4891-9E1E-FFD552BD84CA}"/>
                </c:ext>
              </c:extLst>
            </c:dLbl>
            <c:dLbl>
              <c:idx val="4"/>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B4-4891-9E1E-FFD552BD84CA}"/>
                </c:ext>
              </c:extLst>
            </c:dLbl>
            <c:dLbl>
              <c:idx val="6"/>
              <c:layout>
                <c:manualLayout>
                  <c:x val="-2.7080405919633101E-2"/>
                  <c:y val="-1.05059808605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B4-4891-9E1E-FFD552BD84CA}"/>
                </c:ext>
              </c:extLst>
            </c:dLbl>
            <c:dLbl>
              <c:idx val="8"/>
              <c:layout>
                <c:manualLayout>
                  <c:x val="-2.7080405919633101E-2"/>
                  <c:y val="-1.05059808605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B4-4891-9E1E-FFD552BD84CA}"/>
                </c:ext>
              </c:extLst>
            </c:dLbl>
            <c:dLbl>
              <c:idx val="9"/>
              <c:layout>
                <c:manualLayout>
                  <c:x val="-2.8515509571971898E-2"/>
                  <c:y val="-1.575897129075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9B4-4891-9E1E-FFD552BD84CA}"/>
                </c:ext>
              </c:extLst>
            </c:dLbl>
            <c:dLbl>
              <c:idx val="10"/>
              <c:layout>
                <c:manualLayout>
                  <c:x val="-2.8515509571971898E-2"/>
                  <c:y val="-2.3638456936129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B4-4891-9E1E-FFD552BD84CA}"/>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'!$F$122:$S$122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'Ch5. PCT as filing route '!$F$123:$S$123</c:f>
              <c:numCache>
                <c:formatCode>0%</c:formatCode>
                <c:ptCount val="14"/>
                <c:pt idx="0">
                  <c:v>0.90509868421052597</c:v>
                </c:pt>
                <c:pt idx="1">
                  <c:v>0.923927664026304</c:v>
                </c:pt>
                <c:pt idx="2">
                  <c:v>0.92701141327321401</c:v>
                </c:pt>
                <c:pt idx="3">
                  <c:v>0.91365920511649201</c:v>
                </c:pt>
                <c:pt idx="4">
                  <c:v>0.91704579921140394</c:v>
                </c:pt>
                <c:pt idx="5">
                  <c:v>0.83913111915630401</c:v>
                </c:pt>
                <c:pt idx="6">
                  <c:v>0.86698376250615095</c:v>
                </c:pt>
                <c:pt idx="7">
                  <c:v>0.86710334788937404</c:v>
                </c:pt>
                <c:pt idx="8">
                  <c:v>0.86671459381739802</c:v>
                </c:pt>
                <c:pt idx="9">
                  <c:v>0.86257514329651896</c:v>
                </c:pt>
                <c:pt idx="10">
                  <c:v>0.84181710565255996</c:v>
                </c:pt>
                <c:pt idx="11">
                  <c:v>0.86</c:v>
                </c:pt>
                <c:pt idx="12">
                  <c:v>0.87193643953676303</c:v>
                </c:pt>
                <c:pt idx="13">
                  <c:v>0.66407889215274896</c:v>
                </c:pt>
              </c:numCache>
            </c:numRef>
          </c:val>
          <c:smooth val="0"/>
          <c:extLst>
            <c:ext xmlns:c16="http://schemas.microsoft.com/office/drawing/2014/chart" uri="{C3380CC4-5D6E-409C-BE32-E72D297353CC}">
              <c16:uniqueId val="{00000009-79B4-4891-9E1E-FFD552BD84CA}"/>
            </c:ext>
          </c:extLst>
        </c:ser>
        <c:ser>
          <c:idx val="1"/>
          <c:order val="1"/>
          <c:tx>
            <c:strRef>
              <c:f>'Ch5. PCT as filing route '!$A$124</c:f>
              <c:strCache>
                <c:ptCount val="1"/>
                <c:pt idx="0">
                  <c:v>Japan</c:v>
                </c:pt>
              </c:strCache>
            </c:strRef>
          </c:tx>
          <c:spPr>
            <a:ln w="28575" cap="rnd">
              <a:solidFill>
                <a:srgbClr val="FF0000"/>
              </a:solidFill>
              <a:round/>
            </a:ln>
            <a:effectLst/>
          </c:spPr>
          <c:marker>
            <c:symbol val="none"/>
          </c:marker>
          <c:dLbls>
            <c:dLbl>
              <c:idx val="10"/>
              <c:layout>
                <c:manualLayout>
                  <c:x val="-2.7080405919633E-2"/>
                  <c:y val="1.6612685640992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9B4-4891-9E1E-FFD552BD84CA}"/>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00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'!$F$122:$S$122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'Ch5. PCT as filing route '!$F$124:$S$124</c:f>
              <c:numCache>
                <c:formatCode>0%</c:formatCode>
                <c:ptCount val="14"/>
                <c:pt idx="0">
                  <c:v>0.72397533550961202</c:v>
                </c:pt>
                <c:pt idx="1">
                  <c:v>0.80061664953751299</c:v>
                </c:pt>
                <c:pt idx="2">
                  <c:v>0.83573452999527598</c:v>
                </c:pt>
                <c:pt idx="3">
                  <c:v>0.81772207563764299</c:v>
                </c:pt>
                <c:pt idx="4">
                  <c:v>0.82463585273540496</c:v>
                </c:pt>
                <c:pt idx="5">
                  <c:v>0.76014964666759</c:v>
                </c:pt>
                <c:pt idx="6">
                  <c:v>0.80945454545454498</c:v>
                </c:pt>
                <c:pt idx="7">
                  <c:v>0.775160599571734</c:v>
                </c:pt>
                <c:pt idx="8">
                  <c:v>0.79798917246713097</c:v>
                </c:pt>
                <c:pt idx="9">
                  <c:v>0.80992390615091903</c:v>
                </c:pt>
                <c:pt idx="10">
                  <c:v>0.77204518630922303</c:v>
                </c:pt>
                <c:pt idx="11">
                  <c:v>0.8</c:v>
                </c:pt>
                <c:pt idx="12">
                  <c:v>0.82916744972749501</c:v>
                </c:pt>
                <c:pt idx="13">
                  <c:v>0.62652492157546202</c:v>
                </c:pt>
              </c:numCache>
            </c:numRef>
          </c:val>
          <c:smooth val="0"/>
          <c:extLst>
            <c:ext xmlns:c16="http://schemas.microsoft.com/office/drawing/2014/chart" uri="{C3380CC4-5D6E-409C-BE32-E72D297353CC}">
              <c16:uniqueId val="{0000000B-79B4-4891-9E1E-FFD552BD84CA}"/>
            </c:ext>
          </c:extLst>
        </c:ser>
        <c:ser>
          <c:idx val="2"/>
          <c:order val="2"/>
          <c:tx>
            <c:strRef>
              <c:f>'Ch5. PCT as filing route '!$A$125</c:f>
              <c:strCache>
                <c:ptCount val="1"/>
                <c:pt idx="0">
                  <c:v>R. Korea</c:v>
                </c:pt>
              </c:strCache>
            </c:strRef>
          </c:tx>
          <c:spPr>
            <a:ln w="28575" cap="rnd">
              <a:solidFill>
                <a:srgbClr val="7030A0"/>
              </a:solidFill>
              <a:round/>
            </a:ln>
            <a:effectLst/>
          </c:spPr>
          <c:marker>
            <c:symbol val="none"/>
          </c:marker>
          <c:dLbls>
            <c:dLbl>
              <c:idx val="5"/>
              <c:layout>
                <c:manualLayout>
                  <c:x val="-2.7080405919633101E-2"/>
                  <c:y val="7.0259781057839601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9B4-4891-9E1E-FFD552BD84CA}"/>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7030A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'!$F$122:$S$122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'Ch5. PCT as filing route '!$F$125:$S$125</c:f>
              <c:numCache>
                <c:formatCode>0%</c:formatCode>
                <c:ptCount val="14"/>
                <c:pt idx="0">
                  <c:v>0.58262711864406802</c:v>
                </c:pt>
                <c:pt idx="1">
                  <c:v>0.66942551119766303</c:v>
                </c:pt>
                <c:pt idx="2">
                  <c:v>0.68544600938967104</c:v>
                </c:pt>
                <c:pt idx="3">
                  <c:v>0.66832563099893305</c:v>
                </c:pt>
                <c:pt idx="4">
                  <c:v>0.62814070351758799</c:v>
                </c:pt>
                <c:pt idx="5">
                  <c:v>0.41359223300970899</c:v>
                </c:pt>
                <c:pt idx="6">
                  <c:v>0.56873822975517896</c:v>
                </c:pt>
                <c:pt idx="7">
                  <c:v>0.61088024178315103</c:v>
                </c:pt>
                <c:pt idx="8">
                  <c:v>0.65722914307285796</c:v>
                </c:pt>
                <c:pt idx="9">
                  <c:v>0.69913344887348305</c:v>
                </c:pt>
                <c:pt idx="10">
                  <c:v>0.74959612277867504</c:v>
                </c:pt>
                <c:pt idx="11">
                  <c:v>0.77</c:v>
                </c:pt>
                <c:pt idx="12">
                  <c:v>0.76658126957016803</c:v>
                </c:pt>
                <c:pt idx="13">
                  <c:v>0.72138635142396601</c:v>
                </c:pt>
              </c:numCache>
            </c:numRef>
          </c:val>
          <c:smooth val="0"/>
          <c:extLst>
            <c:ext xmlns:c16="http://schemas.microsoft.com/office/drawing/2014/chart" uri="{C3380CC4-5D6E-409C-BE32-E72D297353CC}">
              <c16:uniqueId val="{0000000D-79B4-4891-9E1E-FFD552BD84CA}"/>
            </c:ext>
          </c:extLst>
        </c:ser>
        <c:ser>
          <c:idx val="3"/>
          <c:order val="3"/>
          <c:tx>
            <c:strRef>
              <c:f>'Ch5. PCT as filing route '!$A$126</c:f>
              <c:strCache>
                <c:ptCount val="1"/>
                <c:pt idx="0">
                  <c:v>P.R. China</c:v>
                </c:pt>
              </c:strCache>
            </c:strRef>
          </c:tx>
          <c:spPr>
            <a:ln w="28575" cap="rnd">
              <a:solidFill>
                <a:srgbClr val="FFC000"/>
              </a:solidFill>
              <a:round/>
            </a:ln>
            <a:effectLst/>
          </c:spPr>
          <c:marker>
            <c:symbol val="none"/>
          </c:marker>
          <c:dLbls>
            <c:dLbl>
              <c:idx val="1"/>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9B4-4891-9E1E-FFD552BD84CA}"/>
                </c:ext>
              </c:extLst>
            </c:dLbl>
            <c:dLbl>
              <c:idx val="2"/>
              <c:layout>
                <c:manualLayout>
                  <c:x val="-2.0701426685130898E-2"/>
                  <c:y val="1.9239180856117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9B4-4891-9E1E-FFD552BD84CA}"/>
                </c:ext>
              </c:extLst>
            </c:dLbl>
            <c:dLbl>
              <c:idx val="3"/>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9B4-4891-9E1E-FFD552BD84CA}"/>
                </c:ext>
              </c:extLst>
            </c:dLbl>
            <c:dLbl>
              <c:idx val="4"/>
              <c:layout>
                <c:manualLayout>
                  <c:x val="-2.7080405919633101E-2"/>
                  <c:y val="1.3986190425866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9B4-4891-9E1E-FFD552BD84CA}"/>
                </c:ext>
              </c:extLst>
            </c:dLbl>
            <c:dLbl>
              <c:idx val="5"/>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9B4-4891-9E1E-FFD552BD84CA}"/>
                </c:ext>
              </c:extLst>
            </c:dLbl>
            <c:dLbl>
              <c:idx val="8"/>
              <c:layout>
                <c:manualLayout>
                  <c:x val="-2.9950613224310699E-2"/>
                  <c:y val="-3.0664228231266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9B4-4891-9E1E-FFD552BD84CA}"/>
                </c:ext>
              </c:extLst>
            </c:dLbl>
            <c:dLbl>
              <c:idx val="9"/>
              <c:layout>
                <c:manualLayout>
                  <c:x val="-2.7080405919633101E-2"/>
                  <c:y val="1.398619042586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79B4-4891-9E1E-FFD552BD84CA}"/>
                </c:ext>
              </c:extLst>
            </c:dLbl>
            <c:dLbl>
              <c:idx val="10"/>
              <c:layout>
                <c:manualLayout>
                  <c:x val="-2.7080405919633E-2"/>
                  <c:y val="2.1865676071243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79B4-4891-9E1E-FFD552BD84CA}"/>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FFC000"/>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'!$F$122:$S$122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'Ch5. PCT as filing route '!$F$126:$S$126</c:f>
              <c:numCache>
                <c:formatCode>0%</c:formatCode>
                <c:ptCount val="14"/>
                <c:pt idx="0">
                  <c:v>0.82513661202185795</c:v>
                </c:pt>
                <c:pt idx="1">
                  <c:v>0.78974358974359005</c:v>
                </c:pt>
                <c:pt idx="2">
                  <c:v>0.91501416430594895</c:v>
                </c:pt>
                <c:pt idx="3">
                  <c:v>0.98009950248756195</c:v>
                </c:pt>
                <c:pt idx="4">
                  <c:v>0.89121338912133896</c:v>
                </c:pt>
                <c:pt idx="5">
                  <c:v>0.87936932916852595</c:v>
                </c:pt>
                <c:pt idx="6">
                  <c:v>0.75609756097560998</c:v>
                </c:pt>
                <c:pt idx="7">
                  <c:v>0.712927756653992</c:v>
                </c:pt>
                <c:pt idx="8">
                  <c:v>0.67571721311475397</c:v>
                </c:pt>
                <c:pt idx="9">
                  <c:v>0.84320922915574203</c:v>
                </c:pt>
                <c:pt idx="10">
                  <c:v>0.804977375565611</c:v>
                </c:pt>
                <c:pt idx="11">
                  <c:v>0.84</c:v>
                </c:pt>
                <c:pt idx="12">
                  <c:v>0.83841886269070698</c:v>
                </c:pt>
                <c:pt idx="13">
                  <c:v>0.67121212121212104</c:v>
                </c:pt>
              </c:numCache>
            </c:numRef>
          </c:val>
          <c:smooth val="0"/>
          <c:extLst>
            <c:ext xmlns:c16="http://schemas.microsoft.com/office/drawing/2014/chart" uri="{C3380CC4-5D6E-409C-BE32-E72D297353CC}">
              <c16:uniqueId val="{00000016-79B4-4891-9E1E-FFD552BD84CA}"/>
            </c:ext>
          </c:extLst>
        </c:ser>
        <c:ser>
          <c:idx val="4"/>
          <c:order val="4"/>
          <c:tx>
            <c:strRef>
              <c:f>'Ch5. PCT as filing route '!$A$127</c:f>
              <c:strCache>
                <c:ptCount val="1"/>
                <c:pt idx="0">
                  <c:v>U.S.</c:v>
                </c:pt>
              </c:strCache>
            </c:strRef>
          </c:tx>
          <c:spPr>
            <a:ln w="28575" cap="rnd">
              <a:solidFill>
                <a:srgbClr val="009900"/>
              </a:solidFill>
              <a:round/>
            </a:ln>
            <a:effectLst/>
          </c:spPr>
          <c:marker>
            <c:symbol val="none"/>
          </c:marker>
          <c:dLbls>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9B4-4891-9E1E-FFD552BD84CA}"/>
                </c:ext>
              </c:extLst>
            </c:dLbl>
            <c:dLbl>
              <c:idx val="10"/>
              <c:layout>
                <c:manualLayout>
                  <c:x val="-2.7080405919633E-2"/>
                  <c:y val="-2.711845969084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9B4-4891-9E1E-FFD552BD84CA}"/>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rgbClr val="009900"/>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'!$F$122:$S$122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'Ch5. PCT as filing route '!$F$127:$S$127</c:f>
              <c:numCache>
                <c:formatCode>0%</c:formatCode>
                <c:ptCount val="14"/>
                <c:pt idx="0">
                  <c:v>0.91616876551153603</c:v>
                </c:pt>
                <c:pt idx="1">
                  <c:v>0.94548471201706596</c:v>
                </c:pt>
                <c:pt idx="2">
                  <c:v>0.93071798667653605</c:v>
                </c:pt>
                <c:pt idx="3">
                  <c:v>0.92047172664045995</c:v>
                </c:pt>
                <c:pt idx="4">
                  <c:v>0.94011283089830799</c:v>
                </c:pt>
                <c:pt idx="5">
                  <c:v>0.77182770663562295</c:v>
                </c:pt>
                <c:pt idx="6">
                  <c:v>0.90909090909090895</c:v>
                </c:pt>
                <c:pt idx="7">
                  <c:v>0.919427036705461</c:v>
                </c:pt>
                <c:pt idx="8">
                  <c:v>0.91993817619783602</c:v>
                </c:pt>
                <c:pt idx="9">
                  <c:v>0.908472379718127</c:v>
                </c:pt>
                <c:pt idx="10">
                  <c:v>0.89466840052015595</c:v>
                </c:pt>
                <c:pt idx="11">
                  <c:v>0.84</c:v>
                </c:pt>
                <c:pt idx="12">
                  <c:v>0.90682343346472705</c:v>
                </c:pt>
                <c:pt idx="13">
                  <c:v>0.85226932668329203</c:v>
                </c:pt>
              </c:numCache>
            </c:numRef>
          </c:val>
          <c:smooth val="0"/>
          <c:extLst>
            <c:ext xmlns:c16="http://schemas.microsoft.com/office/drawing/2014/chart" uri="{C3380CC4-5D6E-409C-BE32-E72D297353CC}">
              <c16:uniqueId val="{00000019-79B4-4891-9E1E-FFD552BD84CA}"/>
            </c:ext>
          </c:extLst>
        </c:ser>
        <c:ser>
          <c:idx val="5"/>
          <c:order val="5"/>
          <c:tx>
            <c:strRef>
              <c:f>'Ch5. PCT as filing route '!$A$128</c:f>
              <c:strCache>
                <c:ptCount val="1"/>
                <c:pt idx="0">
                  <c:v>Others</c:v>
                </c:pt>
              </c:strCache>
            </c:strRef>
          </c:tx>
          <c:spPr>
            <a:ln w="28575" cap="rnd">
              <a:solidFill>
                <a:schemeClr val="accent2"/>
              </a:solidFill>
              <a:round/>
            </a:ln>
            <a:effectLst/>
          </c:spPr>
          <c:marker>
            <c:symbol val="none"/>
          </c:marker>
          <c:dLbls>
            <c:dLbl>
              <c:idx val="3"/>
              <c:layout>
                <c:manualLayout>
                  <c:x val="-2.7080405919633101E-2"/>
                  <c:y val="-3.2371450121098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9B4-4891-9E1E-FFD552BD84CA}"/>
                </c:ext>
              </c:extLst>
            </c:dLbl>
            <c:dLbl>
              <c:idx val="10"/>
              <c:layout>
                <c:manualLayout>
                  <c:x val="-2.7080405919633E-2"/>
                  <c:y val="-4.28774309815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79B4-4891-9E1E-FFD552BD84CA}"/>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accent2"/>
                    </a:solidFill>
                    <a:latin typeface="+mn-lt"/>
                    <a:ea typeface="+mn-ea"/>
                    <a:cs typeface="+mn-cs"/>
                  </a:defRPr>
                </a:pPr>
                <a:endParaRPr lang="zh-CN"/>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'!$F$122:$S$122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'Ch5. PCT as filing route '!$F$128:$R$128</c:f>
              <c:numCache>
                <c:formatCode>0%</c:formatCode>
                <c:ptCount val="13"/>
                <c:pt idx="0">
                  <c:v>0.96408839779005495</c:v>
                </c:pt>
                <c:pt idx="1">
                  <c:v>0.97122302158273399</c:v>
                </c:pt>
                <c:pt idx="2">
                  <c:v>0.97029702970297005</c:v>
                </c:pt>
                <c:pt idx="3">
                  <c:v>0.96694214876033102</c:v>
                </c:pt>
                <c:pt idx="4">
                  <c:v>0.822784810126582</c:v>
                </c:pt>
                <c:pt idx="5">
                  <c:v>0.83069427527405604</c:v>
                </c:pt>
                <c:pt idx="6">
                  <c:v>0.74751491053677899</c:v>
                </c:pt>
                <c:pt idx="7">
                  <c:v>0.86202964652223502</c:v>
                </c:pt>
                <c:pt idx="8">
                  <c:v>0.88952164009111601</c:v>
                </c:pt>
                <c:pt idx="9">
                  <c:v>0.89392265193370202</c:v>
                </c:pt>
                <c:pt idx="10">
                  <c:v>0.89885664028144197</c:v>
                </c:pt>
                <c:pt idx="11">
                  <c:v>0.89</c:v>
                </c:pt>
                <c:pt idx="12">
                  <c:v>0.82833787465940101</c:v>
                </c:pt>
              </c:numCache>
            </c:numRef>
          </c:val>
          <c:smooth val="0"/>
          <c:extLst>
            <c:ext xmlns:c16="http://schemas.microsoft.com/office/drawing/2014/chart" uri="{C3380CC4-5D6E-409C-BE32-E72D297353CC}">
              <c16:uniqueId val="{0000001C-79B4-4891-9E1E-FFD552BD84CA}"/>
            </c:ext>
          </c:extLst>
        </c:ser>
        <c:ser>
          <c:idx val="6"/>
          <c:order val="6"/>
          <c:tx>
            <c:strRef>
              <c:f>'Ch5. PCT as filing route '!$A$129</c:f>
              <c:strCache>
                <c:ptCount val="1"/>
                <c:pt idx="0">
                  <c:v>All</c:v>
                </c:pt>
              </c:strCache>
            </c:strRef>
          </c:tx>
          <c:spPr>
            <a:ln w="44450" cap="rnd">
              <a:solidFill>
                <a:schemeClr val="tx1"/>
              </a:solidFill>
              <a:prstDash val="sysDot"/>
              <a:round/>
            </a:ln>
            <a:effectLst/>
          </c:spPr>
          <c:marker>
            <c:symbol val="none"/>
          </c:marker>
          <c:dLbls>
            <c:dLbl>
              <c:idx val="0"/>
              <c:layout>
                <c:manualLayout>
                  <c:x val="-3.3617359556180101E-2"/>
                  <c:y val="-3.2371450121098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79B4-4891-9E1E-FFD552BD84CA}"/>
                </c:ext>
              </c:extLst>
            </c:dLbl>
            <c:dLbl>
              <c:idx val="1"/>
              <c:layout>
                <c:manualLayout>
                  <c:x val="-3.3617359556180101E-2"/>
                  <c:y val="-2.1865469260596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79B4-4891-9E1E-FFD552BD84CA}"/>
                </c:ext>
              </c:extLst>
            </c:dLbl>
            <c:dLbl>
              <c:idx val="2"/>
              <c:layout>
                <c:manualLayout>
                  <c:x val="-3.3617359556180101E-2"/>
                  <c:y val="2.1865676071243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79B4-4891-9E1E-FFD552BD84CA}"/>
                </c:ext>
              </c:extLst>
            </c:dLbl>
            <c:dLbl>
              <c:idx val="3"/>
              <c:layout>
                <c:manualLayout>
                  <c:x val="-2.9312048599163702E-2"/>
                  <c:y val="2.1865676071243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79B4-4891-9E1E-FFD552BD84CA}"/>
                </c:ext>
              </c:extLst>
            </c:dLbl>
            <c:dLbl>
              <c:idx val="6"/>
              <c:layout>
                <c:manualLayout>
                  <c:x val="-2.7080405919633101E-2"/>
                  <c:y val="2.97451617166193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79B4-4891-9E1E-FFD552BD84CA}"/>
                </c:ext>
              </c:extLst>
            </c:dLbl>
            <c:dLbl>
              <c:idx val="7"/>
              <c:layout>
                <c:manualLayout>
                  <c:x val="-2.7080405919633101E-2"/>
                  <c:y val="2.1865676071242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79B4-4891-9E1E-FFD552BD84CA}"/>
                </c:ext>
              </c:extLst>
            </c:dLbl>
            <c:dLbl>
              <c:idx val="8"/>
              <c:layout>
                <c:manualLayout>
                  <c:x val="-2.7080405919633101E-2"/>
                  <c:y val="2.97451617166193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79B4-4891-9E1E-FFD552BD84CA}"/>
                </c:ext>
              </c:extLst>
            </c:dLbl>
            <c:dLbl>
              <c:idx val="9"/>
              <c:layout>
                <c:manualLayout>
                  <c:x val="-2.7080405919633101E-2"/>
                  <c:y val="4.55041330073722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79B4-4891-9E1E-FFD552BD84CA}"/>
                </c:ext>
              </c:extLst>
            </c:dLbl>
            <c:dLbl>
              <c:idx val="10"/>
              <c:layout>
                <c:manualLayout>
                  <c:x val="-2.8515509571971898E-2"/>
                  <c:y val="2.1865676071243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79B4-4891-9E1E-FFD552BD84CA}"/>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tx1">
                        <a:lumMod val="75000"/>
                        <a:lumOff val="25000"/>
                      </a:schemeClr>
                    </a:solidFill>
                    <a:latin typeface="+mn-lt"/>
                    <a:ea typeface="+mn-ea"/>
                    <a:cs typeface="+mn-cs"/>
                  </a:defRPr>
                </a:pPr>
                <a:endParaRPr lang="zh-CN"/>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as filing route '!$F$122:$S$122</c:f>
              <c:numCache>
                <c:formatCode>General</c:formatCode>
                <c:ptCount val="14"/>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numCache>
            </c:numRef>
          </c:cat>
          <c:val>
            <c:numRef>
              <c:f>'Ch5. PCT as filing route '!$F$129:$R$129</c:f>
              <c:numCache>
                <c:formatCode>0%</c:formatCode>
                <c:ptCount val="13"/>
                <c:pt idx="0">
                  <c:v>0.82929585422699303</c:v>
                </c:pt>
                <c:pt idx="1">
                  <c:v>0.88250591804754397</c:v>
                </c:pt>
                <c:pt idx="2">
                  <c:v>0.88792178736706595</c:v>
                </c:pt>
                <c:pt idx="3">
                  <c:v>0.87142337536372405</c:v>
                </c:pt>
                <c:pt idx="4">
                  <c:v>0.873079531715373</c:v>
                </c:pt>
                <c:pt idx="5">
                  <c:v>0.79481532750267403</c:v>
                </c:pt>
                <c:pt idx="6">
                  <c:v>0.843386682772158</c:v>
                </c:pt>
                <c:pt idx="7">
                  <c:v>0.84122955442752401</c:v>
                </c:pt>
                <c:pt idx="8">
                  <c:v>0.84588083796601699</c:v>
                </c:pt>
                <c:pt idx="9">
                  <c:v>0.85478034535297098</c:v>
                </c:pt>
                <c:pt idx="10">
                  <c:v>0.84104459073407001</c:v>
                </c:pt>
                <c:pt idx="11">
                  <c:v>0.85</c:v>
                </c:pt>
                <c:pt idx="12">
                  <c:v>0.86538516547956201</c:v>
                </c:pt>
              </c:numCache>
            </c:numRef>
          </c:val>
          <c:smooth val="0"/>
          <c:extLst>
            <c:ext xmlns:c16="http://schemas.microsoft.com/office/drawing/2014/chart" uri="{C3380CC4-5D6E-409C-BE32-E72D297353CC}">
              <c16:uniqueId val="{00000026-79B4-4891-9E1E-FFD552BD84CA}"/>
            </c:ext>
          </c:extLst>
        </c:ser>
        <c:dLbls>
          <c:showLegendKey val="0"/>
          <c:showVal val="0"/>
          <c:showCatName val="0"/>
          <c:showSerName val="0"/>
          <c:showPercent val="0"/>
          <c:showBubbleSize val="0"/>
        </c:dLbls>
        <c:smooth val="0"/>
        <c:axId val="1812575568"/>
        <c:axId val="1812572848"/>
      </c:lineChart>
      <c:catAx>
        <c:axId val="181257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12572848"/>
        <c:crosses val="autoZero"/>
        <c:auto val="1"/>
        <c:lblAlgn val="ctr"/>
        <c:lblOffset val="100"/>
        <c:noMultiLvlLbl val="0"/>
      </c:catAx>
      <c:valAx>
        <c:axId val="1812572848"/>
        <c:scaling>
          <c:orientation val="minMax"/>
          <c:max val="1"/>
          <c:min val="0.4"/>
        </c:scaling>
        <c:delete val="1"/>
        <c:axPos val="l"/>
        <c:numFmt formatCode="0%" sourceLinked="1"/>
        <c:majorTickMark val="out"/>
        <c:minorTickMark val="none"/>
        <c:tickLblPos val="nextTo"/>
        <c:crossAx val="1812575568"/>
        <c:crosses val="autoZero"/>
        <c:crossBetween val="between"/>
      </c:valAx>
      <c:spPr>
        <a:noFill/>
        <a:ln>
          <a:noFill/>
        </a:ln>
        <a:effectLst/>
      </c:spPr>
    </c:plotArea>
    <c:plotVisOnly val="1"/>
    <c:dispBlanksAs val="gap"/>
    <c:showDLblsOverMax val="0"/>
    <c:extLst>
      <c:ext uri="{0b15fc19-7d7d-44ad-8c2d-2c3a37ce22c3}">
        <chartProps xmlns="https://web.wps.cn/et/2018/main" chartId="{f5ee943e-5df2-41ff-a586-fe3b5448a507}"/>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5.</a:t>
            </a:r>
            <a:r>
              <a:rPr lang="en-US" sz="1400" b="1" i="0" u="none" strike="noStrike" baseline="0">
                <a:solidFill>
                  <a:sysClr val="windowText" lastClr="000000"/>
                </a:solidFill>
                <a:effectLst/>
              </a:rPr>
              <a:t>9</a:t>
            </a:r>
            <a:r>
              <a:rPr lang="en-US" sz="1400" b="1" i="0" u="none" strike="noStrike" baseline="0">
                <a:effectLst/>
              </a:rPr>
              <a:t>: PCT ACTIVITY - INTERNATIONAL PRELIMINARY EXAMINATION AUTHORITIES</a:t>
            </a:r>
            <a:r>
              <a:rPr lang="en-US" b="1" baseline="0">
                <a:solidFill>
                  <a:sysClr val="windowText" lastClr="000000"/>
                </a:solidFill>
              </a:rPr>
              <a:t> </a:t>
            </a:r>
            <a:r>
              <a:rPr lang="en-US" b="1" baseline="0">
                <a:solidFill>
                  <a:srgbClr val="0000CC"/>
                </a:solidFill>
              </a:rPr>
              <a:t>(EXTENDED DATA)</a:t>
            </a:r>
            <a:endParaRPr lang="en-US" b="1">
              <a:solidFill>
                <a:sysClr val="windowText" lastClr="000000"/>
              </a:solidFill>
            </a:endParaRPr>
          </a:p>
        </c:rich>
      </c:tx>
      <c:layout>
        <c:manualLayout>
          <c:xMode val="edge"/>
          <c:yMode val="edge"/>
          <c:x val="1.5270628785391101E-2"/>
          <c:y val="2.9253654518675499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3.9684515801712998E-2"/>
          <c:y val="1.51856114328841E-2"/>
          <c:w val="0.88103510627030202"/>
          <c:h val="0.88497442576693797"/>
        </c:manualLayout>
      </c:layout>
      <c:barChart>
        <c:barDir val="col"/>
        <c:grouping val="stacked"/>
        <c:varyColors val="0"/>
        <c:ser>
          <c:idx val="5"/>
          <c:order val="0"/>
          <c:tx>
            <c:strRef>
              <c:f>'Ch5. PCT authorities'!$A$34</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authorities'!$O$28:$AD$28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authorities'!$O$34:$AD$34</c:f>
              <c:numCache>
                <c:formatCode>#,##0_);[Red]\(#,##0\)</c:formatCode>
                <c:ptCount val="16"/>
                <c:pt idx="0">
                  <c:v>1993</c:v>
                </c:pt>
                <c:pt idx="1">
                  <c:v>1775</c:v>
                </c:pt>
                <c:pt idx="2">
                  <c:v>1816</c:v>
                </c:pt>
                <c:pt idx="3">
                  <c:v>1746</c:v>
                </c:pt>
                <c:pt idx="4">
                  <c:v>1505</c:v>
                </c:pt>
                <c:pt idx="5">
                  <c:v>1600</c:v>
                </c:pt>
                <c:pt idx="6">
                  <c:v>1590</c:v>
                </c:pt>
                <c:pt idx="7">
                  <c:v>1396</c:v>
                </c:pt>
                <c:pt idx="8">
                  <c:v>1441</c:v>
                </c:pt>
                <c:pt idx="9">
                  <c:v>1342</c:v>
                </c:pt>
                <c:pt idx="10">
                  <c:v>1311</c:v>
                </c:pt>
                <c:pt idx="11">
                  <c:v>1334</c:v>
                </c:pt>
                <c:pt idx="12">
                  <c:v>1331</c:v>
                </c:pt>
                <c:pt idx="13" formatCode="#,##0">
                  <c:v>1136</c:v>
                </c:pt>
                <c:pt idx="14" formatCode="#,##0_ ">
                  <c:v>1046</c:v>
                </c:pt>
                <c:pt idx="15" formatCode="#,##0_ ">
                  <c:v>917</c:v>
                </c:pt>
              </c:numCache>
            </c:numRef>
          </c:val>
          <c:extLst>
            <c:ext xmlns:c16="http://schemas.microsoft.com/office/drawing/2014/chart" uri="{C3380CC4-5D6E-409C-BE32-E72D297353CC}">
              <c16:uniqueId val="{00000000-BA74-46B9-98E2-EE338F59AB8B}"/>
            </c:ext>
          </c:extLst>
        </c:ser>
        <c:ser>
          <c:idx val="4"/>
          <c:order val="1"/>
          <c:tx>
            <c:strRef>
              <c:f>'Ch5. PCT authorities'!$A$33</c:f>
              <c:strCache>
                <c:ptCount val="1"/>
                <c:pt idx="0">
                  <c:v>USPTO</c:v>
                </c:pt>
              </c:strCache>
            </c:strRef>
          </c:tx>
          <c:spPr>
            <a:solidFill>
              <a:srgbClr val="77933C"/>
            </a:solidFill>
            <a:ln>
              <a:noFill/>
            </a:ln>
            <a:effectLst/>
          </c:spPr>
          <c:invertIfNegative val="0"/>
          <c:dLbls>
            <c:dLbl>
              <c:idx val="15"/>
              <c:layout>
                <c:manualLayout>
                  <c:x val="-7.7313898445588003E-4"/>
                  <c:y val="4.76140398432035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74-46B9-98E2-EE338F59AB8B}"/>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authorities'!$O$28:$AD$28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authorities'!$O$33:$AD$33</c:f>
              <c:numCache>
                <c:formatCode>#,##0_);[Red]\(#,##0\)</c:formatCode>
                <c:ptCount val="16"/>
                <c:pt idx="0">
                  <c:v>1875</c:v>
                </c:pt>
                <c:pt idx="1">
                  <c:v>1460</c:v>
                </c:pt>
                <c:pt idx="2">
                  <c:v>1440</c:v>
                </c:pt>
                <c:pt idx="3">
                  <c:v>1305</c:v>
                </c:pt>
                <c:pt idx="4">
                  <c:v>1146</c:v>
                </c:pt>
                <c:pt idx="5">
                  <c:v>1269</c:v>
                </c:pt>
                <c:pt idx="6">
                  <c:v>1480</c:v>
                </c:pt>
                <c:pt idx="7">
                  <c:v>1167</c:v>
                </c:pt>
                <c:pt idx="8">
                  <c:v>1090</c:v>
                </c:pt>
                <c:pt idx="9">
                  <c:v>998</c:v>
                </c:pt>
                <c:pt idx="10">
                  <c:v>994</c:v>
                </c:pt>
                <c:pt idx="11">
                  <c:v>864</c:v>
                </c:pt>
                <c:pt idx="12" formatCode="#,##0">
                  <c:v>878</c:v>
                </c:pt>
                <c:pt idx="13" formatCode="#,##0">
                  <c:v>779</c:v>
                </c:pt>
                <c:pt idx="14" formatCode="#,##0_ ">
                  <c:v>726</c:v>
                </c:pt>
                <c:pt idx="15" formatCode="#,##0_ ">
                  <c:v>681</c:v>
                </c:pt>
              </c:numCache>
            </c:numRef>
          </c:val>
          <c:extLst>
            <c:ext xmlns:c16="http://schemas.microsoft.com/office/drawing/2014/chart" uri="{C3380CC4-5D6E-409C-BE32-E72D297353CC}">
              <c16:uniqueId val="{00000002-BA74-46B9-98E2-EE338F59AB8B}"/>
            </c:ext>
          </c:extLst>
        </c:ser>
        <c:ser>
          <c:idx val="3"/>
          <c:order val="2"/>
          <c:tx>
            <c:strRef>
              <c:f>'Ch5. PCT authorities'!$A$32</c:f>
              <c:strCache>
                <c:ptCount val="1"/>
                <c:pt idx="0">
                  <c:v>CNIPA</c:v>
                </c:pt>
              </c:strCache>
            </c:strRef>
          </c:tx>
          <c:spPr>
            <a:solidFill>
              <a:srgbClr val="FFC000"/>
            </a:solidFill>
            <a:ln>
              <a:noFill/>
            </a:ln>
            <a:effectLst/>
          </c:spPr>
          <c:invertIfNegative val="0"/>
          <c:dLbls>
            <c:dLbl>
              <c:idx val="15"/>
              <c:layout>
                <c:manualLayout>
                  <c:x val="0"/>
                  <c:y val="2.380701992160009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74-46B9-98E2-EE338F59AB8B}"/>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authorities'!$O$28:$AD$28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authorities'!$O$32:$AD$32</c:f>
              <c:numCache>
                <c:formatCode>#,##0_);[Red]\(#,##0\)</c:formatCode>
                <c:ptCount val="16"/>
                <c:pt idx="0">
                  <c:v>303</c:v>
                </c:pt>
                <c:pt idx="1">
                  <c:v>362</c:v>
                </c:pt>
                <c:pt idx="2">
                  <c:v>421</c:v>
                </c:pt>
                <c:pt idx="3">
                  <c:v>476</c:v>
                </c:pt>
                <c:pt idx="4">
                  <c:v>384</c:v>
                </c:pt>
                <c:pt idx="5">
                  <c:v>375</c:v>
                </c:pt>
                <c:pt idx="6">
                  <c:v>387</c:v>
                </c:pt>
                <c:pt idx="7">
                  <c:v>339</c:v>
                </c:pt>
                <c:pt idx="8">
                  <c:v>376</c:v>
                </c:pt>
                <c:pt idx="9">
                  <c:v>417</c:v>
                </c:pt>
                <c:pt idx="10">
                  <c:v>438</c:v>
                </c:pt>
                <c:pt idx="11">
                  <c:v>370</c:v>
                </c:pt>
                <c:pt idx="12" formatCode="#,##0">
                  <c:v>368</c:v>
                </c:pt>
                <c:pt idx="13" formatCode="#,##0">
                  <c:v>293</c:v>
                </c:pt>
                <c:pt idx="14" formatCode="#,##0_ ">
                  <c:v>234</c:v>
                </c:pt>
                <c:pt idx="15" formatCode="#,##0_ ">
                  <c:v>200</c:v>
                </c:pt>
              </c:numCache>
            </c:numRef>
          </c:val>
          <c:extLst>
            <c:ext xmlns:c16="http://schemas.microsoft.com/office/drawing/2014/chart" uri="{C3380CC4-5D6E-409C-BE32-E72D297353CC}">
              <c16:uniqueId val="{00000004-BA74-46B9-98E2-EE338F59AB8B}"/>
            </c:ext>
          </c:extLst>
        </c:ser>
        <c:ser>
          <c:idx val="2"/>
          <c:order val="3"/>
          <c:tx>
            <c:strRef>
              <c:f>'Ch5. PCT authorities'!$A$31</c:f>
              <c:strCache>
                <c:ptCount val="1"/>
                <c:pt idx="0">
                  <c:v>MOIP</c:v>
                </c:pt>
              </c:strCache>
            </c:strRef>
          </c:tx>
          <c:spPr>
            <a:solidFill>
              <a:srgbClr val="604A7B"/>
            </a:solidFill>
            <a:ln>
              <a:noFill/>
            </a:ln>
            <a:effectLst/>
          </c:spPr>
          <c:invertIfNegative val="0"/>
          <c:dLbls>
            <c:dLbl>
              <c:idx val="15"/>
              <c:layout>
                <c:manualLayout>
                  <c:x val="0"/>
                  <c:y val="-7.1421059764805398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74-46B9-98E2-EE338F59AB8B}"/>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authorities'!$O$28:$AD$28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authorities'!$O$31:$AD$31</c:f>
              <c:numCache>
                <c:formatCode>#,##0_);[Red]\(#,##0\)</c:formatCode>
                <c:ptCount val="16"/>
                <c:pt idx="0">
                  <c:v>340</c:v>
                </c:pt>
                <c:pt idx="1">
                  <c:v>271</c:v>
                </c:pt>
                <c:pt idx="2">
                  <c:v>223</c:v>
                </c:pt>
                <c:pt idx="3">
                  <c:v>299</c:v>
                </c:pt>
                <c:pt idx="4">
                  <c:v>253</c:v>
                </c:pt>
                <c:pt idx="5">
                  <c:v>234</c:v>
                </c:pt>
                <c:pt idx="6">
                  <c:v>207</c:v>
                </c:pt>
                <c:pt idx="7">
                  <c:v>178</c:v>
                </c:pt>
                <c:pt idx="8">
                  <c:v>160</c:v>
                </c:pt>
                <c:pt idx="9">
                  <c:v>125</c:v>
                </c:pt>
                <c:pt idx="10">
                  <c:v>128</c:v>
                </c:pt>
                <c:pt idx="11">
                  <c:v>109</c:v>
                </c:pt>
                <c:pt idx="12" formatCode="#,##0">
                  <c:v>124</c:v>
                </c:pt>
                <c:pt idx="13" formatCode="#,##0">
                  <c:v>121</c:v>
                </c:pt>
                <c:pt idx="14" formatCode="#,##0_ ">
                  <c:v>103</c:v>
                </c:pt>
                <c:pt idx="15" formatCode="#,##0_ ">
                  <c:v>106</c:v>
                </c:pt>
              </c:numCache>
            </c:numRef>
          </c:val>
          <c:extLst>
            <c:ext xmlns:c16="http://schemas.microsoft.com/office/drawing/2014/chart" uri="{C3380CC4-5D6E-409C-BE32-E72D297353CC}">
              <c16:uniqueId val="{00000006-BA74-46B9-98E2-EE338F59AB8B}"/>
            </c:ext>
          </c:extLst>
        </c:ser>
        <c:ser>
          <c:idx val="1"/>
          <c:order val="4"/>
          <c:tx>
            <c:strRef>
              <c:f>'Ch5. PCT authorities'!$A$30</c:f>
              <c:strCache>
                <c:ptCount val="1"/>
                <c:pt idx="0">
                  <c:v>JPO</c:v>
                </c:pt>
              </c:strCache>
            </c:strRef>
          </c:tx>
          <c:spPr>
            <a:solidFill>
              <a:srgbClr val="C0504D"/>
            </a:solidFill>
            <a:ln>
              <a:noFill/>
            </a:ln>
            <a:effectLst/>
          </c:spPr>
          <c:invertIfNegative val="0"/>
          <c:dLbls>
            <c:dLbl>
              <c:idx val="15"/>
              <c:layout>
                <c:manualLayout>
                  <c:x val="-1.1339240780140799E-16"/>
                  <c:y val="-7.1421059764806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74-46B9-98E2-EE338F59AB8B}"/>
                </c:ext>
              </c:extLst>
            </c:dLbl>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authorities'!$O$28:$AD$28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authorities'!$O$30:$AD$30</c:f>
              <c:numCache>
                <c:formatCode>#,##0_);[Red]\(#,##0\)</c:formatCode>
                <c:ptCount val="16"/>
                <c:pt idx="0">
                  <c:v>2152</c:v>
                </c:pt>
                <c:pt idx="1">
                  <c:v>2121</c:v>
                </c:pt>
                <c:pt idx="2">
                  <c:v>2446</c:v>
                </c:pt>
                <c:pt idx="3">
                  <c:v>2661</c:v>
                </c:pt>
                <c:pt idx="4">
                  <c:v>2291</c:v>
                </c:pt>
                <c:pt idx="5">
                  <c:v>2250</c:v>
                </c:pt>
                <c:pt idx="6">
                  <c:v>2119</c:v>
                </c:pt>
                <c:pt idx="7">
                  <c:v>2002</c:v>
                </c:pt>
                <c:pt idx="8">
                  <c:v>2019</c:v>
                </c:pt>
                <c:pt idx="9">
                  <c:v>1963</c:v>
                </c:pt>
                <c:pt idx="10">
                  <c:v>1749</c:v>
                </c:pt>
                <c:pt idx="11">
                  <c:v>1458</c:v>
                </c:pt>
                <c:pt idx="12" formatCode="#,##0">
                  <c:v>1381</c:v>
                </c:pt>
                <c:pt idx="13" formatCode="#,##0">
                  <c:v>1156</c:v>
                </c:pt>
                <c:pt idx="14" formatCode="#,##0_ ">
                  <c:v>1199</c:v>
                </c:pt>
                <c:pt idx="15" formatCode="#,##0_ ">
                  <c:v>1129</c:v>
                </c:pt>
              </c:numCache>
            </c:numRef>
          </c:val>
          <c:extLst>
            <c:ext xmlns:c16="http://schemas.microsoft.com/office/drawing/2014/chart" uri="{C3380CC4-5D6E-409C-BE32-E72D297353CC}">
              <c16:uniqueId val="{00000008-BA74-46B9-98E2-EE338F59AB8B}"/>
            </c:ext>
          </c:extLst>
        </c:ser>
        <c:ser>
          <c:idx val="0"/>
          <c:order val="5"/>
          <c:tx>
            <c:strRef>
              <c:f>'Ch5. PCT authorities'!$A$29</c:f>
              <c:strCache>
                <c:ptCount val="1"/>
                <c:pt idx="0">
                  <c:v>EPO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authorities'!$O$28:$AD$28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authorities'!$O$29:$AD$29</c:f>
              <c:numCache>
                <c:formatCode>#,##0_);[Red]\(#,##0\)</c:formatCode>
                <c:ptCount val="16"/>
                <c:pt idx="0">
                  <c:v>8592</c:v>
                </c:pt>
                <c:pt idx="1">
                  <c:v>7918</c:v>
                </c:pt>
                <c:pt idx="2">
                  <c:v>7393</c:v>
                </c:pt>
                <c:pt idx="3">
                  <c:v>7764</c:v>
                </c:pt>
                <c:pt idx="4">
                  <c:v>7750</c:v>
                </c:pt>
                <c:pt idx="5">
                  <c:v>8336</c:v>
                </c:pt>
                <c:pt idx="6">
                  <c:v>8673</c:v>
                </c:pt>
                <c:pt idx="7">
                  <c:v>8933</c:v>
                </c:pt>
                <c:pt idx="8">
                  <c:v>7950</c:v>
                </c:pt>
                <c:pt idx="9">
                  <c:v>7024</c:v>
                </c:pt>
                <c:pt idx="10">
                  <c:v>5733</c:v>
                </c:pt>
                <c:pt idx="11">
                  <c:v>5303</c:v>
                </c:pt>
                <c:pt idx="12" formatCode="#,##0">
                  <c:v>5173</c:v>
                </c:pt>
                <c:pt idx="13" formatCode="#,##0">
                  <c:v>5035</c:v>
                </c:pt>
                <c:pt idx="14" formatCode="#,##0_ ">
                  <c:v>4904</c:v>
                </c:pt>
                <c:pt idx="15" formatCode="#,##0_ ">
                  <c:v>4618</c:v>
                </c:pt>
              </c:numCache>
            </c:numRef>
          </c:val>
          <c:extLst>
            <c:ext xmlns:c16="http://schemas.microsoft.com/office/drawing/2014/chart" uri="{C3380CC4-5D6E-409C-BE32-E72D297353CC}">
              <c16:uniqueId val="{00000009-BA74-46B9-98E2-EE338F59AB8B}"/>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authorities'!$O$28:$AD$28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authorities'!$O$35:$AD$35</c:f>
              <c:numCache>
                <c:formatCode>#,##0</c:formatCode>
                <c:ptCount val="16"/>
                <c:pt idx="0">
                  <c:v>15255</c:v>
                </c:pt>
                <c:pt idx="1">
                  <c:v>13907</c:v>
                </c:pt>
                <c:pt idx="2">
                  <c:v>13739</c:v>
                </c:pt>
                <c:pt idx="3">
                  <c:v>14251</c:v>
                </c:pt>
                <c:pt idx="4">
                  <c:v>13329</c:v>
                </c:pt>
                <c:pt idx="5">
                  <c:v>14064</c:v>
                </c:pt>
                <c:pt idx="6">
                  <c:v>14456</c:v>
                </c:pt>
                <c:pt idx="7">
                  <c:v>14015</c:v>
                </c:pt>
                <c:pt idx="8">
                  <c:v>13036</c:v>
                </c:pt>
                <c:pt idx="9">
                  <c:v>11869</c:v>
                </c:pt>
                <c:pt idx="10">
                  <c:v>10353</c:v>
                </c:pt>
                <c:pt idx="11">
                  <c:v>9438</c:v>
                </c:pt>
                <c:pt idx="12">
                  <c:v>9255</c:v>
                </c:pt>
                <c:pt idx="13">
                  <c:v>8520</c:v>
                </c:pt>
                <c:pt idx="14">
                  <c:v>8212</c:v>
                </c:pt>
                <c:pt idx="15">
                  <c:v>7651</c:v>
                </c:pt>
              </c:numCache>
            </c:numRef>
          </c:val>
          <c:extLst>
            <c:ext xmlns:c16="http://schemas.microsoft.com/office/drawing/2014/chart" uri="{C3380CC4-5D6E-409C-BE32-E72D297353CC}">
              <c16:uniqueId val="{0000000A-BA74-46B9-98E2-EE338F59AB8B}"/>
            </c:ext>
          </c:extLst>
        </c:ser>
        <c:dLbls>
          <c:showLegendKey val="0"/>
          <c:showVal val="0"/>
          <c:showCatName val="0"/>
          <c:showSerName val="0"/>
          <c:showPercent val="0"/>
          <c:showBubbleSize val="0"/>
        </c:dLbls>
        <c:gapWidth val="30"/>
        <c:overlap val="100"/>
        <c:axId val="1812579376"/>
        <c:axId val="1812586992"/>
      </c:barChart>
      <c:catAx>
        <c:axId val="1812579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12586992"/>
        <c:crosses val="autoZero"/>
        <c:auto val="1"/>
        <c:lblAlgn val="ctr"/>
        <c:lblOffset val="100"/>
        <c:noMultiLvlLbl val="0"/>
      </c:catAx>
      <c:valAx>
        <c:axId val="1812586992"/>
        <c:scaling>
          <c:orientation val="minMax"/>
          <c:max val="20000"/>
          <c:min val="0"/>
        </c:scaling>
        <c:delete val="1"/>
        <c:axPos val="l"/>
        <c:numFmt formatCode="#,##0_);[Red]\(#,##0\)" sourceLinked="1"/>
        <c:majorTickMark val="out"/>
        <c:minorTickMark val="none"/>
        <c:tickLblPos val="nextTo"/>
        <c:crossAx val="1812579376"/>
        <c:crosses val="autoZero"/>
        <c:crossBetween val="between"/>
      </c:valAx>
      <c:spPr>
        <a:noFill/>
        <a:ln>
          <a:noFill/>
        </a:ln>
        <a:effectLst/>
      </c:spPr>
    </c:plotArea>
    <c:legend>
      <c:legendPos val="r"/>
      <c:legendEntry>
        <c:idx val="0"/>
        <c:delete val="1"/>
      </c:legendEntry>
      <c:layout>
        <c:manualLayout>
          <c:xMode val="edge"/>
          <c:yMode val="edge"/>
          <c:x val="0.93965668011564896"/>
          <c:y val="0.15210762118013499"/>
          <c:w val="4.5353586207577699E-2"/>
          <c:h val="0.69956265545963803"/>
        </c:manualLayout>
      </c:layout>
      <c:overlay val="0"/>
      <c:spPr>
        <a:noFill/>
        <a:ln>
          <a:noFill/>
        </a:ln>
        <a:effectLst/>
      </c:spPr>
      <c:txPr>
        <a:bodyPr rot="0" spcFirstLastPara="1" vertOverflow="ellipsis" vert="horz" wrap="square" anchor="ctr" anchorCtr="1"/>
        <a:lstStyle/>
        <a:p>
          <a:pPr>
            <a:defRPr lang="ja-JP" sz="12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f8ac4f47-b85b-492e-9a5d-4ef76573c65b}"/>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5.7: PCT ACTIVITY - RECEIVING OFFICES </a:t>
            </a:r>
            <a:r>
              <a:rPr lang="en-US" b="1" baseline="0">
                <a:solidFill>
                  <a:srgbClr val="0000CC"/>
                </a:solidFill>
              </a:rPr>
              <a:t>(EXTENDED DATA)</a:t>
            </a:r>
            <a:endParaRPr lang="en-US" b="1">
              <a:solidFill>
                <a:sysClr val="windowText" lastClr="000000"/>
              </a:solidFill>
            </a:endParaRPr>
          </a:p>
        </c:rich>
      </c:tx>
      <c:layout>
        <c:manualLayout>
          <c:xMode val="edge"/>
          <c:yMode val="edge"/>
          <c:x val="1.5270628785391101E-2"/>
          <c:y val="2.9253654518675499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07204876973053E-2"/>
          <c:y val="3.6662035881754799E-3"/>
          <c:w val="0.90333020947625497"/>
          <c:h val="0.88497442576693797"/>
        </c:manualLayout>
      </c:layout>
      <c:barChart>
        <c:barDir val="col"/>
        <c:grouping val="stacked"/>
        <c:varyColors val="0"/>
        <c:ser>
          <c:idx val="5"/>
          <c:order val="0"/>
          <c:tx>
            <c:strRef>
              <c:f>'Ch5. PCT authorities'!$A$13</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authorities'!$O$7:$AD$7</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authorities'!$O$13:$AD$13</c:f>
              <c:numCache>
                <c:formatCode>#,##0</c:formatCode>
                <c:ptCount val="16"/>
                <c:pt idx="0">
                  <c:v>39674</c:v>
                </c:pt>
                <c:pt idx="1">
                  <c:v>36671</c:v>
                </c:pt>
                <c:pt idx="2">
                  <c:v>36133</c:v>
                </c:pt>
                <c:pt idx="3">
                  <c:v>36322</c:v>
                </c:pt>
                <c:pt idx="4">
                  <c:v>36315</c:v>
                </c:pt>
                <c:pt idx="5">
                  <c:v>37125</c:v>
                </c:pt>
                <c:pt idx="6">
                  <c:v>37897</c:v>
                </c:pt>
                <c:pt idx="7">
                  <c:v>36551</c:v>
                </c:pt>
                <c:pt idx="8">
                  <c:v>36599</c:v>
                </c:pt>
                <c:pt idx="9">
                  <c:v>36599</c:v>
                </c:pt>
                <c:pt idx="10">
                  <c:v>39618</c:v>
                </c:pt>
                <c:pt idx="11">
                  <c:v>38785</c:v>
                </c:pt>
                <c:pt idx="12">
                  <c:v>39326</c:v>
                </c:pt>
                <c:pt idx="13">
                  <c:v>38383</c:v>
                </c:pt>
                <c:pt idx="14" formatCode="#,##0_ ">
                  <c:v>37508</c:v>
                </c:pt>
                <c:pt idx="15" formatCode="#,##0_ ">
                  <c:v>38181</c:v>
                </c:pt>
              </c:numCache>
            </c:numRef>
          </c:val>
          <c:extLst>
            <c:ext xmlns:c16="http://schemas.microsoft.com/office/drawing/2014/chart" uri="{C3380CC4-5D6E-409C-BE32-E72D297353CC}">
              <c16:uniqueId val="{00000000-F51D-460A-9D85-CAB5B673BA51}"/>
            </c:ext>
          </c:extLst>
        </c:ser>
        <c:ser>
          <c:idx val="4"/>
          <c:order val="1"/>
          <c:tx>
            <c:strRef>
              <c:f>'Ch5. PCT authorities'!$A$12</c:f>
              <c:strCache>
                <c:ptCount val="1"/>
                <c:pt idx="0">
                  <c:v>USPTO</c:v>
                </c:pt>
              </c:strCache>
            </c:strRef>
          </c:tx>
          <c:spPr>
            <a:solidFill>
              <a:srgbClr val="77933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authorities'!$O$7:$AD$7</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authorities'!$O$12:$AD$12</c:f>
              <c:numCache>
                <c:formatCode>#,##0</c:formatCode>
                <c:ptCount val="16"/>
                <c:pt idx="0">
                  <c:v>46055</c:v>
                </c:pt>
                <c:pt idx="1">
                  <c:v>45228</c:v>
                </c:pt>
                <c:pt idx="2">
                  <c:v>49366</c:v>
                </c:pt>
                <c:pt idx="3">
                  <c:v>52009</c:v>
                </c:pt>
                <c:pt idx="4">
                  <c:v>57678</c:v>
                </c:pt>
                <c:pt idx="5">
                  <c:v>61963</c:v>
                </c:pt>
                <c:pt idx="6">
                  <c:v>57419</c:v>
                </c:pt>
                <c:pt idx="7">
                  <c:v>56665</c:v>
                </c:pt>
                <c:pt idx="8">
                  <c:v>56256</c:v>
                </c:pt>
                <c:pt idx="9">
                  <c:v>55230</c:v>
                </c:pt>
                <c:pt idx="10">
                  <c:v>56230</c:v>
                </c:pt>
                <c:pt idx="11">
                  <c:v>55848</c:v>
                </c:pt>
                <c:pt idx="12">
                  <c:v>56428</c:v>
                </c:pt>
                <c:pt idx="13">
                  <c:v>55247</c:v>
                </c:pt>
                <c:pt idx="14" formatCode="#,##0_ ">
                  <c:v>52850</c:v>
                </c:pt>
                <c:pt idx="15" formatCode="#,##0_ ">
                  <c:v>51315</c:v>
                </c:pt>
              </c:numCache>
            </c:numRef>
          </c:val>
          <c:extLst>
            <c:ext xmlns:c16="http://schemas.microsoft.com/office/drawing/2014/chart" uri="{C3380CC4-5D6E-409C-BE32-E72D297353CC}">
              <c16:uniqueId val="{00000001-F51D-460A-9D85-CAB5B673BA51}"/>
            </c:ext>
          </c:extLst>
        </c:ser>
        <c:ser>
          <c:idx val="3"/>
          <c:order val="2"/>
          <c:tx>
            <c:strRef>
              <c:f>'Ch5. PCT authorities'!$A$11</c:f>
              <c:strCache>
                <c:ptCount val="1"/>
                <c:pt idx="0">
                  <c:v>CNIPA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authorities'!$O$7:$AD$7</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authorities'!$O$11:$AD$11</c:f>
              <c:numCache>
                <c:formatCode>#,##0</c:formatCode>
                <c:ptCount val="16"/>
                <c:pt idx="0">
                  <c:v>8000</c:v>
                </c:pt>
                <c:pt idx="1">
                  <c:v>12917</c:v>
                </c:pt>
                <c:pt idx="2">
                  <c:v>17471</c:v>
                </c:pt>
                <c:pt idx="3">
                  <c:v>19924</c:v>
                </c:pt>
                <c:pt idx="4">
                  <c:v>22927</c:v>
                </c:pt>
                <c:pt idx="5">
                  <c:v>27088</c:v>
                </c:pt>
                <c:pt idx="6">
                  <c:v>31044</c:v>
                </c:pt>
                <c:pt idx="7">
                  <c:v>44463</c:v>
                </c:pt>
                <c:pt idx="8">
                  <c:v>50657</c:v>
                </c:pt>
                <c:pt idx="9">
                  <c:v>55204</c:v>
                </c:pt>
                <c:pt idx="10">
                  <c:v>60997</c:v>
                </c:pt>
                <c:pt idx="11">
                  <c:v>72340</c:v>
                </c:pt>
                <c:pt idx="12">
                  <c:v>73456</c:v>
                </c:pt>
                <c:pt idx="13">
                  <c:v>74413</c:v>
                </c:pt>
                <c:pt idx="14" formatCode="#,##0_ ">
                  <c:v>73770</c:v>
                </c:pt>
                <c:pt idx="15" formatCode="#,##0_ ">
                  <c:v>74630</c:v>
                </c:pt>
              </c:numCache>
            </c:numRef>
          </c:val>
          <c:extLst>
            <c:ext xmlns:c16="http://schemas.microsoft.com/office/drawing/2014/chart" uri="{C3380CC4-5D6E-409C-BE32-E72D297353CC}">
              <c16:uniqueId val="{00000002-F51D-460A-9D85-CAB5B673BA51}"/>
            </c:ext>
          </c:extLst>
        </c:ser>
        <c:ser>
          <c:idx val="2"/>
          <c:order val="3"/>
          <c:tx>
            <c:strRef>
              <c:f>'Ch5. PCT authorities'!$A$10</c:f>
              <c:strCache>
                <c:ptCount val="1"/>
                <c:pt idx="0">
                  <c:v>MOIP</c:v>
                </c:pt>
              </c:strCache>
            </c:strRef>
          </c:tx>
          <c:spPr>
            <a:solidFill>
              <a:srgbClr val="604A7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authorities'!$O$7:$AD$7</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authorities'!$O$10:$AD$10</c:f>
              <c:numCache>
                <c:formatCode>#,##0</c:formatCode>
                <c:ptCount val="16"/>
                <c:pt idx="0">
                  <c:v>8025</c:v>
                </c:pt>
                <c:pt idx="1">
                  <c:v>9639</c:v>
                </c:pt>
                <c:pt idx="2">
                  <c:v>10413</c:v>
                </c:pt>
                <c:pt idx="3">
                  <c:v>11869</c:v>
                </c:pt>
                <c:pt idx="4">
                  <c:v>12439</c:v>
                </c:pt>
                <c:pt idx="5">
                  <c:v>13138</c:v>
                </c:pt>
                <c:pt idx="6">
                  <c:v>14593</c:v>
                </c:pt>
                <c:pt idx="7">
                  <c:v>15595</c:v>
                </c:pt>
                <c:pt idx="8">
                  <c:v>15789</c:v>
                </c:pt>
                <c:pt idx="9">
                  <c:v>16990</c:v>
                </c:pt>
                <c:pt idx="10">
                  <c:v>18885</c:v>
                </c:pt>
                <c:pt idx="11">
                  <c:v>19675</c:v>
                </c:pt>
                <c:pt idx="12">
                  <c:v>20525</c:v>
                </c:pt>
                <c:pt idx="13">
                  <c:v>21916</c:v>
                </c:pt>
                <c:pt idx="14" formatCode="#,##0_ ">
                  <c:v>22164</c:v>
                </c:pt>
                <c:pt idx="15" formatCode="#,##0_ ">
                  <c:v>23637</c:v>
                </c:pt>
              </c:numCache>
            </c:numRef>
          </c:val>
          <c:extLst>
            <c:ext xmlns:c16="http://schemas.microsoft.com/office/drawing/2014/chart" uri="{C3380CC4-5D6E-409C-BE32-E72D297353CC}">
              <c16:uniqueId val="{00000003-F51D-460A-9D85-CAB5B673BA51}"/>
            </c:ext>
          </c:extLst>
        </c:ser>
        <c:ser>
          <c:idx val="1"/>
          <c:order val="4"/>
          <c:tx>
            <c:strRef>
              <c:f>'Ch5. PCT authorities'!$A$9</c:f>
              <c:strCache>
                <c:ptCount val="1"/>
                <c:pt idx="0">
                  <c:v>JPO</c:v>
                </c:pt>
              </c:strCache>
            </c:strRef>
          </c:tx>
          <c:spPr>
            <a:solidFill>
              <a:srgbClr val="C0504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authorities'!$O$7:$AD$7</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authorities'!$O$9:$AD$9</c:f>
              <c:numCache>
                <c:formatCode>#,##0</c:formatCode>
                <c:ptCount val="16"/>
                <c:pt idx="0">
                  <c:v>29291</c:v>
                </c:pt>
                <c:pt idx="1">
                  <c:v>31523</c:v>
                </c:pt>
                <c:pt idx="2">
                  <c:v>37972</c:v>
                </c:pt>
                <c:pt idx="3">
                  <c:v>42787</c:v>
                </c:pt>
                <c:pt idx="4">
                  <c:v>43075</c:v>
                </c:pt>
                <c:pt idx="5">
                  <c:v>41292</c:v>
                </c:pt>
                <c:pt idx="6">
                  <c:v>43097</c:v>
                </c:pt>
                <c:pt idx="7">
                  <c:v>44495</c:v>
                </c:pt>
                <c:pt idx="8">
                  <c:v>47425</c:v>
                </c:pt>
                <c:pt idx="9">
                  <c:v>48630</c:v>
                </c:pt>
                <c:pt idx="10">
                  <c:v>51652</c:v>
                </c:pt>
                <c:pt idx="11">
                  <c:v>49313</c:v>
                </c:pt>
                <c:pt idx="12">
                  <c:v>49039</c:v>
                </c:pt>
                <c:pt idx="13">
                  <c:v>48719</c:v>
                </c:pt>
                <c:pt idx="14" formatCode="#,##0_ ">
                  <c:v>47372</c:v>
                </c:pt>
                <c:pt idx="15" formatCode="#,##0_ ">
                  <c:v>46750</c:v>
                </c:pt>
              </c:numCache>
            </c:numRef>
          </c:val>
          <c:extLst>
            <c:ext xmlns:c16="http://schemas.microsoft.com/office/drawing/2014/chart" uri="{C3380CC4-5D6E-409C-BE32-E72D297353CC}">
              <c16:uniqueId val="{00000004-F51D-460A-9D85-CAB5B673BA51}"/>
            </c:ext>
          </c:extLst>
        </c:ser>
        <c:ser>
          <c:idx val="0"/>
          <c:order val="5"/>
          <c:tx>
            <c:strRef>
              <c:f>'Ch5. PCT authorities'!$A$8</c:f>
              <c:strCache>
                <c:ptCount val="1"/>
                <c:pt idx="0">
                  <c:v>EPO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authorities'!$O$7:$AD$7</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authorities'!$O$8:$AD$8</c:f>
              <c:numCache>
                <c:formatCode>#,##0</c:formatCode>
                <c:ptCount val="16"/>
                <c:pt idx="0">
                  <c:v>27360</c:v>
                </c:pt>
                <c:pt idx="1">
                  <c:v>28900</c:v>
                </c:pt>
                <c:pt idx="2">
                  <c:v>30893</c:v>
                </c:pt>
                <c:pt idx="3">
                  <c:v>32430</c:v>
                </c:pt>
                <c:pt idx="4">
                  <c:v>32036</c:v>
                </c:pt>
                <c:pt idx="5">
                  <c:v>32902</c:v>
                </c:pt>
                <c:pt idx="6">
                  <c:v>34151</c:v>
                </c:pt>
                <c:pt idx="7">
                  <c:v>35288</c:v>
                </c:pt>
                <c:pt idx="8">
                  <c:v>36619</c:v>
                </c:pt>
                <c:pt idx="9">
                  <c:v>37937</c:v>
                </c:pt>
                <c:pt idx="10">
                  <c:v>37998</c:v>
                </c:pt>
                <c:pt idx="11">
                  <c:v>38872</c:v>
                </c:pt>
                <c:pt idx="12">
                  <c:v>38322</c:v>
                </c:pt>
                <c:pt idx="13">
                  <c:v>38761</c:v>
                </c:pt>
                <c:pt idx="14" formatCode="#,##0_ ">
                  <c:v>38631</c:v>
                </c:pt>
                <c:pt idx="15" formatCode="#,##0_ ">
                  <c:v>39084</c:v>
                </c:pt>
              </c:numCache>
            </c:numRef>
          </c:val>
          <c:extLst>
            <c:ext xmlns:c16="http://schemas.microsoft.com/office/drawing/2014/chart" uri="{C3380CC4-5D6E-409C-BE32-E72D297353CC}">
              <c16:uniqueId val="{00000005-F51D-460A-9D85-CAB5B673BA51}"/>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authorities'!$O$7:$AD$7</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authorities'!$O$14:$AD$14</c:f>
              <c:numCache>
                <c:formatCode>#,##0</c:formatCode>
                <c:ptCount val="16"/>
                <c:pt idx="0">
                  <c:v>155402</c:v>
                </c:pt>
                <c:pt idx="1">
                  <c:v>164340</c:v>
                </c:pt>
                <c:pt idx="2">
                  <c:v>182437</c:v>
                </c:pt>
                <c:pt idx="3">
                  <c:v>195334</c:v>
                </c:pt>
                <c:pt idx="4">
                  <c:v>205280</c:v>
                </c:pt>
                <c:pt idx="5">
                  <c:v>214280</c:v>
                </c:pt>
                <c:pt idx="6">
                  <c:v>216855</c:v>
                </c:pt>
                <c:pt idx="7">
                  <c:v>232853</c:v>
                </c:pt>
                <c:pt idx="8">
                  <c:v>243345</c:v>
                </c:pt>
                <c:pt idx="9">
                  <c:v>252530</c:v>
                </c:pt>
                <c:pt idx="10">
                  <c:v>265380</c:v>
                </c:pt>
                <c:pt idx="11">
                  <c:v>274833</c:v>
                </c:pt>
                <c:pt idx="12">
                  <c:v>277096</c:v>
                </c:pt>
                <c:pt idx="13">
                  <c:v>277439</c:v>
                </c:pt>
                <c:pt idx="14">
                  <c:v>272295</c:v>
                </c:pt>
                <c:pt idx="15">
                  <c:v>273597</c:v>
                </c:pt>
              </c:numCache>
            </c:numRef>
          </c:val>
          <c:extLst>
            <c:ext xmlns:c16="http://schemas.microsoft.com/office/drawing/2014/chart" uri="{C3380CC4-5D6E-409C-BE32-E72D297353CC}">
              <c16:uniqueId val="{00000006-F51D-460A-9D85-CAB5B673BA51}"/>
            </c:ext>
          </c:extLst>
        </c:ser>
        <c:dLbls>
          <c:showLegendKey val="0"/>
          <c:showVal val="0"/>
          <c:showCatName val="0"/>
          <c:showSerName val="0"/>
          <c:showPercent val="0"/>
          <c:showBubbleSize val="0"/>
        </c:dLbls>
        <c:gapWidth val="30"/>
        <c:overlap val="100"/>
        <c:axId val="1812573392"/>
        <c:axId val="1812576112"/>
      </c:barChart>
      <c:catAx>
        <c:axId val="1812573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12576112"/>
        <c:crosses val="autoZero"/>
        <c:auto val="1"/>
        <c:lblAlgn val="ctr"/>
        <c:lblOffset val="100"/>
        <c:noMultiLvlLbl val="0"/>
      </c:catAx>
      <c:valAx>
        <c:axId val="1812576112"/>
        <c:scaling>
          <c:orientation val="minMax"/>
          <c:max val="320000"/>
          <c:min val="0"/>
        </c:scaling>
        <c:delete val="1"/>
        <c:axPos val="l"/>
        <c:numFmt formatCode="#,##0" sourceLinked="1"/>
        <c:majorTickMark val="out"/>
        <c:minorTickMark val="none"/>
        <c:tickLblPos val="nextTo"/>
        <c:crossAx val="1812573392"/>
        <c:crosses val="autoZero"/>
        <c:crossBetween val="between"/>
      </c:valAx>
      <c:spPr>
        <a:noFill/>
        <a:ln>
          <a:noFill/>
        </a:ln>
        <a:effectLst/>
      </c:spPr>
    </c:plotArea>
    <c:legend>
      <c:legendPos val="r"/>
      <c:legendEntry>
        <c:idx val="0"/>
        <c:delete val="1"/>
      </c:legendEntry>
      <c:layout>
        <c:manualLayout>
          <c:xMode val="edge"/>
          <c:yMode val="edge"/>
          <c:x val="0.94424158491961196"/>
          <c:y val="0.20883853950765899"/>
          <c:w val="4.8559436290594997E-2"/>
          <c:h val="0.43129555035991402"/>
        </c:manualLayout>
      </c:layout>
      <c:overlay val="0"/>
      <c:spPr>
        <a:noFill/>
        <a:ln>
          <a:noFill/>
        </a:ln>
        <a:effectLst/>
      </c:spPr>
      <c:txPr>
        <a:bodyPr rot="0" spcFirstLastPara="1" vertOverflow="ellipsis" vert="horz" wrap="square" anchor="ctr" anchorCtr="1"/>
        <a:lstStyle/>
        <a:p>
          <a:pPr>
            <a:defRPr lang="ja-JP" sz="12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af6a1512-413c-41ea-b892-543bb75d03d6}"/>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r>
              <a:rPr lang="en-US" b="1">
                <a:solidFill>
                  <a:sysClr val="windowText" lastClr="000000"/>
                </a:solidFill>
              </a:rPr>
              <a:t>Fig.</a:t>
            </a:r>
            <a:r>
              <a:rPr lang="en-US" b="1" baseline="0">
                <a:solidFill>
                  <a:sysClr val="windowText" lastClr="000000"/>
                </a:solidFill>
              </a:rPr>
              <a:t> 5.</a:t>
            </a:r>
            <a:r>
              <a:rPr lang="en-US" sz="1400" b="1" i="0" u="none" strike="noStrike" baseline="0">
                <a:effectLst/>
              </a:rPr>
              <a:t>8: PCT ACTIVITY - INTERNATIONAL SEARCHING AUTHORITIES</a:t>
            </a:r>
            <a:r>
              <a:rPr lang="en-US" b="1" baseline="0">
                <a:solidFill>
                  <a:sysClr val="windowText" lastClr="000000"/>
                </a:solidFill>
              </a:rPr>
              <a:t> </a:t>
            </a:r>
            <a:r>
              <a:rPr lang="en-US" b="1" baseline="0">
                <a:solidFill>
                  <a:srgbClr val="0000CC"/>
                </a:solidFill>
              </a:rPr>
              <a:t>(EXTENDED DATA)</a:t>
            </a:r>
            <a:endParaRPr lang="en-US" b="1">
              <a:solidFill>
                <a:sysClr val="windowText" lastClr="000000"/>
              </a:solidFill>
            </a:endParaRPr>
          </a:p>
        </c:rich>
      </c:tx>
      <c:layout>
        <c:manualLayout>
          <c:xMode val="edge"/>
          <c:yMode val="edge"/>
          <c:x val="1.5270628785391101E-2"/>
          <c:y val="2.9253654518675499E-2"/>
        </c:manualLayout>
      </c:layout>
      <c:overlay val="0"/>
      <c:spPr>
        <a:noFill/>
        <a:ln>
          <a:noFill/>
        </a:ln>
        <a:effectLst/>
      </c:spPr>
      <c:txPr>
        <a:bodyPr rot="0" spcFirstLastPara="1" vertOverflow="ellipsis" vert="horz" wrap="square" anchor="ctr" anchorCtr="1"/>
        <a:lstStyle/>
        <a:p>
          <a:pPr>
            <a:defRPr lang="ja-JP"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2.07204876973053E-2"/>
          <c:y val="3.6662035881754799E-3"/>
          <c:w val="0.90333020947625497"/>
          <c:h val="0.88497442576693797"/>
        </c:manualLayout>
      </c:layout>
      <c:barChart>
        <c:barDir val="col"/>
        <c:grouping val="stacked"/>
        <c:varyColors val="0"/>
        <c:ser>
          <c:idx val="5"/>
          <c:order val="0"/>
          <c:tx>
            <c:strRef>
              <c:f>'Ch5. PCT authorities'!$A$24</c:f>
              <c:strCache>
                <c:ptCount val="1"/>
                <c:pt idx="0">
                  <c:v>Others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authorities'!$O$18:$AD$18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authorities'!$O$24:$AD$24</c:f>
              <c:numCache>
                <c:formatCode>#,##0_);[Red]\(#,##0\)</c:formatCode>
                <c:ptCount val="16"/>
                <c:pt idx="0">
                  <c:v>11710</c:v>
                </c:pt>
                <c:pt idx="1">
                  <c:v>12032</c:v>
                </c:pt>
                <c:pt idx="2">
                  <c:v>11993</c:v>
                </c:pt>
                <c:pt idx="3">
                  <c:v>13047</c:v>
                </c:pt>
                <c:pt idx="4">
                  <c:v>14495</c:v>
                </c:pt>
                <c:pt idx="5">
                  <c:v>13690</c:v>
                </c:pt>
                <c:pt idx="6">
                  <c:v>13327</c:v>
                </c:pt>
                <c:pt idx="7">
                  <c:v>14346</c:v>
                </c:pt>
                <c:pt idx="8">
                  <c:v>16220</c:v>
                </c:pt>
                <c:pt idx="9">
                  <c:v>17512</c:v>
                </c:pt>
                <c:pt idx="10">
                  <c:v>18308</c:v>
                </c:pt>
                <c:pt idx="11" formatCode="#,##0">
                  <c:v>17676</c:v>
                </c:pt>
                <c:pt idx="12">
                  <c:v>17580</c:v>
                </c:pt>
                <c:pt idx="13" formatCode="#,##0">
                  <c:v>15930</c:v>
                </c:pt>
                <c:pt idx="14" formatCode="#,##0_ ">
                  <c:v>15681</c:v>
                </c:pt>
                <c:pt idx="15" formatCode="#,##0_ ">
                  <c:v>16868</c:v>
                </c:pt>
              </c:numCache>
            </c:numRef>
          </c:val>
          <c:extLst>
            <c:ext xmlns:c16="http://schemas.microsoft.com/office/drawing/2014/chart" uri="{C3380CC4-5D6E-409C-BE32-E72D297353CC}">
              <c16:uniqueId val="{00000000-891B-4AB3-B581-2197AA48F7F0}"/>
            </c:ext>
          </c:extLst>
        </c:ser>
        <c:ser>
          <c:idx val="4"/>
          <c:order val="1"/>
          <c:tx>
            <c:strRef>
              <c:f>'Ch5. PCT authorities'!$A$23</c:f>
              <c:strCache>
                <c:ptCount val="1"/>
                <c:pt idx="0">
                  <c:v>USPTO</c:v>
                </c:pt>
              </c:strCache>
            </c:strRef>
          </c:tx>
          <c:spPr>
            <a:solidFill>
              <a:srgbClr val="77933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authorities'!$O$18:$AD$18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authorities'!$O$23:$AD$23</c:f>
              <c:numCache>
                <c:formatCode>#,##0</c:formatCode>
                <c:ptCount val="16"/>
                <c:pt idx="0">
                  <c:v>15462</c:v>
                </c:pt>
                <c:pt idx="1">
                  <c:v>15902</c:v>
                </c:pt>
                <c:pt idx="2">
                  <c:v>16482</c:v>
                </c:pt>
                <c:pt idx="3">
                  <c:v>17111</c:v>
                </c:pt>
                <c:pt idx="4">
                  <c:v>16686</c:v>
                </c:pt>
                <c:pt idx="5">
                  <c:v>21908</c:v>
                </c:pt>
                <c:pt idx="6">
                  <c:v>20878</c:v>
                </c:pt>
                <c:pt idx="7">
                  <c:v>20758</c:v>
                </c:pt>
                <c:pt idx="8">
                  <c:v>21443</c:v>
                </c:pt>
                <c:pt idx="9">
                  <c:v>21958</c:v>
                </c:pt>
                <c:pt idx="10">
                  <c:v>23136</c:v>
                </c:pt>
                <c:pt idx="11">
                  <c:v>22875</c:v>
                </c:pt>
                <c:pt idx="12">
                  <c:v>24035</c:v>
                </c:pt>
                <c:pt idx="13">
                  <c:v>23971</c:v>
                </c:pt>
                <c:pt idx="14" formatCode="#,##0_ ">
                  <c:v>23066</c:v>
                </c:pt>
                <c:pt idx="15" formatCode="#,##0_ ">
                  <c:v>21746</c:v>
                </c:pt>
              </c:numCache>
            </c:numRef>
          </c:val>
          <c:extLst>
            <c:ext xmlns:c16="http://schemas.microsoft.com/office/drawing/2014/chart" uri="{C3380CC4-5D6E-409C-BE32-E72D297353CC}">
              <c16:uniqueId val="{00000001-891B-4AB3-B581-2197AA48F7F0}"/>
            </c:ext>
          </c:extLst>
        </c:ser>
        <c:ser>
          <c:idx val="3"/>
          <c:order val="2"/>
          <c:tx>
            <c:strRef>
              <c:f>'Ch5. PCT authorities'!$A$22</c:f>
              <c:strCache>
                <c:ptCount val="1"/>
                <c:pt idx="0">
                  <c:v>CNIPA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authorities'!$O$18:$AD$18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authorities'!$O$22:$AD$22</c:f>
              <c:numCache>
                <c:formatCode>#,##0</c:formatCode>
                <c:ptCount val="16"/>
                <c:pt idx="0">
                  <c:v>8095</c:v>
                </c:pt>
                <c:pt idx="1">
                  <c:v>13271</c:v>
                </c:pt>
                <c:pt idx="2">
                  <c:v>18017</c:v>
                </c:pt>
                <c:pt idx="3">
                  <c:v>20720</c:v>
                </c:pt>
                <c:pt idx="4">
                  <c:v>23707</c:v>
                </c:pt>
                <c:pt idx="5">
                  <c:v>27603</c:v>
                </c:pt>
                <c:pt idx="6">
                  <c:v>31408</c:v>
                </c:pt>
                <c:pt idx="7">
                  <c:v>44884</c:v>
                </c:pt>
                <c:pt idx="8">
                  <c:v>51119</c:v>
                </c:pt>
                <c:pt idx="9">
                  <c:v>55851</c:v>
                </c:pt>
                <c:pt idx="10">
                  <c:v>61419</c:v>
                </c:pt>
                <c:pt idx="11">
                  <c:v>72926</c:v>
                </c:pt>
                <c:pt idx="12">
                  <c:v>73045</c:v>
                </c:pt>
                <c:pt idx="13">
                  <c:v>73908</c:v>
                </c:pt>
                <c:pt idx="14" formatCode="#,##0_ ">
                  <c:v>72931</c:v>
                </c:pt>
                <c:pt idx="15" formatCode="#,##0_ ">
                  <c:v>73554</c:v>
                </c:pt>
              </c:numCache>
            </c:numRef>
          </c:val>
          <c:extLst>
            <c:ext xmlns:c16="http://schemas.microsoft.com/office/drawing/2014/chart" uri="{C3380CC4-5D6E-409C-BE32-E72D297353CC}">
              <c16:uniqueId val="{00000002-891B-4AB3-B581-2197AA48F7F0}"/>
            </c:ext>
          </c:extLst>
        </c:ser>
        <c:ser>
          <c:idx val="2"/>
          <c:order val="3"/>
          <c:tx>
            <c:strRef>
              <c:f>'Ch5. PCT authorities'!$A$21</c:f>
              <c:strCache>
                <c:ptCount val="1"/>
                <c:pt idx="0">
                  <c:v>MOIP</c:v>
                </c:pt>
              </c:strCache>
            </c:strRef>
          </c:tx>
          <c:spPr>
            <a:solidFill>
              <a:srgbClr val="604A7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authorities'!$O$18:$AD$18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authorities'!$O$21:$AD$21</c:f>
              <c:numCache>
                <c:formatCode>#,##0</c:formatCode>
                <c:ptCount val="16"/>
                <c:pt idx="0">
                  <c:v>21714</c:v>
                </c:pt>
                <c:pt idx="1">
                  <c:v>23310</c:v>
                </c:pt>
                <c:pt idx="2">
                  <c:v>27180</c:v>
                </c:pt>
                <c:pt idx="3">
                  <c:v>27578</c:v>
                </c:pt>
                <c:pt idx="4">
                  <c:v>30653</c:v>
                </c:pt>
                <c:pt idx="5">
                  <c:v>30630</c:v>
                </c:pt>
                <c:pt idx="6">
                  <c:v>29149</c:v>
                </c:pt>
                <c:pt idx="7">
                  <c:v>28093</c:v>
                </c:pt>
                <c:pt idx="8">
                  <c:v>26179</c:v>
                </c:pt>
                <c:pt idx="9">
                  <c:v>26424</c:v>
                </c:pt>
                <c:pt idx="10">
                  <c:v>28288</c:v>
                </c:pt>
                <c:pt idx="11">
                  <c:v>28640</c:v>
                </c:pt>
                <c:pt idx="12">
                  <c:v>29278</c:v>
                </c:pt>
                <c:pt idx="13">
                  <c:v>30577</c:v>
                </c:pt>
                <c:pt idx="14" formatCode="#,##0_ ">
                  <c:v>30059</c:v>
                </c:pt>
                <c:pt idx="15" formatCode="#,##0_ ">
                  <c:v>31103</c:v>
                </c:pt>
              </c:numCache>
            </c:numRef>
          </c:val>
          <c:extLst>
            <c:ext xmlns:c16="http://schemas.microsoft.com/office/drawing/2014/chart" uri="{C3380CC4-5D6E-409C-BE32-E72D297353CC}">
              <c16:uniqueId val="{00000003-891B-4AB3-B581-2197AA48F7F0}"/>
            </c:ext>
          </c:extLst>
        </c:ser>
        <c:ser>
          <c:idx val="1"/>
          <c:order val="4"/>
          <c:tx>
            <c:strRef>
              <c:f>'Ch5. PCT authorities'!$A$20</c:f>
              <c:strCache>
                <c:ptCount val="1"/>
                <c:pt idx="0">
                  <c:v>JPO</c:v>
                </c:pt>
              </c:strCache>
            </c:strRef>
          </c:tx>
          <c:spPr>
            <a:solidFill>
              <a:srgbClr val="C0504D"/>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authorities'!$O$18:$AD$18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authorities'!$O$20:$AD$20</c:f>
              <c:numCache>
                <c:formatCode>#,##0</c:formatCode>
                <c:ptCount val="16"/>
                <c:pt idx="0">
                  <c:v>28446</c:v>
                </c:pt>
                <c:pt idx="1">
                  <c:v>30856</c:v>
                </c:pt>
                <c:pt idx="2">
                  <c:v>37094</c:v>
                </c:pt>
                <c:pt idx="3">
                  <c:v>41677</c:v>
                </c:pt>
                <c:pt idx="4">
                  <c:v>42270</c:v>
                </c:pt>
                <c:pt idx="5">
                  <c:v>40803</c:v>
                </c:pt>
                <c:pt idx="6">
                  <c:v>43057</c:v>
                </c:pt>
                <c:pt idx="7">
                  <c:v>44462</c:v>
                </c:pt>
                <c:pt idx="8">
                  <c:v>47127</c:v>
                </c:pt>
                <c:pt idx="9">
                  <c:v>48526</c:v>
                </c:pt>
                <c:pt idx="10">
                  <c:v>51736</c:v>
                </c:pt>
                <c:pt idx="11">
                  <c:v>49392</c:v>
                </c:pt>
                <c:pt idx="12">
                  <c:v>49145</c:v>
                </c:pt>
                <c:pt idx="13">
                  <c:v>48925</c:v>
                </c:pt>
                <c:pt idx="14" formatCode="#,##0_ ">
                  <c:v>47344</c:v>
                </c:pt>
                <c:pt idx="15" formatCode="#,##0_ ">
                  <c:v>46800</c:v>
                </c:pt>
              </c:numCache>
            </c:numRef>
          </c:val>
          <c:extLst>
            <c:ext xmlns:c16="http://schemas.microsoft.com/office/drawing/2014/chart" uri="{C3380CC4-5D6E-409C-BE32-E72D297353CC}">
              <c16:uniqueId val="{00000004-891B-4AB3-B581-2197AA48F7F0}"/>
            </c:ext>
          </c:extLst>
        </c:ser>
        <c:ser>
          <c:idx val="0"/>
          <c:order val="5"/>
          <c:tx>
            <c:strRef>
              <c:f>'Ch5. PCT authorities'!$A$19</c:f>
              <c:strCache>
                <c:ptCount val="1"/>
                <c:pt idx="0">
                  <c:v>EPO</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0" i="0" u="none" strike="noStrike" kern="1200" baseline="0">
                    <a:solidFill>
                      <a:schemeClr val="bg1"/>
                    </a:solidFill>
                    <a:latin typeface="+mn-lt"/>
                    <a:ea typeface="+mn-ea"/>
                    <a:cs typeface="+mn-cs"/>
                  </a:defRPr>
                </a:pPr>
                <a:endParaRPr lang="zh-CN"/>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authorities'!$O$18:$AD$18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authorities'!$O$19:$AD$19</c:f>
              <c:numCache>
                <c:formatCode>#,##0</c:formatCode>
                <c:ptCount val="16"/>
                <c:pt idx="0">
                  <c:v>69960</c:v>
                </c:pt>
                <c:pt idx="1">
                  <c:v>68937</c:v>
                </c:pt>
                <c:pt idx="2">
                  <c:v>71624</c:v>
                </c:pt>
                <c:pt idx="3">
                  <c:v>75148</c:v>
                </c:pt>
                <c:pt idx="4">
                  <c:v>77411</c:v>
                </c:pt>
                <c:pt idx="5">
                  <c:v>79545</c:v>
                </c:pt>
                <c:pt idx="6">
                  <c:v>79280</c:v>
                </c:pt>
                <c:pt idx="7">
                  <c:v>79912</c:v>
                </c:pt>
                <c:pt idx="8">
                  <c:v>81257</c:v>
                </c:pt>
                <c:pt idx="9">
                  <c:v>82235</c:v>
                </c:pt>
                <c:pt idx="10">
                  <c:v>82452</c:v>
                </c:pt>
                <c:pt idx="11">
                  <c:v>83300</c:v>
                </c:pt>
                <c:pt idx="12">
                  <c:v>84013</c:v>
                </c:pt>
                <c:pt idx="13">
                  <c:v>84128</c:v>
                </c:pt>
                <c:pt idx="14" formatCode="#,##0_ ">
                  <c:v>83214</c:v>
                </c:pt>
                <c:pt idx="15" formatCode="#,##0_ ">
                  <c:v>83494</c:v>
                </c:pt>
              </c:numCache>
            </c:numRef>
          </c:val>
          <c:extLst>
            <c:ext xmlns:c16="http://schemas.microsoft.com/office/drawing/2014/chart" uri="{C3380CC4-5D6E-409C-BE32-E72D297353CC}">
              <c16:uniqueId val="{00000005-891B-4AB3-B581-2197AA48F7F0}"/>
            </c:ext>
          </c:extLst>
        </c:ser>
        <c:ser>
          <c:idx val="6"/>
          <c:order val="6"/>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zh-CN" sz="1200" b="1" i="0" u="none" strike="noStrike" kern="1200" baseline="0">
                    <a:solidFill>
                      <a:schemeClr val="tx1">
                        <a:lumMod val="75000"/>
                        <a:lumOff val="25000"/>
                      </a:schemeClr>
                    </a:solidFill>
                    <a:latin typeface="+mn-lt"/>
                    <a:ea typeface="+mn-ea"/>
                    <a:cs typeface="+mn-cs"/>
                  </a:defRPr>
                </a:pPr>
                <a:endParaRPr lang="zh-CN"/>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'Ch5. PCT authorities'!$O$18:$AD$18</c:f>
              <c:numCache>
                <c:formatCode>General</c:formatCode>
                <c:ptCount val="16"/>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numCache>
            </c:numRef>
          </c:cat>
          <c:val>
            <c:numRef>
              <c:f>'Ch5. PCT authorities'!$O$25:$AD$25</c:f>
              <c:numCache>
                <c:formatCode>#,##0</c:formatCode>
                <c:ptCount val="16"/>
                <c:pt idx="0">
                  <c:v>155402</c:v>
                </c:pt>
                <c:pt idx="1">
                  <c:v>164340</c:v>
                </c:pt>
                <c:pt idx="2">
                  <c:v>182437</c:v>
                </c:pt>
                <c:pt idx="3">
                  <c:v>195334</c:v>
                </c:pt>
                <c:pt idx="4">
                  <c:v>205222</c:v>
                </c:pt>
                <c:pt idx="5">
                  <c:v>214179</c:v>
                </c:pt>
                <c:pt idx="6">
                  <c:v>217099</c:v>
                </c:pt>
                <c:pt idx="7">
                  <c:v>232455</c:v>
                </c:pt>
                <c:pt idx="8">
                  <c:v>243345</c:v>
                </c:pt>
                <c:pt idx="9">
                  <c:v>252506</c:v>
                </c:pt>
                <c:pt idx="10">
                  <c:v>265339</c:v>
                </c:pt>
                <c:pt idx="11">
                  <c:v>274809</c:v>
                </c:pt>
                <c:pt idx="12">
                  <c:v>277096</c:v>
                </c:pt>
                <c:pt idx="13">
                  <c:v>277439</c:v>
                </c:pt>
                <c:pt idx="14">
                  <c:v>272295</c:v>
                </c:pt>
                <c:pt idx="15">
                  <c:v>273565</c:v>
                </c:pt>
              </c:numCache>
            </c:numRef>
          </c:val>
          <c:extLst>
            <c:ext xmlns:c16="http://schemas.microsoft.com/office/drawing/2014/chart" uri="{C3380CC4-5D6E-409C-BE32-E72D297353CC}">
              <c16:uniqueId val="{00000006-891B-4AB3-B581-2197AA48F7F0}"/>
            </c:ext>
          </c:extLst>
        </c:ser>
        <c:dLbls>
          <c:showLegendKey val="0"/>
          <c:showVal val="0"/>
          <c:showCatName val="0"/>
          <c:showSerName val="0"/>
          <c:showPercent val="0"/>
          <c:showBubbleSize val="0"/>
        </c:dLbls>
        <c:gapWidth val="30"/>
        <c:overlap val="100"/>
        <c:axId val="1812574480"/>
        <c:axId val="1812572304"/>
      </c:barChart>
      <c:catAx>
        <c:axId val="181257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ja-JP" sz="1200" b="1" i="0" u="none" strike="noStrike" kern="1200" baseline="0">
                <a:solidFill>
                  <a:sysClr val="windowText" lastClr="000000"/>
                </a:solidFill>
                <a:latin typeface="+mn-lt"/>
                <a:ea typeface="+mn-ea"/>
                <a:cs typeface="+mn-cs"/>
              </a:defRPr>
            </a:pPr>
            <a:endParaRPr lang="zh-CN"/>
          </a:p>
        </c:txPr>
        <c:crossAx val="1812572304"/>
        <c:crosses val="autoZero"/>
        <c:auto val="1"/>
        <c:lblAlgn val="ctr"/>
        <c:lblOffset val="100"/>
        <c:noMultiLvlLbl val="0"/>
      </c:catAx>
      <c:valAx>
        <c:axId val="1812572304"/>
        <c:scaling>
          <c:orientation val="minMax"/>
          <c:max val="320000"/>
          <c:min val="0"/>
        </c:scaling>
        <c:delete val="1"/>
        <c:axPos val="l"/>
        <c:numFmt formatCode="#,##0_);[Red]\(#,##0\)" sourceLinked="1"/>
        <c:majorTickMark val="out"/>
        <c:minorTickMark val="none"/>
        <c:tickLblPos val="nextTo"/>
        <c:crossAx val="1812574480"/>
        <c:crosses val="autoZero"/>
        <c:crossBetween val="between"/>
      </c:valAx>
      <c:spPr>
        <a:noFill/>
        <a:ln>
          <a:noFill/>
        </a:ln>
        <a:effectLst/>
      </c:spPr>
    </c:plotArea>
    <c:legend>
      <c:legendPos val="r"/>
      <c:legendEntry>
        <c:idx val="0"/>
        <c:delete val="1"/>
      </c:legendEntry>
      <c:layout>
        <c:manualLayout>
          <c:xMode val="edge"/>
          <c:yMode val="edge"/>
          <c:x val="0.94101957908259204"/>
          <c:y val="0.20403863527235999"/>
          <c:w val="5.1781432065875703E-2"/>
          <c:h val="0.59111283829244599"/>
        </c:manualLayout>
      </c:layout>
      <c:overlay val="0"/>
      <c:spPr>
        <a:noFill/>
        <a:ln>
          <a:noFill/>
        </a:ln>
        <a:effectLst/>
      </c:spPr>
      <c:txPr>
        <a:bodyPr rot="0" spcFirstLastPara="1" vertOverflow="ellipsis" vert="horz" wrap="square" anchor="ctr" anchorCtr="1"/>
        <a:lstStyle/>
        <a:p>
          <a:pPr>
            <a:defRPr lang="ja-JP" sz="1200" b="0" i="0" u="none" strike="noStrike" kern="1200" baseline="0">
              <a:solidFill>
                <a:sysClr val="windowText" lastClr="000000"/>
              </a:solidFill>
              <a:latin typeface="+mn-lt"/>
              <a:ea typeface="+mn-ea"/>
              <a:cs typeface="+mn-cs"/>
            </a:defRPr>
          </a:pPr>
          <a:endParaRPr lang="zh-CN"/>
        </a:p>
      </c:txPr>
    </c:legend>
    <c:plotVisOnly val="1"/>
    <c:dispBlanksAs val="gap"/>
    <c:showDLblsOverMax val="0"/>
    <c:extLst>
      <c:ext uri="{0b15fc19-7d7d-44ad-8c2d-2c3a37ce22c3}">
        <chartProps xmlns="https://web.wps.cn/et/2018/main" chartId="{6f269cd5-0262-49af-ac29-908facf9e2ac}"/>
      </c:ext>
    </c:extLst>
  </c:chart>
  <c:spPr>
    <a:solidFill>
      <a:schemeClr val="bg1"/>
    </a:solidFill>
    <a:ln w="9525" cap="flat" cmpd="sng" algn="ctr">
      <a:solidFill>
        <a:schemeClr val="tx1"/>
      </a:solidFill>
      <a:round/>
    </a:ln>
    <a:effectLst/>
  </c:spPr>
  <c:txPr>
    <a:bodyPr/>
    <a:lstStyle/>
    <a:p>
      <a:pPr>
        <a:defRPr lang="zh-CN"/>
      </a:pPr>
      <a:endParaRPr lang="zh-CN"/>
    </a:p>
  </c:txPr>
  <c:printSettings>
    <c:headerFooter/>
    <c:pageMargins b="0.75" l="0.7" r="0.7" t="0.75" header="0.3" footer="0.3"/>
    <c:pageSetup/>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zh-CN" sz="1200" b="1" i="0" u="none" strike="noStrike" kern="1200" spc="0" baseline="0">
                <a:solidFill>
                  <a:sysClr val="windowText" lastClr="000000"/>
                </a:solidFill>
                <a:latin typeface="+mn-lt"/>
                <a:ea typeface="+mn-ea"/>
                <a:cs typeface="+mn-cs"/>
              </a:defRPr>
            </a:pPr>
            <a:r>
              <a:rPr lang="en-US" sz="1200" b="1" baseline="0">
                <a:solidFill>
                  <a:sysClr val="windowText" lastClr="000000"/>
                </a:solidFill>
              </a:rPr>
              <a:t>PATENTS IN FORCE END OF 2013</a:t>
            </a:r>
            <a:endParaRPr lang="en-US" sz="1200" b="1">
              <a:solidFill>
                <a:sysClr val="windowText" lastClr="000000"/>
              </a:solidFill>
            </a:endParaRPr>
          </a:p>
        </c:rich>
      </c:tx>
      <c:layout>
        <c:manualLayout>
          <c:xMode val="edge"/>
          <c:yMode val="edge"/>
          <c:x val="1.29292596808678E-2"/>
          <c:y val="2.2222313382488399E-2"/>
        </c:manualLayout>
      </c:layout>
      <c:overlay val="0"/>
      <c:spPr>
        <a:noFill/>
        <a:ln>
          <a:noFill/>
        </a:ln>
        <a:effectLst/>
      </c:spPr>
    </c:title>
    <c:autoTitleDeleted val="0"/>
    <c:plotArea>
      <c:layout>
        <c:manualLayout>
          <c:layoutTarget val="inner"/>
          <c:xMode val="edge"/>
          <c:yMode val="edge"/>
          <c:x val="3.0991171558100699E-2"/>
          <c:y val="0.120051542355694"/>
          <c:w val="0.82145040960788995"/>
          <c:h val="0.83198049149547904"/>
        </c:manualLayout>
      </c:layout>
      <c:pieChart>
        <c:varyColors val="1"/>
        <c:ser>
          <c:idx val="0"/>
          <c:order val="0"/>
          <c:spPr>
            <a:ln>
              <a:solidFill>
                <a:schemeClr val="bg1"/>
              </a:solidFill>
            </a:ln>
          </c:spPr>
          <c:dPt>
            <c:idx val="0"/>
            <c:bubble3D val="0"/>
            <c:spPr>
              <a:solidFill>
                <a:schemeClr val="accent1"/>
              </a:solidFill>
              <a:ln>
                <a:solidFill>
                  <a:schemeClr val="bg1"/>
                </a:solidFill>
              </a:ln>
            </c:spPr>
            <c:extLst>
              <c:ext xmlns:c16="http://schemas.microsoft.com/office/drawing/2014/chart" uri="{C3380CC4-5D6E-409C-BE32-E72D297353CC}">
                <c16:uniqueId val="{00000001-9B88-4264-BF85-E8C6674D1BEB}"/>
              </c:ext>
            </c:extLst>
          </c:dPt>
          <c:dPt>
            <c:idx val="1"/>
            <c:bubble3D val="0"/>
            <c:spPr>
              <a:solidFill>
                <a:srgbClr val="FF0000"/>
              </a:solidFill>
              <a:ln>
                <a:solidFill>
                  <a:schemeClr val="bg1"/>
                </a:solidFill>
              </a:ln>
            </c:spPr>
            <c:extLst>
              <c:ext xmlns:c16="http://schemas.microsoft.com/office/drawing/2014/chart" uri="{C3380CC4-5D6E-409C-BE32-E72D297353CC}">
                <c16:uniqueId val="{00000003-9B88-4264-BF85-E8C6674D1BEB}"/>
              </c:ext>
            </c:extLst>
          </c:dPt>
          <c:dPt>
            <c:idx val="2"/>
            <c:bubble3D val="0"/>
            <c:spPr>
              <a:solidFill>
                <a:srgbClr val="7030A0"/>
              </a:solidFill>
              <a:ln>
                <a:solidFill>
                  <a:schemeClr val="bg1"/>
                </a:solidFill>
              </a:ln>
            </c:spPr>
            <c:extLst>
              <c:ext xmlns:c16="http://schemas.microsoft.com/office/drawing/2014/chart" uri="{C3380CC4-5D6E-409C-BE32-E72D297353CC}">
                <c16:uniqueId val="{00000005-9B88-4264-BF85-E8C6674D1BEB}"/>
              </c:ext>
            </c:extLst>
          </c:dPt>
          <c:dPt>
            <c:idx val="3"/>
            <c:bubble3D val="0"/>
            <c:spPr>
              <a:solidFill>
                <a:srgbClr val="FFC000"/>
              </a:solidFill>
              <a:ln>
                <a:solidFill>
                  <a:schemeClr val="bg1"/>
                </a:solidFill>
              </a:ln>
            </c:spPr>
            <c:extLst>
              <c:ext xmlns:c16="http://schemas.microsoft.com/office/drawing/2014/chart" uri="{C3380CC4-5D6E-409C-BE32-E72D297353CC}">
                <c16:uniqueId val="{00000007-9B88-4264-BF85-E8C6674D1BEB}"/>
              </c:ext>
            </c:extLst>
          </c:dPt>
          <c:dPt>
            <c:idx val="4"/>
            <c:bubble3D val="0"/>
            <c:spPr>
              <a:solidFill>
                <a:srgbClr val="008000"/>
              </a:solidFill>
              <a:ln>
                <a:solidFill>
                  <a:schemeClr val="bg1"/>
                </a:solidFill>
              </a:ln>
            </c:spPr>
            <c:extLst>
              <c:ext xmlns:c16="http://schemas.microsoft.com/office/drawing/2014/chart" uri="{C3380CC4-5D6E-409C-BE32-E72D297353CC}">
                <c16:uniqueId val="{00000009-9B88-4264-BF85-E8C6674D1BEB}"/>
              </c:ext>
            </c:extLst>
          </c:dPt>
          <c:dPt>
            <c:idx val="5"/>
            <c:bubble3D val="0"/>
            <c:spPr>
              <a:solidFill>
                <a:schemeClr val="accent2"/>
              </a:solidFill>
              <a:ln>
                <a:solidFill>
                  <a:schemeClr val="bg1"/>
                </a:solidFill>
              </a:ln>
            </c:spPr>
            <c:extLst>
              <c:ext xmlns:c16="http://schemas.microsoft.com/office/drawing/2014/chart" uri="{C3380CC4-5D6E-409C-BE32-E72D297353CC}">
                <c16:uniqueId val="{0000000B-9B88-4264-BF85-E8C6674D1BEB}"/>
              </c:ext>
            </c:extLst>
          </c:dPt>
          <c:dLbls>
            <c:dLbl>
              <c:idx val="3"/>
              <c:layout>
                <c:manualLayout>
                  <c:x val="0.173863198918317"/>
                  <c:y val="-7.1260142286030406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7212121212121"/>
                      <c:h val="0.28706765691402503"/>
                    </c:manualLayout>
                  </c15:layout>
                </c:ext>
                <c:ext xmlns:c16="http://schemas.microsoft.com/office/drawing/2014/chart" uri="{C3380CC4-5D6E-409C-BE32-E72D297353CC}">
                  <c16:uniqueId val="{00000007-9B88-4264-BF85-E8C6674D1BEB}"/>
                </c:ext>
              </c:extLst>
            </c:dLbl>
            <c:dLbl>
              <c:idx val="5"/>
              <c:layout>
                <c:manualLayout>
                  <c:x val="0.14688650282351101"/>
                  <c:y val="0.14546988899833599"/>
                </c:manualLayout>
              </c:layout>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218181818181818"/>
                      <c:h val="0.232109444050799"/>
                    </c:manualLayout>
                  </c15:layout>
                </c:ext>
                <c:ext xmlns:c16="http://schemas.microsoft.com/office/drawing/2014/chart" uri="{C3380CC4-5D6E-409C-BE32-E72D297353CC}">
                  <c16:uniqueId val="{0000000B-9B88-4264-BF85-E8C6674D1BEB}"/>
                </c:ext>
              </c:extLst>
            </c:dLbl>
            <c:spPr>
              <a:noFill/>
              <a:ln>
                <a:noFill/>
              </a:ln>
              <a:effectLst/>
            </c:spPr>
            <c:txPr>
              <a:bodyPr rot="0" spcFirstLastPara="0" vertOverflow="ellipsis" vert="horz" wrap="square" lIns="38100" tIns="19050" rIns="38100" bIns="19050" anchor="ctr" anchorCtr="1">
                <a:spAutoFit/>
              </a:bodyPr>
              <a:lstStyle/>
              <a:p>
                <a:pPr>
                  <a:defRPr lang="zh-CN" sz="1100" b="1" i="0" u="none" strike="noStrike" kern="1200" baseline="0">
                    <a:solidFill>
                      <a:schemeClr val="bg1"/>
                    </a:solidFill>
                    <a:latin typeface="+mn-lt"/>
                    <a:ea typeface="+mn-ea"/>
                    <a:cs typeface="+mn-cs"/>
                  </a:defRPr>
                </a:pPr>
                <a:endParaRPr lang="zh-CN"/>
              </a:p>
            </c:txPr>
            <c:dLblPos val="in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'Ch2. Patents-in-Force'!$A$8:$A$13</c:f>
              <c:strCache>
                <c:ptCount val="6"/>
                <c:pt idx="0">
                  <c:v>EPC States</c:v>
                </c:pt>
                <c:pt idx="1">
                  <c:v>Japan</c:v>
                </c:pt>
                <c:pt idx="2">
                  <c:v>R. Korea</c:v>
                </c:pt>
                <c:pt idx="3">
                  <c:v>P.R. China</c:v>
                </c:pt>
                <c:pt idx="4">
                  <c:v>U.S.</c:v>
                </c:pt>
                <c:pt idx="5">
                  <c:v>Others</c:v>
                </c:pt>
              </c:strCache>
            </c:strRef>
          </c:cat>
          <c:val>
            <c:numRef>
              <c:f>'Ch2. Patents-in-Force'!$L$8:$L$13</c:f>
              <c:numCache>
                <c:formatCode>#,##0</c:formatCode>
                <c:ptCount val="6"/>
                <c:pt idx="0">
                  <c:v>2368820</c:v>
                </c:pt>
                <c:pt idx="1">
                  <c:v>1838177</c:v>
                </c:pt>
                <c:pt idx="2">
                  <c:v>812595</c:v>
                </c:pt>
                <c:pt idx="3">
                  <c:v>1033908</c:v>
                </c:pt>
                <c:pt idx="4">
                  <c:v>2387502</c:v>
                </c:pt>
                <c:pt idx="5">
                  <c:v>1008040</c:v>
                </c:pt>
              </c:numCache>
            </c:numRef>
          </c:val>
          <c:extLst>
            <c:ext xmlns:c16="http://schemas.microsoft.com/office/drawing/2014/chart" uri="{C3380CC4-5D6E-409C-BE32-E72D297353CC}">
              <c16:uniqueId val="{0000000C-9B88-4264-BF85-E8C6674D1BEB}"/>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E-9B88-4264-BF85-E8C6674D1BE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9B88-4264-BF85-E8C6674D1BE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2-9B88-4264-BF85-E8C6674D1BE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4-9B88-4264-BF85-E8C6674D1BEB}"/>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6-9B88-4264-BF85-E8C6674D1BEB}"/>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8-9B88-4264-BF85-E8C6674D1BEB}"/>
              </c:ext>
            </c:extLst>
          </c:dPt>
          <c:cat>
            <c:strRef>
              <c:f>'Ch2. Patents-in-Force'!$A$8:$A$13</c:f>
              <c:strCache>
                <c:ptCount val="6"/>
                <c:pt idx="0">
                  <c:v>EPC States</c:v>
                </c:pt>
                <c:pt idx="1">
                  <c:v>Japan</c:v>
                </c:pt>
                <c:pt idx="2">
                  <c:v>R. Korea</c:v>
                </c:pt>
                <c:pt idx="3">
                  <c:v>P.R. China</c:v>
                </c:pt>
                <c:pt idx="4">
                  <c:v>U.S.</c:v>
                </c:pt>
                <c:pt idx="5">
                  <c:v>Others</c:v>
                </c:pt>
              </c:strCache>
            </c:strRef>
          </c:cat>
          <c:val>
            <c:numRef>
              <c:f>'[1]Ch2. Patents-in-Force'!$C$48:$C$53</c:f>
              <c:numCache>
                <c:formatCode>General</c:formatCode>
                <c:ptCount val="6"/>
                <c:pt idx="0">
                  <c:v>0.35</c:v>
                </c:pt>
                <c:pt idx="1">
                  <c:v>0.19</c:v>
                </c:pt>
                <c:pt idx="2">
                  <c:v>0.09</c:v>
                </c:pt>
                <c:pt idx="4">
                  <c:v>0.28000000000000003</c:v>
                </c:pt>
                <c:pt idx="5">
                  <c:v>0.09</c:v>
                </c:pt>
              </c:numCache>
            </c:numRef>
          </c:val>
          <c:extLst>
            <c:ext xmlns:c16="http://schemas.microsoft.com/office/drawing/2014/chart" uri="{C3380CC4-5D6E-409C-BE32-E72D297353CC}">
              <c16:uniqueId val="{00000019-9B88-4264-BF85-E8C6674D1BEB}"/>
            </c:ext>
          </c:extLst>
        </c:ser>
        <c:dLbls>
          <c:showLegendKey val="0"/>
          <c:showVal val="0"/>
          <c:showCatName val="0"/>
          <c:showSerName val="0"/>
          <c:showPercent val="0"/>
          <c:showBubbleSize val="0"/>
          <c:showLeaderLines val="0"/>
        </c:dLbls>
        <c:firstSliceAng val="0"/>
      </c:pieChart>
    </c:plotArea>
    <c:plotVisOnly val="1"/>
    <c:dispBlanksAs val="gap"/>
    <c:showDLblsOverMax val="0"/>
    <c:extLst>
      <c:ext uri="{0b15fc19-7d7d-44ad-8c2d-2c3a37ce22c3}">
        <chartProps xmlns="https://web.wps.cn/et/2018/main" chartId="{abeceab8-df0c-4f76-a9d8-ca031e5c9b41}"/>
      </c:ext>
    </c:extLst>
  </c:chart>
  <c:spPr>
    <a:solidFill>
      <a:schemeClr val="bg1"/>
    </a:solidFill>
    <a:ln w="9525" cap="flat" cmpd="sng" algn="ctr">
      <a:solidFill>
        <a:schemeClr val="tx1">
          <a:lumMod val="50000"/>
          <a:lumOff val="50000"/>
        </a:schemeClr>
      </a:solidFill>
      <a:prstDash val="solid"/>
      <a:round/>
    </a:ln>
    <a:effectLst/>
  </c:spPr>
  <c:txPr>
    <a:bodyPr/>
    <a:lstStyle/>
    <a:p>
      <a:pPr>
        <a:defRPr lang="zh-CN"/>
      </a:pPr>
      <a:endParaRPr lang="zh-CN"/>
    </a:p>
  </c:txPr>
  <c:printSettings>
    <c:headerFooter/>
    <c:pageMargins b="0.75" l="0.7" r="0.7" t="0.75" header="0.3" footer="0.3"/>
    <c:pageSetup/>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3.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3.jpg"/></Relationships>
</file>

<file path=xl/drawings/_rels/drawing2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3.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6" Type="http://schemas.openxmlformats.org/officeDocument/2006/relationships/chart" Target="../charts/chart27.xml"/><Relationship Id="rId5" Type="http://schemas.openxmlformats.org/officeDocument/2006/relationships/chart" Target="../charts/chart26.xml"/><Relationship Id="rId4" Type="http://schemas.openxmlformats.org/officeDocument/2006/relationships/chart" Target="../charts/chart2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3.jpg"/></Relationships>
</file>

<file path=xl/drawings/_rels/drawing25.xml.rels><?xml version="1.0" encoding="UTF-8" standalone="yes"?>
<Relationships xmlns="http://schemas.openxmlformats.org/package/2006/relationships"><Relationship Id="rId1" Type="http://schemas.openxmlformats.org/officeDocument/2006/relationships/image" Target="../media/image3.jpg"/></Relationships>
</file>

<file path=xl/drawings/_rels/drawing2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8" Type="http://schemas.openxmlformats.org/officeDocument/2006/relationships/chart" Target="../charts/chart35.xml"/><Relationship Id="rId3" Type="http://schemas.openxmlformats.org/officeDocument/2006/relationships/chart" Target="../charts/chart30.xml"/><Relationship Id="rId7" Type="http://schemas.openxmlformats.org/officeDocument/2006/relationships/chart" Target="../charts/chart34.xml"/><Relationship Id="rId2" Type="http://schemas.openxmlformats.org/officeDocument/2006/relationships/chart" Target="../charts/chart29.xml"/><Relationship Id="rId1" Type="http://schemas.openxmlformats.org/officeDocument/2006/relationships/chart" Target="../charts/chart28.xml"/><Relationship Id="rId6" Type="http://schemas.openxmlformats.org/officeDocument/2006/relationships/chart" Target="../charts/chart33.xml"/><Relationship Id="rId11" Type="http://schemas.openxmlformats.org/officeDocument/2006/relationships/image" Target="../media/image5.jpeg"/><Relationship Id="rId5" Type="http://schemas.openxmlformats.org/officeDocument/2006/relationships/chart" Target="../charts/chart32.xml"/><Relationship Id="rId10" Type="http://schemas.openxmlformats.org/officeDocument/2006/relationships/chart" Target="../charts/chart37.xml"/><Relationship Id="rId4" Type="http://schemas.openxmlformats.org/officeDocument/2006/relationships/chart" Target="../charts/chart31.xml"/><Relationship Id="rId9" Type="http://schemas.openxmlformats.org/officeDocument/2006/relationships/chart" Target="../charts/chart36.xml"/></Relationships>
</file>

<file path=xl/drawings/_rels/drawing31.xml.rels><?xml version="1.0" encoding="UTF-8" standalone="yes"?>
<Relationships xmlns="http://schemas.openxmlformats.org/package/2006/relationships"><Relationship Id="rId1" Type="http://schemas.openxmlformats.org/officeDocument/2006/relationships/image" Target="../media/image3.jpg"/></Relationships>
</file>

<file path=xl/drawings/_rels/drawing3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3.xml.rels><?xml version="1.0" encoding="UTF-8" standalone="yes"?>
<Relationships xmlns="http://schemas.openxmlformats.org/package/2006/relationships"><Relationship Id="rId1" Type="http://schemas.openxmlformats.org/officeDocument/2006/relationships/image" Target="../media/image3.jpg"/></Relationships>
</file>

<file path=xl/drawings/_rels/drawing34.xml.rels><?xml version="1.0" encoding="UTF-8" standalone="yes"?>
<Relationships xmlns="http://schemas.openxmlformats.org/package/2006/relationships"><Relationship Id="rId1" Type="http://schemas.openxmlformats.org/officeDocument/2006/relationships/image" Target="../media/image3.jpg"/></Relationships>
</file>

<file path=xl/drawings/_rels/drawing35.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36.xml.rels><?xml version="1.0" encoding="UTF-8" standalone="yes"?>
<Relationships xmlns="http://schemas.openxmlformats.org/package/2006/relationships"><Relationship Id="rId1" Type="http://schemas.openxmlformats.org/officeDocument/2006/relationships/image" Target="../media/image3.jpg"/></Relationships>
</file>

<file path=xl/drawings/_rels/drawing37.xml.rels><?xml version="1.0" encoding="UTF-8" standalone="yes"?>
<Relationships xmlns="http://schemas.openxmlformats.org/package/2006/relationships"><Relationship Id="rId1" Type="http://schemas.openxmlformats.org/officeDocument/2006/relationships/image" Target="../media/image6.png"/></Relationships>
</file>

<file path=xl/drawings/_rels/drawing38.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_rels/drawing39.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3.jpg"/></Relationships>
</file>

<file path=xl/drawings/_rels/drawing41.xml.rels><?xml version="1.0" encoding="UTF-8" standalone="yes"?>
<Relationships xmlns="http://schemas.openxmlformats.org/package/2006/relationships"><Relationship Id="rId1" Type="http://schemas.openxmlformats.org/officeDocument/2006/relationships/image" Target="../media/image3.jpg"/></Relationships>
</file>

<file path=xl/drawings/_rels/drawing42.xml.rels><?xml version="1.0" encoding="UTF-8" standalone="yes"?>
<Relationships xmlns="http://schemas.openxmlformats.org/package/2006/relationships"><Relationship Id="rId1" Type="http://schemas.openxmlformats.org/officeDocument/2006/relationships/image" Target="../media/image3.jpg"/></Relationships>
</file>

<file path=xl/drawings/_rels/drawing4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4.xml.rels><?xml version="1.0" encoding="UTF-8" standalone="yes"?>
<Relationships xmlns="http://schemas.openxmlformats.org/package/2006/relationships"><Relationship Id="rId1" Type="http://schemas.openxmlformats.org/officeDocument/2006/relationships/image" Target="../media/image3.jpg"/></Relationships>
</file>

<file path=xl/drawings/_rels/drawing45.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6" Type="http://schemas.openxmlformats.org/officeDocument/2006/relationships/chart" Target="../charts/chart51.xml"/><Relationship Id="rId5" Type="http://schemas.openxmlformats.org/officeDocument/2006/relationships/chart" Target="../charts/chart50.xml"/><Relationship Id="rId4" Type="http://schemas.openxmlformats.org/officeDocument/2006/relationships/chart" Target="../charts/chart49.xml"/></Relationships>
</file>

<file path=xl/drawings/_rels/drawing46.xml.rels><?xml version="1.0" encoding="UTF-8" standalone="yes"?>
<Relationships xmlns="http://schemas.openxmlformats.org/package/2006/relationships"><Relationship Id="rId1" Type="http://schemas.openxmlformats.org/officeDocument/2006/relationships/image" Target="../media/image3.jpg"/></Relationships>
</file>

<file path=xl/drawings/_rels/drawing47.xml.rels><?xml version="1.0" encoding="UTF-8" standalone="yes"?>
<Relationships xmlns="http://schemas.openxmlformats.org/package/2006/relationships"><Relationship Id="rId1" Type="http://schemas.openxmlformats.org/officeDocument/2006/relationships/image" Target="../media/image3.jpg"/></Relationships>
</file>

<file path=xl/drawings/_rels/drawing48.xml.rels><?xml version="1.0" encoding="UTF-8" standalone="yes"?>
<Relationships xmlns="http://schemas.openxmlformats.org/package/2006/relationships"><Relationship Id="rId1" Type="http://schemas.openxmlformats.org/officeDocument/2006/relationships/image" Target="../media/image3.jpg"/></Relationships>
</file>

<file path=xl/drawings/_rels/drawing49.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jpg"/></Relationships>
</file>

<file path=xl/drawings/_rels/drawing51.xml.rels><?xml version="1.0" encoding="UTF-8" standalone="yes"?>
<Relationships xmlns="http://schemas.openxmlformats.org/package/2006/relationships"><Relationship Id="rId1" Type="http://schemas.openxmlformats.org/officeDocument/2006/relationships/image" Target="../media/image3.jpg"/></Relationships>
</file>

<file path=xl/drawings/_rels/drawing52.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chart" Target="../charts/chart57.xml"/><Relationship Id="rId5" Type="http://schemas.openxmlformats.org/officeDocument/2006/relationships/chart" Target="../charts/chart56.xml"/><Relationship Id="rId4" Type="http://schemas.openxmlformats.org/officeDocument/2006/relationships/chart" Target="../charts/chart5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3.jpg"/></Relationships>
</file>

<file path=xl/drawings/_rels/drawing5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5.xml.rels><?xml version="1.0" encoding="UTF-8" standalone="yes"?>
<Relationships xmlns="http://schemas.openxmlformats.org/package/2006/relationships"><Relationship Id="rId1" Type="http://schemas.openxmlformats.org/officeDocument/2006/relationships/image" Target="../media/image3.jpg"/></Relationships>
</file>

<file path=xl/drawings/_rels/drawing56.xml.rels><?xml version="1.0" encoding="UTF-8" standalone="yes"?>
<Relationships xmlns="http://schemas.openxmlformats.org/package/2006/relationships"><Relationship Id="rId1" Type="http://schemas.openxmlformats.org/officeDocument/2006/relationships/image" Target="../media/image3.jpg"/></Relationships>
</file>

<file path=xl/drawings/_rels/drawing57.xml.rels><?xml version="1.0" encoding="UTF-8" standalone="yes"?>
<Relationships xmlns="http://schemas.openxmlformats.org/package/2006/relationships"><Relationship Id="rId1" Type="http://schemas.openxmlformats.org/officeDocument/2006/relationships/image" Target="../media/image3.jpg"/></Relationships>
</file>

<file path=xl/drawings/_rels/drawing58.xml.rels><?xml version="1.0" encoding="UTF-8" standalone="yes"?>
<Relationships xmlns="http://schemas.openxmlformats.org/package/2006/relationships"><Relationship Id="rId1" Type="http://schemas.openxmlformats.org/officeDocument/2006/relationships/image" Target="../media/image3.jpg"/></Relationships>
</file>

<file path=xl/drawings/_rels/drawing59.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jpg"/></Relationships>
</file>

<file path=xl/drawings/_rels/drawing61.xml.rels><?xml version="1.0" encoding="UTF-8" standalone="yes"?>
<Relationships xmlns="http://schemas.openxmlformats.org/package/2006/relationships"><Relationship Id="rId1" Type="http://schemas.openxmlformats.org/officeDocument/2006/relationships/image" Target="../media/image3.jpg"/></Relationships>
</file>

<file path=xl/drawings/_rels/drawing62.xml.rels><?xml version="1.0" encoding="UTF-8" standalone="yes"?>
<Relationships xmlns="http://schemas.openxmlformats.org/package/2006/relationships"><Relationship Id="rId2" Type="http://schemas.openxmlformats.org/officeDocument/2006/relationships/chart" Target="../charts/chart61.xml"/><Relationship Id="rId1" Type="http://schemas.openxmlformats.org/officeDocument/2006/relationships/chart" Target="../charts/chart60.xml"/></Relationships>
</file>

<file path=xl/drawings/_rels/drawing63.xml.rels><?xml version="1.0" encoding="UTF-8" standalone="yes"?>
<Relationships xmlns="http://schemas.openxmlformats.org/package/2006/relationships"><Relationship Id="rId1" Type="http://schemas.openxmlformats.org/officeDocument/2006/relationships/image" Target="../media/image3.jpg"/></Relationships>
</file>

<file path=xl/drawings/_rels/drawing64.xml.rels><?xml version="1.0" encoding="UTF-8" standalone="yes"?>
<Relationships xmlns="http://schemas.openxmlformats.org/package/2006/relationships"><Relationship Id="rId1" Type="http://schemas.openxmlformats.org/officeDocument/2006/relationships/image" Target="../media/image3.jpg"/></Relationships>
</file>

<file path=xl/drawings/_rels/drawing65.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66.xml.rels><?xml version="1.0" encoding="UTF-8" standalone="yes"?>
<Relationships xmlns="http://schemas.openxmlformats.org/package/2006/relationships"><Relationship Id="rId1" Type="http://schemas.openxmlformats.org/officeDocument/2006/relationships/image" Target="../media/image3.jpg"/></Relationships>
</file>

<file path=xl/drawings/_rels/drawing67.xml.rels><?xml version="1.0" encoding="UTF-8" standalone="yes"?>
<Relationships xmlns="http://schemas.openxmlformats.org/package/2006/relationships"><Relationship Id="rId3" Type="http://schemas.openxmlformats.org/officeDocument/2006/relationships/chart" Target="../charts/chart65.xml"/><Relationship Id="rId2" Type="http://schemas.openxmlformats.org/officeDocument/2006/relationships/chart" Target="../charts/chart64.xml"/><Relationship Id="rId1" Type="http://schemas.openxmlformats.org/officeDocument/2006/relationships/chart" Target="../charts/chart63.xml"/><Relationship Id="rId5" Type="http://schemas.openxmlformats.org/officeDocument/2006/relationships/chart" Target="../charts/chart67.xml"/><Relationship Id="rId4" Type="http://schemas.openxmlformats.org/officeDocument/2006/relationships/chart" Target="../charts/chart66.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70.xml"/><Relationship Id="rId2" Type="http://schemas.openxmlformats.org/officeDocument/2006/relationships/chart" Target="../charts/chart69.xml"/><Relationship Id="rId1" Type="http://schemas.openxmlformats.org/officeDocument/2006/relationships/chart" Target="../charts/chart68.xml"/></Relationships>
</file>

<file path=xl/drawings/_rels/drawing74.xml.rels><?xml version="1.0" encoding="UTF-8" standalone="yes"?>
<Relationships xmlns="http://schemas.openxmlformats.org/package/2006/relationships"><Relationship Id="rId1" Type="http://schemas.openxmlformats.org/officeDocument/2006/relationships/image" Target="../media/image3.jpg"/></Relationships>
</file>

<file path=xl/drawings/_rels/drawing75.xml.rels><?xml version="1.0" encoding="UTF-8" standalone="yes"?>
<Relationships xmlns="http://schemas.openxmlformats.org/package/2006/relationships"><Relationship Id="rId1" Type="http://schemas.openxmlformats.org/officeDocument/2006/relationships/image" Target="../media/image3.jpg"/></Relationships>
</file>

<file path=xl/drawings/_rels/drawing7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7.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78.xml.rels><?xml version="1.0" encoding="UTF-8" standalone="yes"?>
<Relationships xmlns="http://schemas.openxmlformats.org/package/2006/relationships"><Relationship Id="rId1" Type="http://schemas.openxmlformats.org/officeDocument/2006/relationships/image" Target="../media/image3.jpg"/></Relationships>
</file>

<file path=xl/drawings/_rels/drawing79.xml.rels><?xml version="1.0" encoding="UTF-8" standalone="yes"?>
<Relationships xmlns="http://schemas.openxmlformats.org/package/2006/relationships"><Relationship Id="rId3" Type="http://schemas.openxmlformats.org/officeDocument/2006/relationships/chart" Target="../charts/chart74.xml"/><Relationship Id="rId2" Type="http://schemas.openxmlformats.org/officeDocument/2006/relationships/chart" Target="../charts/chart73.xml"/><Relationship Id="rId1" Type="http://schemas.openxmlformats.org/officeDocument/2006/relationships/chart" Target="../charts/chart72.xml"/><Relationship Id="rId5" Type="http://schemas.openxmlformats.org/officeDocument/2006/relationships/chart" Target="../charts/chart76.xml"/><Relationship Id="rId4" Type="http://schemas.openxmlformats.org/officeDocument/2006/relationships/chart" Target="../charts/chart75.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5.xml.rels><?xml version="1.0" encoding="UTF-8" standalone="yes"?>
<Relationships xmlns="http://schemas.openxmlformats.org/package/2006/relationships"><Relationship Id="rId3" Type="http://schemas.openxmlformats.org/officeDocument/2006/relationships/chart" Target="../charts/chart79.xml"/><Relationship Id="rId2" Type="http://schemas.openxmlformats.org/officeDocument/2006/relationships/chart" Target="../charts/chart78.xml"/><Relationship Id="rId1" Type="http://schemas.openxmlformats.org/officeDocument/2006/relationships/chart" Target="../charts/chart77.xml"/><Relationship Id="rId5" Type="http://schemas.openxmlformats.org/officeDocument/2006/relationships/chart" Target="../charts/chart81.xml"/><Relationship Id="rId4" Type="http://schemas.openxmlformats.org/officeDocument/2006/relationships/chart" Target="../charts/chart80.xml"/></Relationships>
</file>

<file path=xl/drawings/_rels/drawing86.xml.rels><?xml version="1.0" encoding="UTF-8" standalone="yes"?>
<Relationships xmlns="http://schemas.openxmlformats.org/package/2006/relationships"><Relationship Id="rId1" Type="http://schemas.openxmlformats.org/officeDocument/2006/relationships/image" Target="../media/image3.jpg"/></Relationships>
</file>

<file path=xl/drawings/_rels/drawing87.xml.rels><?xml version="1.0" encoding="UTF-8" standalone="yes"?>
<Relationships xmlns="http://schemas.openxmlformats.org/package/2006/relationships"><Relationship Id="rId1" Type="http://schemas.openxmlformats.org/officeDocument/2006/relationships/image" Target="../media/image3.jpg"/></Relationships>
</file>

<file path=xl/drawings/_rels/drawing88.xml.rels><?xml version="1.0" encoding="UTF-8" standalone="yes"?>
<Relationships xmlns="http://schemas.openxmlformats.org/package/2006/relationships"><Relationship Id="rId1" Type="http://schemas.openxmlformats.org/officeDocument/2006/relationships/image" Target="../media/image3.jpg"/></Relationships>
</file>

<file path=xl/drawings/_rels/drawing89.xml.rels><?xml version="1.0" encoding="UTF-8" standalone="yes"?>
<Relationships xmlns="http://schemas.openxmlformats.org/package/2006/relationships"><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3.jpg"/></Relationships>
</file>

<file path=xl/drawings/_rels/drawing91.xml.rels><?xml version="1.0" encoding="UTF-8" standalone="yes"?>
<Relationships xmlns="http://schemas.openxmlformats.org/package/2006/relationships"><Relationship Id="rId3" Type="http://schemas.openxmlformats.org/officeDocument/2006/relationships/chart" Target="../charts/chart84.xml"/><Relationship Id="rId2" Type="http://schemas.openxmlformats.org/officeDocument/2006/relationships/chart" Target="../charts/chart83.xml"/><Relationship Id="rId1" Type="http://schemas.openxmlformats.org/officeDocument/2006/relationships/chart" Target="../charts/chart82.xml"/><Relationship Id="rId5" Type="http://schemas.openxmlformats.org/officeDocument/2006/relationships/chart" Target="../charts/chart86.xml"/><Relationship Id="rId4" Type="http://schemas.openxmlformats.org/officeDocument/2006/relationships/chart" Target="../charts/chart85.xml"/></Relationships>
</file>

<file path=xl/drawings/_rels/drawing92.xml.rels><?xml version="1.0" encoding="UTF-8" standalone="yes"?>
<Relationships xmlns="http://schemas.openxmlformats.org/package/2006/relationships"><Relationship Id="rId1" Type="http://schemas.openxmlformats.org/officeDocument/2006/relationships/image" Target="../media/image3.jpg"/></Relationships>
</file>

<file path=xl/drawings/_rels/drawing93.xml.rels><?xml version="1.0" encoding="UTF-8" standalone="yes"?>
<Relationships xmlns="http://schemas.openxmlformats.org/package/2006/relationships"><Relationship Id="rId1" Type="http://schemas.openxmlformats.org/officeDocument/2006/relationships/image" Target="../media/image3.jpg"/></Relationships>
</file>

<file path=xl/drawings/_rels/drawing94.xml.rels><?xml version="1.0" encoding="UTF-8" standalone="yes"?>
<Relationships xmlns="http://schemas.openxmlformats.org/package/2006/relationships"><Relationship Id="rId1" Type="http://schemas.openxmlformats.org/officeDocument/2006/relationships/image" Target="../media/image3.jpg"/></Relationships>
</file>

<file path=xl/drawings/_rels/drawing95.xml.rels><?xml version="1.0" encoding="UTF-8" standalone="yes"?>
<Relationships xmlns="http://schemas.openxmlformats.org/package/2006/relationships"><Relationship Id="rId1" Type="http://schemas.openxmlformats.org/officeDocument/2006/relationships/image" Target="../media/image3.jpg"/></Relationships>
</file>

<file path=xl/drawings/_rels/drawing96.xml.rels><?xml version="1.0" encoding="UTF-8" standalone="yes"?>
<Relationships xmlns="http://schemas.openxmlformats.org/package/2006/relationships"><Relationship Id="rId1" Type="http://schemas.openxmlformats.org/officeDocument/2006/relationships/image" Target="../media/image3.jpg"/></Relationships>
</file>

<file path=xl/drawings/_rels/drawing97.xml.rels><?xml version="1.0" encoding="UTF-8" standalone="yes"?>
<Relationships xmlns="http://schemas.openxmlformats.org/package/2006/relationships"><Relationship Id="rId3" Type="http://schemas.openxmlformats.org/officeDocument/2006/relationships/chart" Target="../charts/chart89.xml"/><Relationship Id="rId2" Type="http://schemas.openxmlformats.org/officeDocument/2006/relationships/chart" Target="../charts/chart88.xml"/><Relationship Id="rId1" Type="http://schemas.openxmlformats.org/officeDocument/2006/relationships/chart" Target="../charts/chart87.xml"/></Relationships>
</file>

<file path=xl/drawings/_rels/drawing98.xml.rels><?xml version="1.0" encoding="UTF-8" standalone="yes"?>
<Relationships xmlns="http://schemas.openxmlformats.org/package/2006/relationships"><Relationship Id="rId1" Type="http://schemas.openxmlformats.org/officeDocument/2006/relationships/image" Target="../media/image3.jpg"/></Relationships>
</file>

<file path=xl/drawings/_rels/drawing99.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0</xdr:col>
      <xdr:colOff>833438</xdr:colOff>
      <xdr:row>32</xdr:row>
      <xdr:rowOff>0</xdr:rowOff>
    </xdr:from>
    <xdr:to>
      <xdr:col>5</xdr:col>
      <xdr:colOff>702469</xdr:colOff>
      <xdr:row>48</xdr:row>
      <xdr:rowOff>55467</xdr:rowOff>
    </xdr:to>
    <xdr:graphicFrame macro="">
      <xdr:nvGraphicFramePr>
        <xdr:cNvPr id="8" name="Chart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833438</xdr:colOff>
      <xdr:row>49</xdr:row>
      <xdr:rowOff>178594</xdr:rowOff>
    </xdr:from>
    <xdr:to>
      <xdr:col>5</xdr:col>
      <xdr:colOff>702469</xdr:colOff>
      <xdr:row>66</xdr:row>
      <xdr:rowOff>43561</xdr:rowOff>
    </xdr:to>
    <xdr:graphicFrame macro="">
      <xdr:nvGraphicFramePr>
        <xdr:cNvPr id="16" name="Chart 15">
          <a:extLst>
            <a:ext uri="{FF2B5EF4-FFF2-40B4-BE49-F238E27FC236}">
              <a16:creationId xmlns:a16="http://schemas.microsoft.com/office/drawing/2014/main" id="{00000000-0008-0000-01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11907</xdr:colOff>
      <xdr:row>14</xdr:row>
      <xdr:rowOff>1</xdr:rowOff>
    </xdr:from>
    <xdr:to>
      <xdr:col>6</xdr:col>
      <xdr:colOff>11907</xdr:colOff>
      <xdr:row>30</xdr:row>
      <xdr:rowOff>55468</xdr:rowOff>
    </xdr:to>
    <xdr:graphicFrame macro="">
      <xdr:nvGraphicFramePr>
        <xdr:cNvPr id="17" name="Chart 16">
          <a:extLst>
            <a:ext uri="{FF2B5EF4-FFF2-40B4-BE49-F238E27FC236}">
              <a16:creationId xmlns:a16="http://schemas.microsoft.com/office/drawing/2014/main" id="{00000000-0008-0000-01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0</xdr:colOff>
      <xdr:row>31</xdr:row>
      <xdr:rowOff>178594</xdr:rowOff>
    </xdr:from>
    <xdr:to>
      <xdr:col>36</xdr:col>
      <xdr:colOff>107156</xdr:colOff>
      <xdr:row>48</xdr:row>
      <xdr:rowOff>43561</xdr:rowOff>
    </xdr:to>
    <xdr:graphicFrame macro="">
      <xdr:nvGraphicFramePr>
        <xdr:cNvPr id="19" name="Chart 18">
          <a:extLst>
            <a:ext uri="{FF2B5EF4-FFF2-40B4-BE49-F238E27FC236}">
              <a16:creationId xmlns:a16="http://schemas.microsoft.com/office/drawing/2014/main" id="{00000000-0008-0000-01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0</xdr:colOff>
      <xdr:row>32</xdr:row>
      <xdr:rowOff>0</xdr:rowOff>
    </xdr:from>
    <xdr:to>
      <xdr:col>30</xdr:col>
      <xdr:colOff>107156</xdr:colOff>
      <xdr:row>48</xdr:row>
      <xdr:rowOff>55467</xdr:rowOff>
    </xdr:to>
    <xdr:graphicFrame macro="">
      <xdr:nvGraphicFramePr>
        <xdr:cNvPr id="21" name="Chart 20">
          <a:extLst>
            <a:ext uri="{FF2B5EF4-FFF2-40B4-BE49-F238E27FC236}">
              <a16:creationId xmlns:a16="http://schemas.microsoft.com/office/drawing/2014/main" id="{00000000-0008-0000-01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0</xdr:colOff>
      <xdr:row>32</xdr:row>
      <xdr:rowOff>11906</xdr:rowOff>
    </xdr:from>
    <xdr:to>
      <xdr:col>24</xdr:col>
      <xdr:colOff>0</xdr:colOff>
      <xdr:row>48</xdr:row>
      <xdr:rowOff>67373</xdr:rowOff>
    </xdr:to>
    <xdr:graphicFrame macro="">
      <xdr:nvGraphicFramePr>
        <xdr:cNvPr id="23" name="Chart 22">
          <a:extLst>
            <a:ext uri="{FF2B5EF4-FFF2-40B4-BE49-F238E27FC236}">
              <a16:creationId xmlns:a16="http://schemas.microsoft.com/office/drawing/2014/main" id="{00000000-0008-0000-01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12</xdr:col>
      <xdr:colOff>488156</xdr:colOff>
      <xdr:row>32</xdr:row>
      <xdr:rowOff>0</xdr:rowOff>
    </xdr:from>
    <xdr:to>
      <xdr:col>17</xdr:col>
      <xdr:colOff>702468</xdr:colOff>
      <xdr:row>48</xdr:row>
      <xdr:rowOff>55467</xdr:rowOff>
    </xdr:to>
    <xdr:graphicFrame macro="">
      <xdr:nvGraphicFramePr>
        <xdr:cNvPr id="25" name="Chart 24">
          <a:extLst>
            <a:ext uri="{FF2B5EF4-FFF2-40B4-BE49-F238E27FC236}">
              <a16:creationId xmlns:a16="http://schemas.microsoft.com/office/drawing/2014/main" id="{00000000-0008-0000-01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11907</xdr:colOff>
      <xdr:row>31</xdr:row>
      <xdr:rowOff>178594</xdr:rowOff>
    </xdr:from>
    <xdr:to>
      <xdr:col>12</xdr:col>
      <xdr:colOff>11907</xdr:colOff>
      <xdr:row>48</xdr:row>
      <xdr:rowOff>43561</xdr:rowOff>
    </xdr:to>
    <xdr:graphicFrame macro="">
      <xdr:nvGraphicFramePr>
        <xdr:cNvPr id="27" name="Chart 26">
          <a:extLst>
            <a:ext uri="{FF2B5EF4-FFF2-40B4-BE49-F238E27FC236}">
              <a16:creationId xmlns:a16="http://schemas.microsoft.com/office/drawing/2014/main" id="{00000000-0008-0000-01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31</xdr:col>
      <xdr:colOff>0</xdr:colOff>
      <xdr:row>14</xdr:row>
      <xdr:rowOff>0</xdr:rowOff>
    </xdr:from>
    <xdr:to>
      <xdr:col>36</xdr:col>
      <xdr:colOff>107156</xdr:colOff>
      <xdr:row>30</xdr:row>
      <xdr:rowOff>55467</xdr:rowOff>
    </xdr:to>
    <xdr:graphicFrame macro="">
      <xdr:nvGraphicFramePr>
        <xdr:cNvPr id="28" name="Chart 27">
          <a:extLst>
            <a:ext uri="{FF2B5EF4-FFF2-40B4-BE49-F238E27FC236}">
              <a16:creationId xmlns:a16="http://schemas.microsoft.com/office/drawing/2014/main" id="{00000000-0008-0000-01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25</xdr:col>
      <xdr:colOff>0</xdr:colOff>
      <xdr:row>14</xdr:row>
      <xdr:rowOff>11906</xdr:rowOff>
    </xdr:from>
    <xdr:to>
      <xdr:col>30</xdr:col>
      <xdr:colOff>107156</xdr:colOff>
      <xdr:row>30</xdr:row>
      <xdr:rowOff>67373</xdr:rowOff>
    </xdr:to>
    <xdr:graphicFrame macro="">
      <xdr:nvGraphicFramePr>
        <xdr:cNvPr id="29" name="Chart 28">
          <a:extLst>
            <a:ext uri="{FF2B5EF4-FFF2-40B4-BE49-F238E27FC236}">
              <a16:creationId xmlns:a16="http://schemas.microsoft.com/office/drawing/2014/main" id="{00000000-0008-0000-0100-00001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0</xdr:colOff>
      <xdr:row>14</xdr:row>
      <xdr:rowOff>11906</xdr:rowOff>
    </xdr:from>
    <xdr:to>
      <xdr:col>24</xdr:col>
      <xdr:colOff>0</xdr:colOff>
      <xdr:row>30</xdr:row>
      <xdr:rowOff>67373</xdr:rowOff>
    </xdr:to>
    <xdr:graphicFrame macro="">
      <xdr:nvGraphicFramePr>
        <xdr:cNvPr id="30" name="Chart 29">
          <a:extLst>
            <a:ext uri="{FF2B5EF4-FFF2-40B4-BE49-F238E27FC236}">
              <a16:creationId xmlns:a16="http://schemas.microsoft.com/office/drawing/2014/main" id="{00000000-0008-0000-0100-00001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0</xdr:colOff>
      <xdr:row>14</xdr:row>
      <xdr:rowOff>0</xdr:rowOff>
    </xdr:from>
    <xdr:to>
      <xdr:col>18</xdr:col>
      <xdr:colOff>0</xdr:colOff>
      <xdr:row>30</xdr:row>
      <xdr:rowOff>55467</xdr:rowOff>
    </xdr:to>
    <xdr:graphicFrame macro="">
      <xdr:nvGraphicFramePr>
        <xdr:cNvPr id="31" name="Chart 30">
          <a:extLst>
            <a:ext uri="{FF2B5EF4-FFF2-40B4-BE49-F238E27FC236}">
              <a16:creationId xmlns:a16="http://schemas.microsoft.com/office/drawing/2014/main" id="{00000000-0008-0000-01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0</xdr:colOff>
      <xdr:row>14</xdr:row>
      <xdr:rowOff>11906</xdr:rowOff>
    </xdr:from>
    <xdr:to>
      <xdr:col>12</xdr:col>
      <xdr:colOff>0</xdr:colOff>
      <xdr:row>30</xdr:row>
      <xdr:rowOff>67373</xdr:rowOff>
    </xdr:to>
    <xdr:graphicFrame macro="">
      <xdr:nvGraphicFramePr>
        <xdr:cNvPr id="32" name="Chart 31">
          <a:extLst>
            <a:ext uri="{FF2B5EF4-FFF2-40B4-BE49-F238E27FC236}">
              <a16:creationId xmlns:a16="http://schemas.microsoft.com/office/drawing/2014/main" id="{00000000-0008-0000-0100-00002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714373</xdr:colOff>
      <xdr:row>135</xdr:row>
      <xdr:rowOff>180974</xdr:rowOff>
    </xdr:from>
    <xdr:to>
      <xdr:col>18</xdr:col>
      <xdr:colOff>488155</xdr:colOff>
      <xdr:row>155</xdr:row>
      <xdr:rowOff>171449</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0</xdr:colOff>
      <xdr:row>158</xdr:row>
      <xdr:rowOff>0</xdr:rowOff>
    </xdr:from>
    <xdr:to>
      <xdr:col>19</xdr:col>
      <xdr:colOff>11906</xdr:colOff>
      <xdr:row>177</xdr:row>
      <xdr:rowOff>180975</xdr:rowOff>
    </xdr:to>
    <xdr:graphicFrame macro="">
      <xdr:nvGraphicFramePr>
        <xdr:cNvPr id="18" name="Chart 17">
          <a:extLst>
            <a:ext uri="{FF2B5EF4-FFF2-40B4-BE49-F238E27FC236}">
              <a16:creationId xmlns:a16="http://schemas.microsoft.com/office/drawing/2014/main" id="{00000000-0008-0000-01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0</xdr:colOff>
      <xdr:row>49</xdr:row>
      <xdr:rowOff>150813</xdr:rowOff>
    </xdr:from>
    <xdr:to>
      <xdr:col>12</xdr:col>
      <xdr:colOff>0</xdr:colOff>
      <xdr:row>66</xdr:row>
      <xdr:rowOff>31655</xdr:rowOff>
    </xdr:to>
    <xdr:graphicFrame macro="">
      <xdr:nvGraphicFramePr>
        <xdr:cNvPr id="22" name="Chart 21">
          <a:extLst>
            <a:ext uri="{FF2B5EF4-FFF2-40B4-BE49-F238E27FC236}">
              <a16:creationId xmlns:a16="http://schemas.microsoft.com/office/drawing/2014/main" id="{00000000-0008-0000-01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11906</xdr:colOff>
      <xdr:row>91</xdr:row>
      <xdr:rowOff>11906</xdr:rowOff>
    </xdr:from>
    <xdr:to>
      <xdr:col>19</xdr:col>
      <xdr:colOff>1</xdr:colOff>
      <xdr:row>108</xdr:row>
      <xdr:rowOff>119062</xdr:rowOff>
    </xdr:to>
    <xdr:graphicFrame macro="">
      <xdr:nvGraphicFramePr>
        <xdr:cNvPr id="26" name="Chart 25">
          <a:extLst>
            <a:ext uri="{FF2B5EF4-FFF2-40B4-BE49-F238E27FC236}">
              <a16:creationId xmlns:a16="http://schemas.microsoft.com/office/drawing/2014/main" id="{00000000-0008-0000-01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12</xdr:col>
      <xdr:colOff>345281</xdr:colOff>
      <xdr:row>50</xdr:row>
      <xdr:rowOff>2384</xdr:rowOff>
    </xdr:from>
    <xdr:to>
      <xdr:col>17</xdr:col>
      <xdr:colOff>583405</xdr:colOff>
      <xdr:row>66</xdr:row>
      <xdr:rowOff>43563</xdr:rowOff>
    </xdr:to>
    <xdr:graphicFrame macro="">
      <xdr:nvGraphicFramePr>
        <xdr:cNvPr id="20" name="Chart 21">
          <a:extLst>
            <a:ext uri="{FF2B5EF4-FFF2-40B4-BE49-F238E27FC236}">
              <a16:creationId xmlns:a16="http://schemas.microsoft.com/office/drawing/2014/main" id="{00000000-0008-0000-01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47624</xdr:colOff>
      <xdr:row>110</xdr:row>
      <xdr:rowOff>154781</xdr:rowOff>
    </xdr:from>
    <xdr:to>
      <xdr:col>19</xdr:col>
      <xdr:colOff>35719</xdr:colOff>
      <xdr:row>130</xdr:row>
      <xdr:rowOff>142874</xdr:rowOff>
    </xdr:to>
    <xdr:graphicFrame macro="">
      <xdr:nvGraphicFramePr>
        <xdr:cNvPr id="24" name="Chart 25">
          <a:extLst>
            <a:ext uri="{FF2B5EF4-FFF2-40B4-BE49-F238E27FC236}">
              <a16:creationId xmlns:a16="http://schemas.microsoft.com/office/drawing/2014/main" id="{00000000-0008-0000-01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19</xdr:col>
      <xdr:colOff>0</xdr:colOff>
      <xdr:row>50</xdr:row>
      <xdr:rowOff>0</xdr:rowOff>
    </xdr:from>
    <xdr:to>
      <xdr:col>23</xdr:col>
      <xdr:colOff>817561</xdr:colOff>
      <xdr:row>66</xdr:row>
      <xdr:rowOff>41179</xdr:rowOff>
    </xdr:to>
    <xdr:graphicFrame macro="">
      <xdr:nvGraphicFramePr>
        <xdr:cNvPr id="3" name="Chart 2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xdr:col>
      <xdr:colOff>11906</xdr:colOff>
      <xdr:row>70</xdr:row>
      <xdr:rowOff>11906</xdr:rowOff>
    </xdr:from>
    <xdr:to>
      <xdr:col>19</xdr:col>
      <xdr:colOff>1</xdr:colOff>
      <xdr:row>87</xdr:row>
      <xdr:rowOff>119062</xdr:rowOff>
    </xdr:to>
    <xdr:graphicFrame macro="">
      <xdr:nvGraphicFramePr>
        <xdr:cNvPr id="6" name="Chart 2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88899F86-6BEC-2623-7931-006F2E44B6D3}"/>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00.xml><?xml version="1.0" encoding="utf-8"?>
<c:userShapes xmlns:c="http://schemas.openxmlformats.org/drawingml/2006/chart">
  <cdr:relSizeAnchor xmlns:cdr="http://schemas.openxmlformats.org/drawingml/2006/chartDrawing">
    <cdr:from>
      <cdr:x>0.94953</cdr:x>
      <cdr:y>0.93262</cdr:y>
    </cdr:from>
    <cdr:to>
      <cdr:x>0.99835</cdr:x>
      <cdr:y>0.9938</cdr:y>
    </cdr:to>
    <cdr:pic>
      <cdr:nvPicPr>
        <cdr:cNvPr id="3" name="图片 2">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5482993" y="4912677"/>
          <a:ext cx="795945" cy="322297"/>
        </a:xfrm>
        <a:prstGeom xmlns:a="http://schemas.openxmlformats.org/drawingml/2006/main" prst="rect">
          <a:avLst/>
        </a:prstGeom>
      </cdr:spPr>
    </cdr:pic>
  </cdr:relSizeAnchor>
</c:userShapes>
</file>

<file path=xl/drawings/drawing11.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7A61FB82-FEAF-8A5E-E84D-B3168566194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2.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48991012-EF3B-8D58-CDF9-75380C7B406A}"/>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3.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F26ED7E-4279-F029-E77A-67ACF2871AC9}"/>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4.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38E41F2D-F69D-496A-89BC-D499C18918C0}"/>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5.xml><?xml version="1.0" encoding="utf-8"?>
<c:userShapes xmlns:c="http://schemas.openxmlformats.org/drawingml/2006/chart">
  <cdr:relSizeAnchor xmlns:cdr="http://schemas.openxmlformats.org/drawingml/2006/chartDrawing">
    <cdr:from>
      <cdr:x>0.88929</cdr:x>
      <cdr:y>0.91103</cdr:y>
    </cdr:from>
    <cdr:to>
      <cdr:x>0.98905</cdr:x>
      <cdr:y>0.98768</cdr:y>
    </cdr:to>
    <cdr:pic>
      <cdr:nvPicPr>
        <cdr:cNvPr id="2" name="图片 1">
          <a:extLst xmlns:a="http://schemas.openxmlformats.org/drawingml/2006/main">
            <a:ext uri="{FF2B5EF4-FFF2-40B4-BE49-F238E27FC236}">
              <a16:creationId xmlns:a16="http://schemas.microsoft.com/office/drawing/2014/main" id="{EBE23B23-E40B-BA4A-3AFA-D73C7053FDCE}"/>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34065" y="3462337"/>
          <a:ext cx="654446" cy="29132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6.xml><?xml version="1.0" encoding="utf-8"?>
<c:userShapes xmlns:c="http://schemas.openxmlformats.org/drawingml/2006/chart">
  <cdr:relSizeAnchor xmlns:cdr="http://schemas.openxmlformats.org/drawingml/2006/chartDrawing">
    <cdr:from>
      <cdr:x>0.89331</cdr:x>
      <cdr:y>0.90852</cdr:y>
    </cdr:from>
    <cdr:to>
      <cdr:x>0.99452</cdr:x>
      <cdr:y>0.98142</cdr:y>
    </cdr:to>
    <cdr:pic>
      <cdr:nvPicPr>
        <cdr:cNvPr id="2" name="图片 1">
          <a:extLst xmlns:a="http://schemas.openxmlformats.org/drawingml/2006/main">
            <a:ext uri="{FF2B5EF4-FFF2-40B4-BE49-F238E27FC236}">
              <a16:creationId xmlns:a16="http://schemas.microsoft.com/office/drawing/2014/main" id="{84F7D1D7-B74E-3359-7FDC-4C279FB74425}"/>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881688" y="3452812"/>
          <a:ext cx="666355" cy="27704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7.xml><?xml version="1.0" encoding="utf-8"?>
<c:userShapes xmlns:c="http://schemas.openxmlformats.org/drawingml/2006/chart">
  <cdr:relSizeAnchor xmlns:cdr="http://schemas.openxmlformats.org/drawingml/2006/chartDrawing">
    <cdr:from>
      <cdr:x>0.75879</cdr:x>
      <cdr:y>0.88464</cdr:y>
    </cdr:from>
    <cdr:to>
      <cdr:x>0.98618</cdr:x>
      <cdr:y>0.98318</cdr:y>
    </cdr:to>
    <cdr:pic>
      <cdr:nvPicPr>
        <cdr:cNvPr id="2" name="图片 1">
          <a:extLst xmlns:a="http://schemas.openxmlformats.org/drawingml/2006/main">
            <a:ext uri="{FF2B5EF4-FFF2-40B4-BE49-F238E27FC236}">
              <a16:creationId xmlns:a16="http://schemas.microsoft.com/office/drawing/2014/main" id="{5689A49D-462B-18CB-28A1-9B3848AFB2FB}"/>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385080" y="2745441"/>
          <a:ext cx="714743" cy="3058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8.xml><?xml version="1.0" encoding="utf-8"?>
<c:userShapes xmlns:c="http://schemas.openxmlformats.org/drawingml/2006/chart">
  <cdr:relSizeAnchor xmlns:cdr="http://schemas.openxmlformats.org/drawingml/2006/chartDrawing">
    <cdr:from>
      <cdr:x>0.89169</cdr:x>
      <cdr:y>0.89944</cdr:y>
    </cdr:from>
    <cdr:to>
      <cdr:x>0.99182</cdr:x>
      <cdr:y>0.98636</cdr:y>
    </cdr:to>
    <cdr:pic>
      <cdr:nvPicPr>
        <cdr:cNvPr id="2" name="图片 1">
          <a:extLst xmlns:a="http://schemas.openxmlformats.org/drawingml/2006/main">
            <a:ext uri="{FF2B5EF4-FFF2-40B4-BE49-F238E27FC236}">
              <a16:creationId xmlns:a16="http://schemas.microsoft.com/office/drawing/2014/main" id="{65480308-223B-959C-A763-41FD4FE91B8E}"/>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6703181" y="2870502"/>
          <a:ext cx="752687" cy="27740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19.xml><?xml version="1.0" encoding="utf-8"?>
<c:userShapes xmlns:c="http://schemas.openxmlformats.org/drawingml/2006/chart">
  <cdr:relSizeAnchor xmlns:cdr="http://schemas.openxmlformats.org/drawingml/2006/chartDrawing">
    <cdr:from>
      <cdr:x>0.75879</cdr:x>
      <cdr:y>0.88464</cdr:y>
    </cdr:from>
    <cdr:to>
      <cdr:x>0.98618</cdr:x>
      <cdr:y>0.98318</cdr:y>
    </cdr:to>
    <cdr:pic>
      <cdr:nvPicPr>
        <cdr:cNvPr id="2" name="图片 1">
          <a:extLst xmlns:a="http://schemas.openxmlformats.org/drawingml/2006/main">
            <a:ext uri="{FF2B5EF4-FFF2-40B4-BE49-F238E27FC236}">
              <a16:creationId xmlns:a16="http://schemas.microsoft.com/office/drawing/2014/main" id="{95840011-CFBB-BDFA-1DF5-705123D5A4F0}"/>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385080" y="2745441"/>
          <a:ext cx="714743" cy="30581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4E2DDBA0-5BB5-EDF5-B832-B60D55BAE7F2}"/>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0.xml><?xml version="1.0" encoding="utf-8"?>
<c:userShapes xmlns:c="http://schemas.openxmlformats.org/drawingml/2006/chart">
  <cdr:relSizeAnchor xmlns:cdr="http://schemas.openxmlformats.org/drawingml/2006/chartDrawing">
    <cdr:from>
      <cdr:x>0.88767</cdr:x>
      <cdr:y>0.91074</cdr:y>
    </cdr:from>
    <cdr:to>
      <cdr:x>0.98779</cdr:x>
      <cdr:y>0.98744</cdr:y>
    </cdr:to>
    <cdr:pic>
      <cdr:nvPicPr>
        <cdr:cNvPr id="2" name="图片 1">
          <a:extLst xmlns:a="http://schemas.openxmlformats.org/drawingml/2006/main">
            <a:ext uri="{FF2B5EF4-FFF2-40B4-BE49-F238E27FC236}">
              <a16:creationId xmlns:a16="http://schemas.microsoft.com/office/drawing/2014/main" id="{A83D926C-0D9B-677B-F5DE-B2F0770C2480}"/>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6672943" y="3293836"/>
          <a:ext cx="752687" cy="27740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1.xml><?xml version="1.0" encoding="utf-8"?>
<c:userShapes xmlns:c="http://schemas.openxmlformats.org/drawingml/2006/chart">
  <cdr:relSizeAnchor xmlns:cdr="http://schemas.openxmlformats.org/drawingml/2006/chartDrawing">
    <cdr:from>
      <cdr:x>0.83692</cdr:x>
      <cdr:y>0.89332</cdr:y>
    </cdr:from>
    <cdr:to>
      <cdr:x>0.98817</cdr:x>
      <cdr:y>0.9956</cdr:y>
    </cdr:to>
    <cdr:pic>
      <cdr:nvPicPr>
        <cdr:cNvPr id="4" name="图片 3">
          <a:extLst xmlns:a="http://schemas.openxmlformats.org/drawingml/2006/main">
            <a:ext uri="{FF2B5EF4-FFF2-40B4-BE49-F238E27FC236}">
              <a16:creationId xmlns:a16="http://schemas.microsoft.com/office/drawing/2014/main" id="{FACCDBFB-9940-F06F-FD03-6230BC37657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022600" y="2629969"/>
          <a:ext cx="546250" cy="301112"/>
        </a:xfrm>
        <a:prstGeom xmlns:a="http://schemas.openxmlformats.org/drawingml/2006/main" prst="rect">
          <a:avLst/>
        </a:prstGeom>
      </cdr:spPr>
    </cdr:pic>
  </cdr:relSizeAnchor>
</c:userShapes>
</file>

<file path=xl/drawings/drawing22.xml><?xml version="1.0" encoding="utf-8"?>
<c:userShapes xmlns:c="http://schemas.openxmlformats.org/drawingml/2006/chart">
  <cdr:relSizeAnchor xmlns:cdr="http://schemas.openxmlformats.org/drawingml/2006/chartDrawing">
    <cdr:from>
      <cdr:x>0.03763</cdr:x>
      <cdr:y>0.10356</cdr:y>
    </cdr:from>
    <cdr:to>
      <cdr:x>0.15026</cdr:x>
      <cdr:y>0.17225</cdr:y>
    </cdr:to>
    <cdr:sp macro="" textlink="">
      <cdr:nvSpPr>
        <cdr:cNvPr id="2" name="矩形 1"/>
        <cdr:cNvSpPr/>
      </cdr:nvSpPr>
      <cdr:spPr>
        <a:xfrm xmlns:a="http://schemas.openxmlformats.org/drawingml/2006/main">
          <a:off x="282916" y="330503"/>
          <a:ext cx="846666" cy="2192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ltLang="zh-CN" sz="1200" b="1" kern="1200"/>
            <a:t>5,125,504</a:t>
          </a:r>
          <a:endParaRPr lang="zh-CN" altLang="en-US" sz="1200" b="1" kern="1200"/>
        </a:p>
      </cdr:txBody>
    </cdr:sp>
  </cdr:relSizeAnchor>
  <cdr:relSizeAnchor xmlns:cdr="http://schemas.openxmlformats.org/drawingml/2006/chartDrawing">
    <cdr:from>
      <cdr:x>0.17671</cdr:x>
      <cdr:y>0.10356</cdr:y>
    </cdr:from>
    <cdr:to>
      <cdr:x>0.28933</cdr:x>
      <cdr:y>0.17225</cdr:y>
    </cdr:to>
    <cdr:sp macro="" textlink="">
      <cdr:nvSpPr>
        <cdr:cNvPr id="3" name="矩形 2"/>
        <cdr:cNvSpPr/>
      </cdr:nvSpPr>
      <cdr:spPr>
        <a:xfrm xmlns:a="http://schemas.openxmlformats.org/drawingml/2006/main">
          <a:off x="1328361" y="330503"/>
          <a:ext cx="846666" cy="2192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1200" b="1" kern="1200"/>
            <a:t>2,063,676</a:t>
          </a:r>
          <a:endParaRPr lang="zh-CN" altLang="en-US" sz="1200" b="1" kern="1200"/>
        </a:p>
      </cdr:txBody>
    </cdr:sp>
  </cdr:relSizeAnchor>
  <cdr:relSizeAnchor xmlns:cdr="http://schemas.openxmlformats.org/drawingml/2006/chartDrawing">
    <cdr:from>
      <cdr:x>0.32151</cdr:x>
      <cdr:y>0.10356</cdr:y>
    </cdr:from>
    <cdr:to>
      <cdr:x>0.43414</cdr:x>
      <cdr:y>0.17225</cdr:y>
    </cdr:to>
    <cdr:sp macro="" textlink="">
      <cdr:nvSpPr>
        <cdr:cNvPr id="4" name="矩形 3"/>
        <cdr:cNvSpPr/>
      </cdr:nvSpPr>
      <cdr:spPr>
        <a:xfrm xmlns:a="http://schemas.openxmlformats.org/drawingml/2006/main">
          <a:off x="2416931" y="330503"/>
          <a:ext cx="846666" cy="2192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1200" b="1" kern="1200"/>
            <a:t>1,271,759</a:t>
          </a:r>
          <a:endParaRPr lang="zh-CN" altLang="en-US" sz="1200" b="1" kern="1200"/>
        </a:p>
      </cdr:txBody>
    </cdr:sp>
  </cdr:relSizeAnchor>
  <cdr:relSizeAnchor xmlns:cdr="http://schemas.openxmlformats.org/drawingml/2006/chartDrawing">
    <cdr:from>
      <cdr:x>0.46431</cdr:x>
      <cdr:y>0.10356</cdr:y>
    </cdr:from>
    <cdr:to>
      <cdr:x>0.57694</cdr:x>
      <cdr:y>0.17225</cdr:y>
    </cdr:to>
    <cdr:sp macro="" textlink="">
      <cdr:nvSpPr>
        <cdr:cNvPr id="5" name="矩形 4"/>
        <cdr:cNvSpPr/>
      </cdr:nvSpPr>
      <cdr:spPr>
        <a:xfrm xmlns:a="http://schemas.openxmlformats.org/drawingml/2006/main">
          <a:off x="3490384" y="330503"/>
          <a:ext cx="846666" cy="2192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1200" b="1" kern="1200"/>
            <a:t>4,990,633</a:t>
          </a:r>
          <a:endParaRPr lang="zh-CN" altLang="en-US" sz="1200" b="1" kern="1200"/>
        </a:p>
      </cdr:txBody>
    </cdr:sp>
  </cdr:relSizeAnchor>
  <cdr:relSizeAnchor xmlns:cdr="http://schemas.openxmlformats.org/drawingml/2006/chartDrawing">
    <cdr:from>
      <cdr:x>0.6071</cdr:x>
      <cdr:y>0.10356</cdr:y>
    </cdr:from>
    <cdr:to>
      <cdr:x>0.71973</cdr:x>
      <cdr:y>0.17225</cdr:y>
    </cdr:to>
    <cdr:sp macro="" textlink="">
      <cdr:nvSpPr>
        <cdr:cNvPr id="6" name="矩形 5"/>
        <cdr:cNvSpPr/>
      </cdr:nvSpPr>
      <cdr:spPr>
        <a:xfrm xmlns:a="http://schemas.openxmlformats.org/drawingml/2006/main">
          <a:off x="4563836" y="330503"/>
          <a:ext cx="846666" cy="2192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1200" b="1" kern="1200"/>
            <a:t>3,455,220</a:t>
          </a:r>
          <a:endParaRPr lang="zh-CN" altLang="en-US" sz="1200" b="1" kern="1200"/>
        </a:p>
      </cdr:txBody>
    </cdr:sp>
  </cdr:relSizeAnchor>
  <cdr:relSizeAnchor xmlns:cdr="http://schemas.openxmlformats.org/drawingml/2006/chartDrawing">
    <cdr:from>
      <cdr:x>0.74286</cdr:x>
      <cdr:y>0.10356</cdr:y>
    </cdr:from>
    <cdr:to>
      <cdr:x>0.85549</cdr:x>
      <cdr:y>0.17225</cdr:y>
    </cdr:to>
    <cdr:sp macro="" textlink="">
      <cdr:nvSpPr>
        <cdr:cNvPr id="7" name="矩形 6"/>
        <cdr:cNvSpPr/>
      </cdr:nvSpPr>
      <cdr:spPr>
        <a:xfrm xmlns:a="http://schemas.openxmlformats.org/drawingml/2006/main">
          <a:off x="5584371" y="330503"/>
          <a:ext cx="846666" cy="2192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zh-CN" sz="1200" b="1" kern="1200"/>
            <a:t>1,594,763</a:t>
          </a:r>
          <a:endParaRPr lang="zh-CN" altLang="en-US" sz="1200" b="1" kern="1200"/>
        </a:p>
      </cdr:txBody>
    </cdr:sp>
  </cdr:relSizeAnchor>
  <cdr:relSizeAnchor xmlns:cdr="http://schemas.openxmlformats.org/drawingml/2006/chartDrawing">
    <cdr:from>
      <cdr:x>0.91823</cdr:x>
      <cdr:y>0.89423</cdr:y>
    </cdr:from>
    <cdr:to>
      <cdr:x>0.99451</cdr:x>
      <cdr:y>0.99375</cdr:y>
    </cdr:to>
    <cdr:pic>
      <cdr:nvPicPr>
        <cdr:cNvPr id="9" name="图片 8">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933515" y="2798711"/>
          <a:ext cx="576000" cy="311487"/>
        </a:xfrm>
        <a:prstGeom xmlns:a="http://schemas.openxmlformats.org/drawingml/2006/main" prst="rect">
          <a:avLst/>
        </a:prstGeom>
      </cdr:spPr>
    </cdr:pic>
  </cdr:relSizeAnchor>
</c:userShapes>
</file>

<file path=xl/drawings/drawing23.xml><?xml version="1.0" encoding="utf-8"?>
<xdr:wsDr xmlns:xdr="http://schemas.openxmlformats.org/drawingml/2006/spreadsheetDrawing" xmlns:a="http://schemas.openxmlformats.org/drawingml/2006/main">
  <xdr:twoCellAnchor>
    <xdr:from>
      <xdr:col>14</xdr:col>
      <xdr:colOff>97630</xdr:colOff>
      <xdr:row>5</xdr:row>
      <xdr:rowOff>99330</xdr:rowOff>
    </xdr:from>
    <xdr:to>
      <xdr:col>26</xdr:col>
      <xdr:colOff>22110</xdr:colOff>
      <xdr:row>27</xdr:row>
      <xdr:rowOff>146276</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69615</xdr:colOff>
      <xdr:row>32</xdr:row>
      <xdr:rowOff>113738</xdr:rowOff>
    </xdr:from>
    <xdr:to>
      <xdr:col>26</xdr:col>
      <xdr:colOff>201706</xdr:colOff>
      <xdr:row>53</xdr:row>
      <xdr:rowOff>39920</xdr:rowOff>
    </xdr:to>
    <xdr:graphicFrame macro="">
      <xdr:nvGraphicFramePr>
        <xdr:cNvPr id="5" name="Chart 4">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625928</xdr:colOff>
      <xdr:row>97</xdr:row>
      <xdr:rowOff>175192</xdr:rowOff>
    </xdr:from>
    <xdr:to>
      <xdr:col>23</xdr:col>
      <xdr:colOff>299764</xdr:colOff>
      <xdr:row>118</xdr:row>
      <xdr:rowOff>78240</xdr:rowOff>
    </xdr:to>
    <xdr:graphicFrame macro="">
      <xdr:nvGraphicFramePr>
        <xdr:cNvPr id="7" name="Chart 6">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37419</xdr:colOff>
      <xdr:row>120</xdr:row>
      <xdr:rowOff>125866</xdr:rowOff>
    </xdr:from>
    <xdr:to>
      <xdr:col>23</xdr:col>
      <xdr:colOff>391612</xdr:colOff>
      <xdr:row>139</xdr:row>
      <xdr:rowOff>125866</xdr:rowOff>
    </xdr:to>
    <xdr:graphicFrame macro="">
      <xdr:nvGraphicFramePr>
        <xdr:cNvPr id="8" name="Chart 7">
          <a:extLst>
            <a:ext uri="{FF2B5EF4-FFF2-40B4-BE49-F238E27FC236}">
              <a16:creationId xmlns:a16="http://schemas.microsoft.com/office/drawing/2014/main" id="{00000000-0008-0000-02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585107</xdr:colOff>
      <xdr:row>76</xdr:row>
      <xdr:rowOff>68036</xdr:rowOff>
    </xdr:from>
    <xdr:to>
      <xdr:col>23</xdr:col>
      <xdr:colOff>506864</xdr:colOff>
      <xdr:row>94</xdr:row>
      <xdr:rowOff>43845</xdr:rowOff>
    </xdr:to>
    <xdr:graphicFrame macro="">
      <xdr:nvGraphicFramePr>
        <xdr:cNvPr id="9" name="Chart 3">
          <a:extLst>
            <a:ext uri="{FF2B5EF4-FFF2-40B4-BE49-F238E27FC236}">
              <a16:creationId xmlns:a16="http://schemas.microsoft.com/office/drawing/2014/main" id="{00000000-0008-0000-02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585107</xdr:colOff>
      <xdr:row>55</xdr:row>
      <xdr:rowOff>36287</xdr:rowOff>
    </xdr:from>
    <xdr:to>
      <xdr:col>23</xdr:col>
      <xdr:colOff>506864</xdr:colOff>
      <xdr:row>75</xdr:row>
      <xdr:rowOff>43846</xdr:rowOff>
    </xdr:to>
    <xdr:graphicFrame macro="">
      <xdr:nvGraphicFramePr>
        <xdr:cNvPr id="2" name="Chart 3">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0.91542</cdr:x>
      <cdr:y>0.90706</cdr:y>
    </cdr:from>
    <cdr:to>
      <cdr:x>0.99447</cdr:x>
      <cdr:y>0.99551</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504268" y="3663034"/>
          <a:ext cx="648000" cy="357199"/>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0.92665</cdr:x>
      <cdr:y>0.90953</cdr:y>
    </cdr:from>
    <cdr:to>
      <cdr:x>0.99164</cdr:x>
      <cdr:y>0.99012</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788728" y="3398157"/>
          <a:ext cx="546250" cy="301112"/>
        </a:xfrm>
        <a:prstGeom xmlns:a="http://schemas.openxmlformats.org/drawingml/2006/main" prst="rect">
          <a:avLst/>
        </a:prstGeom>
      </cdr:spPr>
    </cdr:pic>
  </cdr:relSizeAnchor>
</c:userShapes>
</file>

<file path=xl/drawings/drawing26.xml><?xml version="1.0" encoding="utf-8"?>
<c:userShapes xmlns:c="http://schemas.openxmlformats.org/drawingml/2006/chart">
  <cdr:relSizeAnchor xmlns:cdr="http://schemas.openxmlformats.org/drawingml/2006/chartDrawing">
    <cdr:from>
      <cdr:x>0.79961</cdr:x>
      <cdr:y>0.90602</cdr:y>
    </cdr:from>
    <cdr:to>
      <cdr:x>0.90043</cdr:x>
      <cdr:y>0.97525</cdr:y>
    </cdr:to>
    <cdr:pic>
      <cdr:nvPicPr>
        <cdr:cNvPr id="2" name="图片 1">
          <a:extLst xmlns:a="http://schemas.openxmlformats.org/drawingml/2006/main">
            <a:ext uri="{FF2B5EF4-FFF2-40B4-BE49-F238E27FC236}">
              <a16:creationId xmlns:a16="http://schemas.microsoft.com/office/drawing/2014/main" id="{EFFDB891-5E6D-28A1-E72A-93E17AD36547}"/>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138596" y="3549024"/>
          <a:ext cx="647907" cy="2711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0.02346</cdr:x>
      <cdr:y>0.0163</cdr:y>
    </cdr:from>
    <cdr:to>
      <cdr:x>0.95785</cdr:x>
      <cdr:y>0.10236</cdr:y>
    </cdr:to>
    <cdr:sp macro="" textlink="">
      <cdr:nvSpPr>
        <cdr:cNvPr id="3" name="矩形 2"/>
        <cdr:cNvSpPr/>
      </cdr:nvSpPr>
      <cdr:spPr>
        <a:xfrm xmlns:a="http://schemas.openxmlformats.org/drawingml/2006/main">
          <a:off x="150763" y="58998"/>
          <a:ext cx="6004768" cy="311496"/>
        </a:xfrm>
        <a:prstGeom xmlns:a="http://schemas.openxmlformats.org/drawingml/2006/main" prst="rect">
          <a:avLst/>
        </a:prstGeom>
      </cdr:spPr>
      <cdr:txBody>
        <a:bodyPr xmlns:a="http://schemas.openxmlformats.org/drawingml/2006/main" vertOverflow="clip" wrap="square" rtlCol="0">
          <a:spAutoFit/>
        </a:bodyPr>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defRPr/>
          </a:pPr>
          <a:r>
            <a:rPr lang="en-US" sz="1400" b="1" i="0" baseline="0">
              <a:effectLst/>
              <a:latin typeface="+mn-lt"/>
              <a:ea typeface="+mn-ea"/>
              <a:cs typeface="+mn-cs"/>
            </a:rPr>
            <a:t>Fig. 2.5 CROSS FILINGS 2020 - MOST FREQUENT OFFICES COMBINATIONS</a:t>
          </a:r>
          <a:endParaRPr lang="en-GB" sz="1400">
            <a:effectLst/>
          </a:endParaRPr>
        </a:p>
      </cdr:txBody>
    </cdr:sp>
  </cdr:relSizeAnchor>
</c:userShapes>
</file>

<file path=xl/drawings/drawing27.xml><?xml version="1.0" encoding="utf-8"?>
<c:userShapes xmlns:c="http://schemas.openxmlformats.org/drawingml/2006/chart">
  <cdr:relSizeAnchor xmlns:cdr="http://schemas.openxmlformats.org/drawingml/2006/chartDrawing">
    <cdr:from>
      <cdr:x>0.88854</cdr:x>
      <cdr:y>0.9121</cdr:y>
    </cdr:from>
    <cdr:to>
      <cdr:x>0.98936</cdr:x>
      <cdr:y>0.98133</cdr:y>
    </cdr:to>
    <cdr:pic>
      <cdr:nvPicPr>
        <cdr:cNvPr id="2" name="图片 1">
          <a:extLst xmlns:a="http://schemas.openxmlformats.org/drawingml/2006/main">
            <a:ext uri="{FF2B5EF4-FFF2-40B4-BE49-F238E27FC236}">
              <a16:creationId xmlns:a16="http://schemas.microsoft.com/office/drawing/2014/main" id="{BAD0E44E-E5A5-E72B-013D-00CBBA54317E}"/>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574705" y="3136266"/>
          <a:ext cx="632542" cy="23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0.02346</cdr:x>
      <cdr:y>0.0163</cdr:y>
    </cdr:from>
    <cdr:to>
      <cdr:x>0.89852</cdr:x>
      <cdr:y>0.10236</cdr:y>
    </cdr:to>
    <cdr:sp macro="" textlink="">
      <cdr:nvSpPr>
        <cdr:cNvPr id="3" name="矩形 2"/>
        <cdr:cNvSpPr/>
      </cdr:nvSpPr>
      <cdr:spPr>
        <a:xfrm xmlns:a="http://schemas.openxmlformats.org/drawingml/2006/main">
          <a:off x="150763" y="58998"/>
          <a:ext cx="5623463" cy="31149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defRPr/>
          </a:pPr>
          <a:r>
            <a:rPr lang="en-GB" sz="1400" b="1">
              <a:effectLst/>
            </a:rPr>
            <a:t>Fig.</a:t>
          </a:r>
          <a:r>
            <a:rPr lang="en-GB" sz="1400" b="1" baseline="0">
              <a:effectLst/>
            </a:rPr>
            <a:t> 2.5 CROOS FILINGS 2019 - MOST FREQUENT OFFICES COMBINATIONS</a:t>
          </a:r>
          <a:endParaRPr lang="en-GB" sz="1400" b="1">
            <a:effectLst/>
          </a:endParaRPr>
        </a:p>
      </cdr:txBody>
    </cdr:sp>
  </cdr:relSizeAnchor>
  <cdr:relSizeAnchor xmlns:cdr="http://schemas.openxmlformats.org/drawingml/2006/chartDrawing">
    <cdr:from>
      <cdr:x>0.88854</cdr:x>
      <cdr:y>0.9121</cdr:y>
    </cdr:from>
    <cdr:to>
      <cdr:x>0.98936</cdr:x>
      <cdr:y>0.98133</cdr:y>
    </cdr:to>
    <cdr:pic>
      <cdr:nvPicPr>
        <cdr:cNvPr id="4" name="图片 3">
          <a:extLst xmlns:a="http://schemas.openxmlformats.org/drawingml/2006/main">
            <a:ext uri="{FF2B5EF4-FFF2-40B4-BE49-F238E27FC236}">
              <a16:creationId xmlns:a16="http://schemas.microsoft.com/office/drawing/2014/main" id="{0F037757-EC71-2449-B33E-6E40E9D11B25}"/>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574705" y="3136266"/>
          <a:ext cx="632542" cy="23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dr:relSizeAnchor xmlns:cdr="http://schemas.openxmlformats.org/drawingml/2006/chartDrawing">
    <cdr:from>
      <cdr:x>0.88854</cdr:x>
      <cdr:y>0.9121</cdr:y>
    </cdr:from>
    <cdr:to>
      <cdr:x>0.98936</cdr:x>
      <cdr:y>0.98133</cdr:y>
    </cdr:to>
    <cdr:pic>
      <cdr:nvPicPr>
        <cdr:cNvPr id="5" name="图片 4">
          <a:extLst xmlns:a="http://schemas.openxmlformats.org/drawingml/2006/main">
            <a:ext uri="{FF2B5EF4-FFF2-40B4-BE49-F238E27FC236}">
              <a16:creationId xmlns:a16="http://schemas.microsoft.com/office/drawing/2014/main" id="{3D34E4A1-2D06-D0E6-417D-50894A1406C3}"/>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5574705" y="3136266"/>
          <a:ext cx="632542" cy="23804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28.xml><?xml version="1.0" encoding="utf-8"?>
<c:userShapes xmlns:c="http://schemas.openxmlformats.org/drawingml/2006/chart">
  <cdr:relSizeAnchor xmlns:cdr="http://schemas.openxmlformats.org/drawingml/2006/chartDrawing">
    <cdr:from>
      <cdr:x>0.01631</cdr:x>
      <cdr:y>0.03125</cdr:y>
    </cdr:from>
    <cdr:to>
      <cdr:x>1</cdr:x>
      <cdr:y>0.13227</cdr:y>
    </cdr:to>
    <cdr:sp macro="" textlink="">
      <cdr:nvSpPr>
        <cdr:cNvPr id="2" name="矩形 1"/>
        <cdr:cNvSpPr/>
      </cdr:nvSpPr>
      <cdr:spPr>
        <a:xfrm xmlns:a="http://schemas.openxmlformats.org/drawingml/2006/main">
          <a:off x="99037" y="101203"/>
          <a:ext cx="5973174" cy="327141"/>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500" b="1"/>
            <a:t>Fig. 2.5 CROSS FILINGS 2021 - MOST FREQUENT OFFICES COMBINATIONS</a:t>
          </a:r>
        </a:p>
      </cdr:txBody>
    </cdr:sp>
  </cdr:relSizeAnchor>
</c:userShapes>
</file>

<file path=xl/drawings/drawing29.xml><?xml version="1.0" encoding="utf-8"?>
<c:userShapes xmlns:c="http://schemas.openxmlformats.org/drawingml/2006/chart">
  <cdr:relSizeAnchor xmlns:cdr="http://schemas.openxmlformats.org/drawingml/2006/chartDrawing">
    <cdr:from>
      <cdr:x>0.01631</cdr:x>
      <cdr:y>0.03125</cdr:y>
    </cdr:from>
    <cdr:to>
      <cdr:x>0.81215</cdr:x>
      <cdr:y>0.13217</cdr:y>
    </cdr:to>
    <cdr:sp macro="" textlink="">
      <cdr:nvSpPr>
        <cdr:cNvPr id="2" name="矩形 1"/>
        <cdr:cNvSpPr/>
      </cdr:nvSpPr>
      <cdr:spPr>
        <a:xfrm xmlns:a="http://schemas.openxmlformats.org/drawingml/2006/main">
          <a:off x="122414" y="101298"/>
          <a:ext cx="5973174" cy="327141"/>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500" b="1"/>
            <a:t>Fig. 2.5 CROSS FILINGS 2022 - MOST FREQUENT OFFICES COMBINATIONS</a:t>
          </a:r>
        </a:p>
      </cdr:txBody>
    </cdr:sp>
  </cdr:relSizeAnchor>
  <cdr:relSizeAnchor xmlns:cdr="http://schemas.openxmlformats.org/drawingml/2006/chartDrawing">
    <cdr:from>
      <cdr:x>0.01402</cdr:x>
      <cdr:y>0.89464</cdr:y>
    </cdr:from>
    <cdr:to>
      <cdr:x>0.10092</cdr:x>
      <cdr:y>0.99252</cdr:y>
    </cdr:to>
    <cdr:pic>
      <cdr:nvPicPr>
        <cdr:cNvPr id="4" name="图片 3">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5229" y="3253014"/>
          <a:ext cx="652236" cy="355902"/>
        </a:xfrm>
        <a:prstGeom xmlns:a="http://schemas.openxmlformats.org/drawingml/2006/main" prst="rect">
          <a:avLst/>
        </a:prstGeom>
      </cdr:spPr>
    </cdr:pic>
  </cdr:relSizeAnchor>
</c:userShapes>
</file>

<file path=xl/drawings/drawing3.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A27BFBAE-EEC6-703C-FD9B-4F395E9A4D32}"/>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30.xml><?xml version="1.0" encoding="utf-8"?>
<xdr:wsDr xmlns:xdr="http://schemas.openxmlformats.org/drawingml/2006/spreadsheetDrawing" xmlns:a="http://schemas.openxmlformats.org/drawingml/2006/main">
  <xdr:twoCellAnchor>
    <xdr:from>
      <xdr:col>30</xdr:col>
      <xdr:colOff>23812</xdr:colOff>
      <xdr:row>56</xdr:row>
      <xdr:rowOff>23811</xdr:rowOff>
    </xdr:from>
    <xdr:to>
      <xdr:col>37</xdr:col>
      <xdr:colOff>571500</xdr:colOff>
      <xdr:row>70</xdr:row>
      <xdr:rowOff>178592</xdr:rowOff>
    </xdr:to>
    <xdr:graphicFrame macro="">
      <xdr:nvGraphicFramePr>
        <xdr:cNvPr id="6" name="Chart 5">
          <a:extLst>
            <a:ext uri="{FF2B5EF4-FFF2-40B4-BE49-F238E27FC236}">
              <a16:creationId xmlns:a16="http://schemas.microsoft.com/office/drawing/2014/main" id="{00000000-0008-0000-06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23812</xdr:colOff>
      <xdr:row>56</xdr:row>
      <xdr:rowOff>23811</xdr:rowOff>
    </xdr:from>
    <xdr:to>
      <xdr:col>45</xdr:col>
      <xdr:colOff>571500</xdr:colOff>
      <xdr:row>70</xdr:row>
      <xdr:rowOff>178592</xdr:rowOff>
    </xdr:to>
    <xdr:graphicFrame macro="">
      <xdr:nvGraphicFramePr>
        <xdr:cNvPr id="7" name="Chart 6">
          <a:extLst>
            <a:ext uri="{FF2B5EF4-FFF2-40B4-BE49-F238E27FC236}">
              <a16:creationId xmlns:a16="http://schemas.microsoft.com/office/drawing/2014/main" id="{00000000-0008-0000-06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46</xdr:col>
      <xdr:colOff>23812</xdr:colOff>
      <xdr:row>56</xdr:row>
      <xdr:rowOff>23811</xdr:rowOff>
    </xdr:from>
    <xdr:to>
      <xdr:col>53</xdr:col>
      <xdr:colOff>571500</xdr:colOff>
      <xdr:row>70</xdr:row>
      <xdr:rowOff>178592</xdr:rowOff>
    </xdr:to>
    <xdr:graphicFrame macro="">
      <xdr:nvGraphicFramePr>
        <xdr:cNvPr id="8" name="Chart 7">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23812</xdr:colOff>
      <xdr:row>71</xdr:row>
      <xdr:rowOff>11906</xdr:rowOff>
    </xdr:from>
    <xdr:to>
      <xdr:col>37</xdr:col>
      <xdr:colOff>571500</xdr:colOff>
      <xdr:row>85</xdr:row>
      <xdr:rowOff>154780</xdr:rowOff>
    </xdr:to>
    <xdr:graphicFrame macro="">
      <xdr:nvGraphicFramePr>
        <xdr:cNvPr id="9" name="Chart 8">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xdr:col>
      <xdr:colOff>0</xdr:colOff>
      <xdr:row>71</xdr:row>
      <xdr:rowOff>11906</xdr:rowOff>
    </xdr:from>
    <xdr:to>
      <xdr:col>45</xdr:col>
      <xdr:colOff>547688</xdr:colOff>
      <xdr:row>85</xdr:row>
      <xdr:rowOff>154780</xdr:rowOff>
    </xdr:to>
    <xdr:graphicFrame macro="">
      <xdr:nvGraphicFramePr>
        <xdr:cNvPr id="10" name="Chart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46</xdr:col>
      <xdr:colOff>11906</xdr:colOff>
      <xdr:row>71</xdr:row>
      <xdr:rowOff>11906</xdr:rowOff>
    </xdr:from>
    <xdr:to>
      <xdr:col>53</xdr:col>
      <xdr:colOff>559594</xdr:colOff>
      <xdr:row>85</xdr:row>
      <xdr:rowOff>154780</xdr:rowOff>
    </xdr:to>
    <xdr:graphicFrame macro="">
      <xdr:nvGraphicFramePr>
        <xdr:cNvPr id="11" name="Chart 10">
          <a:extLst>
            <a:ext uri="{FF2B5EF4-FFF2-40B4-BE49-F238E27FC236}">
              <a16:creationId xmlns:a16="http://schemas.microsoft.com/office/drawing/2014/main" id="{00000000-0008-0000-06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29</xdr:col>
      <xdr:colOff>7142</xdr:colOff>
      <xdr:row>31</xdr:row>
      <xdr:rowOff>9525</xdr:rowOff>
    </xdr:from>
    <xdr:to>
      <xdr:col>46</xdr:col>
      <xdr:colOff>7143</xdr:colOff>
      <xdr:row>53</xdr:row>
      <xdr:rowOff>9524</xdr:rowOff>
    </xdr:to>
    <xdr:graphicFrame macro="">
      <xdr:nvGraphicFramePr>
        <xdr:cNvPr id="15" name="Chart 14">
          <a:extLst>
            <a:ext uri="{FF2B5EF4-FFF2-40B4-BE49-F238E27FC236}">
              <a16:creationId xmlns:a16="http://schemas.microsoft.com/office/drawing/2014/main" id="{00000000-0008-0000-06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xdr:col>
      <xdr:colOff>600075</xdr:colOff>
      <xdr:row>8</xdr:row>
      <xdr:rowOff>0</xdr:rowOff>
    </xdr:from>
    <xdr:to>
      <xdr:col>45</xdr:col>
      <xdr:colOff>587375</xdr:colOff>
      <xdr:row>29</xdr:row>
      <xdr:rowOff>177799</xdr:rowOff>
    </xdr:to>
    <xdr:graphicFrame macro="">
      <xdr:nvGraphicFramePr>
        <xdr:cNvPr id="16" name="Chart 15">
          <a:extLst>
            <a:ext uri="{FF2B5EF4-FFF2-40B4-BE49-F238E27FC236}">
              <a16:creationId xmlns:a16="http://schemas.microsoft.com/office/drawing/2014/main" id="{00000000-0008-0000-06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46</xdr:col>
      <xdr:colOff>595312</xdr:colOff>
      <xdr:row>8</xdr:row>
      <xdr:rowOff>0</xdr:rowOff>
    </xdr:from>
    <xdr:to>
      <xdr:col>59</xdr:col>
      <xdr:colOff>11906</xdr:colOff>
      <xdr:row>29</xdr:row>
      <xdr:rowOff>190499</xdr:rowOff>
    </xdr:to>
    <xdr:graphicFrame macro="">
      <xdr:nvGraphicFramePr>
        <xdr:cNvPr id="17" name="Chart 16">
          <a:extLst>
            <a:ext uri="{FF2B5EF4-FFF2-40B4-BE49-F238E27FC236}">
              <a16:creationId xmlns:a16="http://schemas.microsoft.com/office/drawing/2014/main" id="{00000000-0008-0000-06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46</xdr:col>
      <xdr:colOff>641854</xdr:colOff>
      <xdr:row>31</xdr:row>
      <xdr:rowOff>14936</xdr:rowOff>
    </xdr:from>
    <xdr:to>
      <xdr:col>59</xdr:col>
      <xdr:colOff>34636</xdr:colOff>
      <xdr:row>53</xdr:row>
      <xdr:rowOff>14935</xdr:rowOff>
    </xdr:to>
    <xdr:graphicFrame macro="">
      <xdr:nvGraphicFramePr>
        <xdr:cNvPr id="13" name="Chart 12">
          <a:extLst>
            <a:ext uri="{FF2B5EF4-FFF2-40B4-BE49-F238E27FC236}">
              <a16:creationId xmlns:a16="http://schemas.microsoft.com/office/drawing/2014/main" id="{00000000-0008-0000-06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52</xdr:col>
      <xdr:colOff>577273</xdr:colOff>
      <xdr:row>54</xdr:row>
      <xdr:rowOff>34635</xdr:rowOff>
    </xdr:from>
    <xdr:to>
      <xdr:col>53</xdr:col>
      <xdr:colOff>603977</xdr:colOff>
      <xdr:row>55</xdr:row>
      <xdr:rowOff>205482</xdr:rowOff>
    </xdr:to>
    <xdr:pic>
      <xdr:nvPicPr>
        <xdr:cNvPr id="3" name="图片 2">
          <a:extLst>
            <a:ext uri="{FF2B5EF4-FFF2-40B4-BE49-F238E27FC236}">
              <a16:creationId xmlns:a16="http://schemas.microsoft.com/office/drawing/2014/main" id="{8094A4F6-716F-72CB-FACD-58F723DFB0B5}"/>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9704818" y="9559635"/>
          <a:ext cx="707886" cy="390211"/>
        </a:xfrm>
        <a:prstGeom prst="rect">
          <a:avLst/>
        </a:prstGeom>
      </xdr:spPr>
    </xdr:pic>
    <xdr:clientData/>
  </xdr:twoCellAnchor>
</xdr:wsDr>
</file>

<file path=xl/drawings/drawing31.xml><?xml version="1.0" encoding="utf-8"?>
<c:userShapes xmlns:c="http://schemas.openxmlformats.org/drawingml/2006/chart">
  <cdr:relSizeAnchor xmlns:cdr="http://schemas.openxmlformats.org/drawingml/2006/chartDrawing">
    <cdr:from>
      <cdr:x>0.95256</cdr:x>
      <cdr:y>0.91629</cdr:y>
    </cdr:from>
    <cdr:to>
      <cdr:x>0.99931</cdr:x>
      <cdr:y>0.99263</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1129682" y="3614271"/>
          <a:ext cx="546250" cy="301112"/>
        </a:xfrm>
        <a:prstGeom xmlns:a="http://schemas.openxmlformats.org/drawingml/2006/main" prst="rect">
          <a:avLst/>
        </a:prstGeom>
      </cdr:spPr>
    </cdr:pic>
  </cdr:relSizeAnchor>
</c:userShapes>
</file>

<file path=xl/drawings/drawing32.xml><?xml version="1.0" encoding="utf-8"?>
<c:userShapes xmlns:c="http://schemas.openxmlformats.org/drawingml/2006/chart">
  <cdr:relSizeAnchor xmlns:cdr="http://schemas.openxmlformats.org/drawingml/2006/chartDrawing">
    <cdr:from>
      <cdr:x>0.71765</cdr:x>
      <cdr:y>0.91725</cdr:y>
    </cdr:from>
    <cdr:to>
      <cdr:x>0.85784</cdr:x>
      <cdr:y>0.98038</cdr:y>
    </cdr:to>
    <cdr:sp macro="" textlink="">
      <cdr:nvSpPr>
        <cdr:cNvPr id="2" name="矩形 1"/>
        <cdr:cNvSpPr/>
      </cdr:nvSpPr>
      <cdr:spPr>
        <a:xfrm xmlns:a="http://schemas.openxmlformats.org/drawingml/2006/main">
          <a:off x="6959871" y="3844202"/>
          <a:ext cx="1359647" cy="264560"/>
        </a:xfrm>
        <a:prstGeom xmlns:a="http://schemas.openxmlformats.org/drawingml/2006/main" prst="rect">
          <a:avLst/>
        </a:prstGeom>
      </cdr:spPr>
      <cdr:txBody>
        <a:bodyPr xmlns:a="http://schemas.openxmlformats.org/drawingml/2006/main" vertOverflow="clip" wrap="square" rtlCol="0">
          <a:spAutoFit/>
        </a:bodyPr>
        <a:lstStyle xmlns:a="http://schemas.openxmlformats.org/drawingml/2006/main"/>
        <a:p xmlns:a="http://schemas.openxmlformats.org/drawingml/2006/main">
          <a:r>
            <a:rPr lang="en-GB" sz="1100" i="1"/>
            <a:t>(Total</a:t>
          </a:r>
          <a:r>
            <a:rPr lang="en-GB" sz="1100" i="1" baseline="0"/>
            <a:t> in thousand)</a:t>
          </a:r>
          <a:endParaRPr lang="en-GB" sz="1100" i="1"/>
        </a:p>
      </cdr:txBody>
    </cdr:sp>
  </cdr:relSizeAnchor>
  <cdr:relSizeAnchor xmlns:cdr="http://schemas.openxmlformats.org/drawingml/2006/chartDrawing">
    <cdr:from>
      <cdr:x>0.95168</cdr:x>
      <cdr:y>0.92302</cdr:y>
    </cdr:from>
    <cdr:to>
      <cdr:x>0.99859</cdr:x>
      <cdr:y>1</cdr:y>
    </cdr:to>
    <cdr:pic>
      <cdr:nvPicPr>
        <cdr:cNvPr id="4" name="图片 3">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1107382" y="3639447"/>
          <a:ext cx="547441" cy="303528"/>
        </a:xfrm>
        <a:prstGeom xmlns:a="http://schemas.openxmlformats.org/drawingml/2006/main" prst="rect">
          <a:avLst/>
        </a:prstGeom>
      </cdr:spPr>
    </cdr:pic>
  </cdr:relSizeAnchor>
</c:userShapes>
</file>

<file path=xl/drawings/drawing33.xml><?xml version="1.0" encoding="utf-8"?>
<c:userShapes xmlns:c="http://schemas.openxmlformats.org/drawingml/2006/chart">
  <cdr:relSizeAnchor xmlns:cdr="http://schemas.openxmlformats.org/drawingml/2006/chartDrawing">
    <cdr:from>
      <cdr:x>0.92412</cdr:x>
      <cdr:y>0.92038</cdr:y>
    </cdr:from>
    <cdr:to>
      <cdr:x>0.98931</cdr:x>
      <cdr:y>0.99589</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743372" y="3670300"/>
          <a:ext cx="546250" cy="301112"/>
        </a:xfrm>
        <a:prstGeom xmlns:a="http://schemas.openxmlformats.org/drawingml/2006/main" prst="rect">
          <a:avLst/>
        </a:prstGeom>
      </cdr:spPr>
    </cdr:pic>
  </cdr:relSizeAnchor>
</c:userShapes>
</file>

<file path=xl/drawings/drawing34.xml><?xml version="1.0" encoding="utf-8"?>
<c:userShapes xmlns:c="http://schemas.openxmlformats.org/drawingml/2006/chart">
  <cdr:relSizeAnchor xmlns:cdr="http://schemas.openxmlformats.org/drawingml/2006/chartDrawing">
    <cdr:from>
      <cdr:x>0.93001</cdr:x>
      <cdr:y>0.92409</cdr:y>
    </cdr:from>
    <cdr:to>
      <cdr:x>0.99539</cdr:x>
      <cdr:y>0.99953</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770585" y="3688443"/>
          <a:ext cx="546250" cy="301112"/>
        </a:xfrm>
        <a:prstGeom xmlns:a="http://schemas.openxmlformats.org/drawingml/2006/main" prst="rect">
          <a:avLst/>
        </a:prstGeom>
      </cdr:spPr>
    </cdr:pic>
  </cdr:relSizeAnchor>
</c:userShapes>
</file>

<file path=xl/drawings/drawing35.xml><?xml version="1.0" encoding="utf-8"?>
<xdr:wsDr xmlns:xdr="http://schemas.openxmlformats.org/drawingml/2006/spreadsheetDrawing" xmlns:a="http://schemas.openxmlformats.org/drawingml/2006/main">
  <xdr:twoCellAnchor>
    <xdr:from>
      <xdr:col>1</xdr:col>
      <xdr:colOff>0</xdr:colOff>
      <xdr:row>14</xdr:row>
      <xdr:rowOff>-1</xdr:rowOff>
    </xdr:from>
    <xdr:to>
      <xdr:col>17</xdr:col>
      <xdr:colOff>11906</xdr:colOff>
      <xdr:row>38</xdr:row>
      <xdr:rowOff>-1</xdr:rowOff>
    </xdr:to>
    <xdr:graphicFrame macro="">
      <xdr:nvGraphicFramePr>
        <xdr:cNvPr id="3" name="Chart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11906</xdr:colOff>
      <xdr:row>14</xdr:row>
      <xdr:rowOff>0</xdr:rowOff>
    </xdr:from>
    <xdr:to>
      <xdr:col>29</xdr:col>
      <xdr:colOff>47623</xdr:colOff>
      <xdr:row>38</xdr:row>
      <xdr:rowOff>0</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0.94321</cdr:x>
      <cdr:y>0.91205</cdr:y>
    </cdr:from>
    <cdr:to>
      <cdr:x>0.99716</cdr:x>
      <cdr:y>0.99685</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1271250" y="3822421"/>
          <a:ext cx="644675" cy="355367"/>
        </a:xfrm>
        <a:prstGeom xmlns:a="http://schemas.openxmlformats.org/drawingml/2006/main" prst="rect">
          <a:avLst/>
        </a:prstGeom>
      </cdr:spPr>
    </cdr:pic>
  </cdr:relSizeAnchor>
</c:userShapes>
</file>

<file path=xl/drawings/drawing37.xml><?xml version="1.0" encoding="utf-8"?>
<c:userShapes xmlns:c="http://schemas.openxmlformats.org/drawingml/2006/chart">
  <cdr:relSizeAnchor xmlns:cdr="http://schemas.openxmlformats.org/drawingml/2006/chartDrawing">
    <cdr:from>
      <cdr:x>0.88056</cdr:x>
      <cdr:y>0.91742</cdr:y>
    </cdr:from>
    <cdr:to>
      <cdr:x>0.98784</cdr:x>
      <cdr:y>0.98528</cdr:y>
    </cdr:to>
    <cdr:pic>
      <cdr:nvPicPr>
        <cdr:cNvPr id="2" name="图片 1">
          <a:extLst xmlns:a="http://schemas.openxmlformats.org/drawingml/2006/main">
            <a:ext uri="{FF2B5EF4-FFF2-40B4-BE49-F238E27FC236}">
              <a16:creationId xmlns:a16="http://schemas.microsoft.com/office/drawing/2014/main" id="{20A6BDFF-4F74-AD62-B0B2-7B00C56499B5}"/>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027863" y="3844925"/>
          <a:ext cx="856242" cy="284382"/>
        </a:xfrm>
        <a:prstGeom xmlns:a="http://schemas.openxmlformats.org/drawingml/2006/main" prst="rect">
          <a:avLst/>
        </a:prstGeom>
      </cdr:spPr>
    </cdr:pic>
  </cdr:relSizeAnchor>
</c:userShapes>
</file>

<file path=xl/drawings/drawing38.xml><?xml version="1.0" encoding="utf-8"?>
<xdr:wsDr xmlns:xdr="http://schemas.openxmlformats.org/drawingml/2006/spreadsheetDrawing" xmlns:a="http://schemas.openxmlformats.org/drawingml/2006/main">
  <xdr:twoCellAnchor>
    <xdr:from>
      <xdr:col>23</xdr:col>
      <xdr:colOff>590209</xdr:colOff>
      <xdr:row>7</xdr:row>
      <xdr:rowOff>13606</xdr:rowOff>
    </xdr:from>
    <xdr:to>
      <xdr:col>40</xdr:col>
      <xdr:colOff>578303</xdr:colOff>
      <xdr:row>28</xdr:row>
      <xdr:rowOff>214310</xdr:rowOff>
    </xdr:to>
    <xdr:graphicFrame macro="">
      <xdr:nvGraphicFramePr>
        <xdr:cNvPr id="3" name="Chart 2">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509270</xdr:colOff>
      <xdr:row>6</xdr:row>
      <xdr:rowOff>170815</xdr:rowOff>
    </xdr:from>
    <xdr:to>
      <xdr:col>53</xdr:col>
      <xdr:colOff>591185</xdr:colOff>
      <xdr:row>29</xdr:row>
      <xdr:rowOff>0</xdr:rowOff>
    </xdr:to>
    <xdr:graphicFrame macro="">
      <xdr:nvGraphicFramePr>
        <xdr:cNvPr id="4" name="Chart 3">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520474</xdr:colOff>
      <xdr:row>30</xdr:row>
      <xdr:rowOff>47626</xdr:rowOff>
    </xdr:from>
    <xdr:to>
      <xdr:col>40</xdr:col>
      <xdr:colOff>520473</xdr:colOff>
      <xdr:row>52</xdr:row>
      <xdr:rowOff>47625</xdr:rowOff>
    </xdr:to>
    <xdr:graphicFrame macro="">
      <xdr:nvGraphicFramePr>
        <xdr:cNvPr id="5" name="Chart 4">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41</xdr:col>
      <xdr:colOff>578304</xdr:colOff>
      <xdr:row>29</xdr:row>
      <xdr:rowOff>202406</xdr:rowOff>
    </xdr:from>
    <xdr:to>
      <xdr:col>53</xdr:col>
      <xdr:colOff>578303</xdr:colOff>
      <xdr:row>51</xdr:row>
      <xdr:rowOff>202404</xdr:rowOff>
    </xdr:to>
    <xdr:graphicFrame macro="">
      <xdr:nvGraphicFramePr>
        <xdr:cNvPr id="6" name="Chart 5">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615043</xdr:colOff>
      <xdr:row>53</xdr:row>
      <xdr:rowOff>82324</xdr:rowOff>
    </xdr:from>
    <xdr:to>
      <xdr:col>40</xdr:col>
      <xdr:colOff>626949</xdr:colOff>
      <xdr:row>75</xdr:row>
      <xdr:rowOff>82323</xdr:rowOff>
    </xdr:to>
    <xdr:graphicFrame macro="">
      <xdr:nvGraphicFramePr>
        <xdr:cNvPr id="7" name="Chart 6">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41</xdr:col>
      <xdr:colOff>539897</xdr:colOff>
      <xdr:row>53</xdr:row>
      <xdr:rowOff>146123</xdr:rowOff>
    </xdr:from>
    <xdr:to>
      <xdr:col>53</xdr:col>
      <xdr:colOff>642289</xdr:colOff>
      <xdr:row>75</xdr:row>
      <xdr:rowOff>146122</xdr:rowOff>
    </xdr:to>
    <xdr:graphicFrame macro="">
      <xdr:nvGraphicFramePr>
        <xdr:cNvPr id="8" name="Chart 7">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0.94858</cdr:x>
      <cdr:y>0.92106</cdr:y>
    </cdr:from>
    <cdr:to>
      <cdr:x>0.9957</cdr:x>
      <cdr:y>0.99969</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996613" y="3527425"/>
          <a:ext cx="546250" cy="301112"/>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050D7EDA-1BE5-030C-B08B-7F9674074ABA}"/>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40.xml><?xml version="1.0" encoding="utf-8"?>
<c:userShapes xmlns:c="http://schemas.openxmlformats.org/drawingml/2006/chart">
  <cdr:relSizeAnchor xmlns:cdr="http://schemas.openxmlformats.org/drawingml/2006/chartDrawing">
    <cdr:from>
      <cdr:x>0.92716</cdr:x>
      <cdr:y>0.91846</cdr:y>
    </cdr:from>
    <cdr:to>
      <cdr:x>0.99319</cdr:x>
      <cdr:y>0.99676</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706126" y="3599055"/>
          <a:ext cx="548765" cy="306830"/>
        </a:xfrm>
        <a:prstGeom xmlns:a="http://schemas.openxmlformats.org/drawingml/2006/main" prst="rect">
          <a:avLst/>
        </a:prstGeom>
      </cdr:spPr>
    </cdr:pic>
  </cdr:relSizeAnchor>
</c:userShapes>
</file>

<file path=xl/drawings/drawing41.xml><?xml version="1.0" encoding="utf-8"?>
<c:userShapes xmlns:c="http://schemas.openxmlformats.org/drawingml/2006/chart">
  <cdr:relSizeAnchor xmlns:cdr="http://schemas.openxmlformats.org/drawingml/2006/chartDrawing">
    <cdr:from>
      <cdr:x>0.94829</cdr:x>
      <cdr:y>0.92162</cdr:y>
    </cdr:from>
    <cdr:to>
      <cdr:x>0.99536</cdr:x>
      <cdr:y>1</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1004550" y="3540637"/>
          <a:ext cx="546250" cy="301112"/>
        </a:xfrm>
        <a:prstGeom xmlns:a="http://schemas.openxmlformats.org/drawingml/2006/main" prst="rect">
          <a:avLst/>
        </a:prstGeom>
      </cdr:spPr>
    </cdr:pic>
  </cdr:relSizeAnchor>
</c:userShapes>
</file>

<file path=xl/drawings/drawing42.xml><?xml version="1.0" encoding="utf-8"?>
<c:userShapes xmlns:c="http://schemas.openxmlformats.org/drawingml/2006/chart">
  <cdr:relSizeAnchor xmlns:cdr="http://schemas.openxmlformats.org/drawingml/2006/chartDrawing">
    <cdr:from>
      <cdr:x>0.92868</cdr:x>
      <cdr:y>0.92025</cdr:y>
    </cdr:from>
    <cdr:to>
      <cdr:x>0.99537</cdr:x>
      <cdr:y>0.99863</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607301" y="3535363"/>
          <a:ext cx="546250" cy="301112"/>
        </a:xfrm>
        <a:prstGeom xmlns:a="http://schemas.openxmlformats.org/drawingml/2006/main" prst="rect">
          <a:avLst/>
        </a:prstGeom>
      </cdr:spPr>
    </cdr:pic>
  </cdr:relSizeAnchor>
</c:userShapes>
</file>

<file path=xl/drawings/drawing43.xml><?xml version="1.0" encoding="utf-8"?>
<c:userShapes xmlns:c="http://schemas.openxmlformats.org/drawingml/2006/chart">
  <cdr:relSizeAnchor xmlns:cdr="http://schemas.openxmlformats.org/drawingml/2006/chartDrawing">
    <cdr:from>
      <cdr:x>0.94664</cdr:x>
      <cdr:y>0.91612</cdr:y>
    </cdr:from>
    <cdr:to>
      <cdr:x>0.99366</cdr:x>
      <cdr:y>0.99449</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996617" y="3519488"/>
          <a:ext cx="546250" cy="301112"/>
        </a:xfrm>
        <a:prstGeom xmlns:a="http://schemas.openxmlformats.org/drawingml/2006/main" prst="rect">
          <a:avLst/>
        </a:prstGeom>
      </cdr:spPr>
    </cdr:pic>
  </cdr:relSizeAnchor>
</c:userShapes>
</file>

<file path=xl/drawings/drawing44.xml><?xml version="1.0" encoding="utf-8"?>
<c:userShapes xmlns:c="http://schemas.openxmlformats.org/drawingml/2006/chart">
  <cdr:relSizeAnchor xmlns:cdr="http://schemas.openxmlformats.org/drawingml/2006/chartDrawing">
    <cdr:from>
      <cdr:x>0.92679</cdr:x>
      <cdr:y>0.90992</cdr:y>
    </cdr:from>
    <cdr:to>
      <cdr:x>0.99265</cdr:x>
      <cdr:y>0.9883</cdr:y>
    </cdr:to>
    <cdr:pic>
      <cdr:nvPicPr>
        <cdr:cNvPr id="3" name="图片 2">
          <a:extLst xmlns:a="http://schemas.openxmlformats.org/drawingml/2006/main">
            <a:ext uri="{FF2B5EF4-FFF2-40B4-BE49-F238E27FC236}">
              <a16:creationId xmlns:a16="http://schemas.microsoft.com/office/drawing/2014/main" id="{8094A4F6-716F-72CB-FACD-58F723DFB0B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686675" y="3495676"/>
          <a:ext cx="546250" cy="301112"/>
        </a:xfrm>
        <a:prstGeom xmlns:a="http://schemas.openxmlformats.org/drawingml/2006/main" prst="rect">
          <a:avLst/>
        </a:prstGeom>
      </cdr:spPr>
    </cdr:pic>
  </cdr:relSizeAnchor>
</c:userShapes>
</file>

<file path=xl/drawings/drawing45.xml><?xml version="1.0" encoding="utf-8"?>
<xdr:wsDr xmlns:xdr="http://schemas.openxmlformats.org/drawingml/2006/spreadsheetDrawing" xmlns:a="http://schemas.openxmlformats.org/drawingml/2006/main">
  <xdr:twoCellAnchor>
    <xdr:from>
      <xdr:col>24</xdr:col>
      <xdr:colOff>105615</xdr:colOff>
      <xdr:row>7</xdr:row>
      <xdr:rowOff>41462</xdr:rowOff>
    </xdr:from>
    <xdr:to>
      <xdr:col>41</xdr:col>
      <xdr:colOff>190220</xdr:colOff>
      <xdr:row>29</xdr:row>
      <xdr:rowOff>41461</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xdr:col>
      <xdr:colOff>104140</xdr:colOff>
      <xdr:row>31</xdr:row>
      <xdr:rowOff>90055</xdr:rowOff>
    </xdr:from>
    <xdr:to>
      <xdr:col>41</xdr:col>
      <xdr:colOff>189824</xdr:colOff>
      <xdr:row>53</xdr:row>
      <xdr:rowOff>90054</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182605</xdr:colOff>
      <xdr:row>54</xdr:row>
      <xdr:rowOff>193047</xdr:rowOff>
    </xdr:from>
    <xdr:to>
      <xdr:col>41</xdr:col>
      <xdr:colOff>139053</xdr:colOff>
      <xdr:row>76</xdr:row>
      <xdr:rowOff>193046</xdr:rowOff>
    </xdr:to>
    <xdr:graphicFrame macro="">
      <xdr:nvGraphicFramePr>
        <xdr:cNvPr id="4" name="Chart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42</xdr:col>
      <xdr:colOff>19050</xdr:colOff>
      <xdr:row>7</xdr:row>
      <xdr:rowOff>53340</xdr:rowOff>
    </xdr:from>
    <xdr:to>
      <xdr:col>54</xdr:col>
      <xdr:colOff>42545</xdr:colOff>
      <xdr:row>29</xdr:row>
      <xdr:rowOff>53340</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41</xdr:col>
      <xdr:colOff>665235</xdr:colOff>
      <xdr:row>31</xdr:row>
      <xdr:rowOff>73604</xdr:rowOff>
    </xdr:from>
    <xdr:to>
      <xdr:col>54</xdr:col>
      <xdr:colOff>61263</xdr:colOff>
      <xdr:row>53</xdr:row>
      <xdr:rowOff>73603</xdr:rowOff>
    </xdr:to>
    <xdr:graphicFrame macro="">
      <xdr:nvGraphicFramePr>
        <xdr:cNvPr id="6" name="Chart 5">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41</xdr:col>
      <xdr:colOff>654845</xdr:colOff>
      <xdr:row>54</xdr:row>
      <xdr:rowOff>177006</xdr:rowOff>
    </xdr:from>
    <xdr:to>
      <xdr:col>53</xdr:col>
      <xdr:colOff>642938</xdr:colOff>
      <xdr:row>76</xdr:row>
      <xdr:rowOff>177005</xdr:rowOff>
    </xdr:to>
    <xdr:graphicFrame macro="">
      <xdr:nvGraphicFramePr>
        <xdr:cNvPr id="7" name="Chart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0.90624</cdr:x>
      <cdr:y>0.8995</cdr:y>
    </cdr:from>
    <cdr:to>
      <cdr:x>0.99225</cdr:x>
      <cdr:y>1</cdr:y>
    </cdr:to>
    <cdr:pic>
      <cdr:nvPicPr>
        <cdr:cNvPr id="4" name="图片 3">
          <a:extLst xmlns:a="http://schemas.openxmlformats.org/drawingml/2006/main">
            <a:ext uri="{FF2B5EF4-FFF2-40B4-BE49-F238E27FC236}">
              <a16:creationId xmlns:a16="http://schemas.microsoft.com/office/drawing/2014/main" id="{3C55B2E2-A35B-CD95-B089-2BFD7A32780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654748" y="3427111"/>
          <a:ext cx="1011165" cy="382888"/>
        </a:xfrm>
        <a:prstGeom xmlns:a="http://schemas.openxmlformats.org/drawingml/2006/main" prst="rect">
          <a:avLst/>
        </a:prstGeom>
      </cdr:spPr>
    </cdr:pic>
  </cdr:relSizeAnchor>
</c:userShapes>
</file>

<file path=xl/drawings/drawing47.xml><?xml version="1.0" encoding="utf-8"?>
<c:userShapes xmlns:c="http://schemas.openxmlformats.org/drawingml/2006/chart">
  <cdr:relSizeAnchor xmlns:cdr="http://schemas.openxmlformats.org/drawingml/2006/chartDrawing">
    <cdr:from>
      <cdr:x>0.91357</cdr:x>
      <cdr:y>0.8995</cdr:y>
    </cdr:from>
    <cdr:to>
      <cdr:x>0.99957</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741890" y="3427111"/>
          <a:ext cx="1011165" cy="382888"/>
        </a:xfrm>
        <a:prstGeom xmlns:a="http://schemas.openxmlformats.org/drawingml/2006/main" prst="rect">
          <a:avLst/>
        </a:prstGeom>
      </cdr:spPr>
    </cdr:pic>
  </cdr:relSizeAnchor>
</c:userShapes>
</file>

<file path=xl/drawings/drawing48.xml><?xml version="1.0" encoding="utf-8"?>
<c:userShapes xmlns:c="http://schemas.openxmlformats.org/drawingml/2006/chart">
  <cdr:relSizeAnchor xmlns:cdr="http://schemas.openxmlformats.org/drawingml/2006/chartDrawing">
    <cdr:from>
      <cdr:x>0.89692</cdr:x>
      <cdr:y>0.88606</cdr:y>
    </cdr:from>
    <cdr:to>
      <cdr:x>0.98387</cdr:x>
      <cdr:y>0.98656</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430163" y="3375891"/>
          <a:ext cx="1011165" cy="382888"/>
        </a:xfrm>
        <a:prstGeom xmlns:a="http://schemas.openxmlformats.org/drawingml/2006/main" prst="rect">
          <a:avLst/>
        </a:prstGeom>
      </cdr:spPr>
    </cdr:pic>
  </cdr:relSizeAnchor>
</c:userShapes>
</file>

<file path=xl/drawings/drawing49.xml><?xml version="1.0" encoding="utf-8"?>
<c:userShapes xmlns:c="http://schemas.openxmlformats.org/drawingml/2006/chart">
  <cdr:relSizeAnchor xmlns:cdr="http://schemas.openxmlformats.org/drawingml/2006/chartDrawing">
    <cdr:from>
      <cdr:x>0.87517</cdr:x>
      <cdr:y>0.8995</cdr:y>
    </cdr:from>
    <cdr:to>
      <cdr:x>0.99852</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174345" y="3427112"/>
          <a:ext cx="1011165" cy="382888"/>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DDC8E7BB-6320-B2D5-B103-E1F4268212DD}"/>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50.xml><?xml version="1.0" encoding="utf-8"?>
<c:userShapes xmlns:c="http://schemas.openxmlformats.org/drawingml/2006/chart">
  <cdr:relSizeAnchor xmlns:cdr="http://schemas.openxmlformats.org/drawingml/2006/chartDrawing">
    <cdr:from>
      <cdr:x>0.87647</cdr:x>
      <cdr:y>0.89212</cdr:y>
    </cdr:from>
    <cdr:to>
      <cdr:x>0.99901</cdr:x>
      <cdr:y>0.99262</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232073" y="3398982"/>
          <a:ext cx="1011165" cy="382888"/>
        </a:xfrm>
        <a:prstGeom xmlns:a="http://schemas.openxmlformats.org/drawingml/2006/main" prst="rect">
          <a:avLst/>
        </a:prstGeom>
      </cdr:spPr>
    </cdr:pic>
  </cdr:relSizeAnchor>
</c:userShapes>
</file>

<file path=xl/drawings/drawing51.xml><?xml version="1.0" encoding="utf-8"?>
<c:userShapes xmlns:c="http://schemas.openxmlformats.org/drawingml/2006/chart">
  <cdr:relSizeAnchor xmlns:cdr="http://schemas.openxmlformats.org/drawingml/2006/chartDrawing">
    <cdr:from>
      <cdr:x>0.87612</cdr:x>
      <cdr:y>0.89212</cdr:y>
    </cdr:from>
    <cdr:to>
      <cdr:x>1</cdr:x>
      <cdr:y>0.99262</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151110" y="3398982"/>
          <a:ext cx="1011165" cy="382888"/>
        </a:xfrm>
        <a:prstGeom xmlns:a="http://schemas.openxmlformats.org/drawingml/2006/main" prst="rect">
          <a:avLst/>
        </a:prstGeom>
      </cdr:spPr>
    </cdr:pic>
  </cdr:relSizeAnchor>
</c:userShapes>
</file>

<file path=xl/drawings/drawing52.xml><?xml version="1.0" encoding="utf-8"?>
<xdr:wsDr xmlns:xdr="http://schemas.openxmlformats.org/drawingml/2006/spreadsheetDrawing" xmlns:a="http://schemas.openxmlformats.org/drawingml/2006/main">
  <xdr:twoCellAnchor>
    <xdr:from>
      <xdr:col>31</xdr:col>
      <xdr:colOff>2783</xdr:colOff>
      <xdr:row>7</xdr:row>
      <xdr:rowOff>153389</xdr:rowOff>
    </xdr:from>
    <xdr:to>
      <xdr:col>48</xdr:col>
      <xdr:colOff>2783</xdr:colOff>
      <xdr:row>28</xdr:row>
      <xdr:rowOff>153389</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30</xdr:col>
      <xdr:colOff>682210</xdr:colOff>
      <xdr:row>29</xdr:row>
      <xdr:rowOff>152400</xdr:rowOff>
    </xdr:from>
    <xdr:to>
      <xdr:col>48</xdr:col>
      <xdr:colOff>23812</xdr:colOff>
      <xdr:row>52</xdr:row>
      <xdr:rowOff>17135</xdr:rowOff>
    </xdr:to>
    <xdr:graphicFrame macro="">
      <xdr:nvGraphicFramePr>
        <xdr:cNvPr id="4" name="Chart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48</xdr:col>
      <xdr:colOff>359815</xdr:colOff>
      <xdr:row>7</xdr:row>
      <xdr:rowOff>116125</xdr:rowOff>
    </xdr:from>
    <xdr:to>
      <xdr:col>60</xdr:col>
      <xdr:colOff>296573</xdr:colOff>
      <xdr:row>28</xdr:row>
      <xdr:rowOff>116124</xdr:rowOff>
    </xdr:to>
    <xdr:graphicFrame macro="">
      <xdr:nvGraphicFramePr>
        <xdr:cNvPr id="7" name="Chart 6">
          <a:extLst>
            <a:ext uri="{FF2B5EF4-FFF2-40B4-BE49-F238E27FC236}">
              <a16:creationId xmlns:a16="http://schemas.microsoft.com/office/drawing/2014/main" id="{00000000-0008-0000-0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48</xdr:col>
      <xdr:colOff>383722</xdr:colOff>
      <xdr:row>29</xdr:row>
      <xdr:rowOff>190502</xdr:rowOff>
    </xdr:from>
    <xdr:to>
      <xdr:col>60</xdr:col>
      <xdr:colOff>591539</xdr:colOff>
      <xdr:row>51</xdr:row>
      <xdr:rowOff>163041</xdr:rowOff>
    </xdr:to>
    <xdr:graphicFrame macro="">
      <xdr:nvGraphicFramePr>
        <xdr:cNvPr id="8" name="Chart 7">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639225</xdr:colOff>
      <xdr:row>54</xdr:row>
      <xdr:rowOff>86282</xdr:rowOff>
    </xdr:from>
    <xdr:to>
      <xdr:col>47</xdr:col>
      <xdr:colOff>651131</xdr:colOff>
      <xdr:row>75</xdr:row>
      <xdr:rowOff>86282</xdr:rowOff>
    </xdr:to>
    <xdr:graphicFrame macro="">
      <xdr:nvGraphicFramePr>
        <xdr:cNvPr id="9" name="Chart 8">
          <a:extLst>
            <a:ext uri="{FF2B5EF4-FFF2-40B4-BE49-F238E27FC236}">
              <a16:creationId xmlns:a16="http://schemas.microsoft.com/office/drawing/2014/main" id="{00000000-0008-0000-0A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48</xdr:col>
      <xdr:colOff>537791</xdr:colOff>
      <xdr:row>54</xdr:row>
      <xdr:rowOff>188489</xdr:rowOff>
    </xdr:from>
    <xdr:to>
      <xdr:col>61</xdr:col>
      <xdr:colOff>112567</xdr:colOff>
      <xdr:row>75</xdr:row>
      <xdr:rowOff>114733</xdr:rowOff>
    </xdr:to>
    <xdr:graphicFrame macro="">
      <xdr:nvGraphicFramePr>
        <xdr:cNvPr id="10" name="Chart 9">
          <a:extLst>
            <a:ext uri="{FF2B5EF4-FFF2-40B4-BE49-F238E27FC236}">
              <a16:creationId xmlns:a16="http://schemas.microsoft.com/office/drawing/2014/main" id="{00000000-0008-0000-0A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0.91068</cdr:x>
      <cdr:y>0.9039</cdr:y>
    </cdr:from>
    <cdr:to>
      <cdr:x>0.99696</cdr:x>
      <cdr:y>0.99526</cdr:y>
    </cdr:to>
    <cdr:pic>
      <cdr:nvPicPr>
        <cdr:cNvPr id="4" name="图片 3">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673444" y="3788229"/>
          <a:ext cx="1011165" cy="382888"/>
        </a:xfrm>
        <a:prstGeom xmlns:a="http://schemas.openxmlformats.org/drawingml/2006/main" prst="rect">
          <a:avLst/>
        </a:prstGeom>
      </cdr:spPr>
    </cdr:pic>
  </cdr:relSizeAnchor>
</c:userShapes>
</file>

<file path=xl/drawings/drawing54.xml><?xml version="1.0" encoding="utf-8"?>
<c:userShapes xmlns:c="http://schemas.openxmlformats.org/drawingml/2006/chart">
  <cdr:relSizeAnchor xmlns:cdr="http://schemas.openxmlformats.org/drawingml/2006/chartDrawing">
    <cdr:from>
      <cdr:x>0.90056</cdr:x>
      <cdr:y>0.89923</cdr:y>
    </cdr:from>
    <cdr:to>
      <cdr:x>0.9866</cdr:x>
      <cdr:y>0.98517</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582727" y="4005942"/>
          <a:ext cx="1011165" cy="382888"/>
        </a:xfrm>
        <a:prstGeom xmlns:a="http://schemas.openxmlformats.org/drawingml/2006/main" prst="rect">
          <a:avLst/>
        </a:prstGeom>
      </cdr:spPr>
    </cdr:pic>
  </cdr:relSizeAnchor>
</c:userShapes>
</file>

<file path=xl/drawings/drawing55.xml><?xml version="1.0" encoding="utf-8"?>
<c:userShapes xmlns:c="http://schemas.openxmlformats.org/drawingml/2006/chart">
  <cdr:relSizeAnchor xmlns:cdr="http://schemas.openxmlformats.org/drawingml/2006/chartDrawing">
    <cdr:from>
      <cdr:x>0.87467</cdr:x>
      <cdr:y>0.9039</cdr:y>
    </cdr:from>
    <cdr:to>
      <cdr:x>0.99783</cdr:x>
      <cdr:y>0.99526</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180942" y="3788228"/>
          <a:ext cx="1011165" cy="382888"/>
        </a:xfrm>
        <a:prstGeom xmlns:a="http://schemas.openxmlformats.org/drawingml/2006/main" prst="rect">
          <a:avLst/>
        </a:prstGeom>
      </cdr:spPr>
    </cdr:pic>
  </cdr:relSizeAnchor>
</c:userShapes>
</file>

<file path=xl/drawings/drawing56.xml><?xml version="1.0" encoding="utf-8"?>
<c:userShapes xmlns:c="http://schemas.openxmlformats.org/drawingml/2006/chart">
  <cdr:relSizeAnchor xmlns:cdr="http://schemas.openxmlformats.org/drawingml/2006/chartDrawing">
    <cdr:from>
      <cdr:x>0.8788</cdr:x>
      <cdr:y>0.90359</cdr:y>
    </cdr:from>
    <cdr:to>
      <cdr:x>0.99803</cdr:x>
      <cdr:y>0.99134</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453085" y="3942442"/>
          <a:ext cx="1011165" cy="382888"/>
        </a:xfrm>
        <a:prstGeom xmlns:a="http://schemas.openxmlformats.org/drawingml/2006/main" prst="rect">
          <a:avLst/>
        </a:prstGeom>
      </cdr:spPr>
    </cdr:pic>
  </cdr:relSizeAnchor>
</c:userShapes>
</file>

<file path=xl/drawings/drawing57.xml><?xml version="1.0" encoding="utf-8"?>
<c:userShapes xmlns:c="http://schemas.openxmlformats.org/drawingml/2006/chart">
  <cdr:relSizeAnchor xmlns:cdr="http://schemas.openxmlformats.org/drawingml/2006/chartDrawing">
    <cdr:from>
      <cdr:x>0.91053</cdr:x>
      <cdr:y>0.90824</cdr:y>
    </cdr:from>
    <cdr:to>
      <cdr:x>0.99672</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682514" y="3789969"/>
          <a:ext cx="1011165" cy="382888"/>
        </a:xfrm>
        <a:prstGeom xmlns:a="http://schemas.openxmlformats.org/drawingml/2006/main" prst="rect">
          <a:avLst/>
        </a:prstGeom>
      </cdr:spPr>
    </cdr:pic>
  </cdr:relSizeAnchor>
</c:userShapes>
</file>

<file path=xl/drawings/drawing58.xml><?xml version="1.0" encoding="utf-8"?>
<c:userShapes xmlns:c="http://schemas.openxmlformats.org/drawingml/2006/chart">
  <cdr:relSizeAnchor xmlns:cdr="http://schemas.openxmlformats.org/drawingml/2006/chartDrawing">
    <cdr:from>
      <cdr:x>0.87254</cdr:x>
      <cdr:y>0.90659</cdr:y>
    </cdr:from>
    <cdr:to>
      <cdr:x>0.99098</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408052" y="3625200"/>
          <a:ext cx="1005578" cy="373511"/>
        </a:xfrm>
        <a:prstGeom xmlns:a="http://schemas.openxmlformats.org/drawingml/2006/main" prst="rect">
          <a:avLst/>
        </a:prstGeom>
      </cdr:spPr>
    </cdr:pic>
  </cdr:relSizeAnchor>
</c:userShapes>
</file>

<file path=xl/drawings/drawing59.xml><?xml version="1.0" encoding="utf-8"?>
<xdr:wsDr xmlns:xdr="http://schemas.openxmlformats.org/drawingml/2006/spreadsheetDrawing" xmlns:a="http://schemas.openxmlformats.org/drawingml/2006/main">
  <xdr:twoCellAnchor>
    <xdr:from>
      <xdr:col>0</xdr:col>
      <xdr:colOff>750093</xdr:colOff>
      <xdr:row>15</xdr:row>
      <xdr:rowOff>-1</xdr:rowOff>
    </xdr:from>
    <xdr:to>
      <xdr:col>18</xdr:col>
      <xdr:colOff>23812</xdr:colOff>
      <xdr:row>33</xdr:row>
      <xdr:rowOff>190498</xdr:rowOff>
    </xdr:to>
    <xdr:graphicFrame macro="">
      <xdr:nvGraphicFramePr>
        <xdr:cNvPr id="3" name="Chart 2">
          <a:extLst>
            <a:ext uri="{FF2B5EF4-FFF2-40B4-BE49-F238E27FC236}">
              <a16:creationId xmlns:a16="http://schemas.microsoft.com/office/drawing/2014/main" id="{00000000-0008-0000-0C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607217</xdr:colOff>
      <xdr:row>15</xdr:row>
      <xdr:rowOff>0</xdr:rowOff>
    </xdr:from>
    <xdr:to>
      <xdr:col>30</xdr:col>
      <xdr:colOff>607217</xdr:colOff>
      <xdr:row>34</xdr:row>
      <xdr:rowOff>-1</xdr:rowOff>
    </xdr:to>
    <xdr:graphicFrame macro="">
      <xdr:nvGraphicFramePr>
        <xdr:cNvPr id="4" name="Chart 3">
          <a:extLst>
            <a:ext uri="{FF2B5EF4-FFF2-40B4-BE49-F238E27FC236}">
              <a16:creationId xmlns:a16="http://schemas.microsoft.com/office/drawing/2014/main" id="{00000000-0008-0000-0C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00B9C578-C02B-6009-56B8-2362556AFC10}"/>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60.xml><?xml version="1.0" encoding="utf-8"?>
<c:userShapes xmlns:c="http://schemas.openxmlformats.org/drawingml/2006/chart">
  <cdr:relSizeAnchor xmlns:cdr="http://schemas.openxmlformats.org/drawingml/2006/chartDrawing">
    <cdr:from>
      <cdr:x>0.91443</cdr:x>
      <cdr:y>0.87495</cdr:y>
    </cdr:from>
    <cdr:to>
      <cdr:x>1</cdr:x>
      <cdr:y>0.98739</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0805672" y="2979271"/>
          <a:ext cx="1011165" cy="382888"/>
        </a:xfrm>
        <a:prstGeom xmlns:a="http://schemas.openxmlformats.org/drawingml/2006/main" prst="rect">
          <a:avLst/>
        </a:prstGeom>
      </cdr:spPr>
    </cdr:pic>
  </cdr:relSizeAnchor>
</c:userShapes>
</file>

<file path=xl/drawings/drawing61.xml><?xml version="1.0" encoding="utf-8"?>
<c:userShapes xmlns:c="http://schemas.openxmlformats.org/drawingml/2006/chart">
  <cdr:relSizeAnchor xmlns:cdr="http://schemas.openxmlformats.org/drawingml/2006/chartDrawing">
    <cdr:from>
      <cdr:x>0.8774</cdr:x>
      <cdr:y>0.88333</cdr:y>
    </cdr:from>
    <cdr:to>
      <cdr:x>1</cdr:x>
      <cdr:y>0.99573</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7236364" y="3009153"/>
          <a:ext cx="1011165" cy="382888"/>
        </a:xfrm>
        <a:prstGeom xmlns:a="http://schemas.openxmlformats.org/drawingml/2006/main" prst="rect">
          <a:avLst/>
        </a:prstGeom>
      </cdr:spPr>
    </cdr:pic>
  </cdr:relSizeAnchor>
</c:userShapes>
</file>

<file path=xl/drawings/drawing62.xml><?xml version="1.0" encoding="utf-8"?>
<xdr:wsDr xmlns:xdr="http://schemas.openxmlformats.org/drawingml/2006/spreadsheetDrawing" xmlns:a="http://schemas.openxmlformats.org/drawingml/2006/main">
  <xdr:twoCellAnchor>
    <xdr:from>
      <xdr:col>32</xdr:col>
      <xdr:colOff>0</xdr:colOff>
      <xdr:row>6</xdr:row>
      <xdr:rowOff>5411</xdr:rowOff>
    </xdr:from>
    <xdr:to>
      <xdr:col>71</xdr:col>
      <xdr:colOff>54429</xdr:colOff>
      <xdr:row>41</xdr:row>
      <xdr:rowOff>5411</xdr:rowOff>
    </xdr:to>
    <xdr:graphicFrame macro="">
      <xdr:nvGraphicFramePr>
        <xdr:cNvPr id="6" name="Chart 5">
          <a:extLst>
            <a:ext uri="{FF2B5EF4-FFF2-40B4-BE49-F238E27FC236}">
              <a16:creationId xmlns:a16="http://schemas.microsoft.com/office/drawing/2014/main" id="{00000000-0008-0000-0D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607218</xdr:colOff>
      <xdr:row>43</xdr:row>
      <xdr:rowOff>11907</xdr:rowOff>
    </xdr:from>
    <xdr:to>
      <xdr:col>73</xdr:col>
      <xdr:colOff>11906</xdr:colOff>
      <xdr:row>78</xdr:row>
      <xdr:rowOff>11907</xdr:rowOff>
    </xdr:to>
    <xdr:graphicFrame macro="">
      <xdr:nvGraphicFramePr>
        <xdr:cNvPr id="8" name="Chart 7">
          <a:extLst>
            <a:ext uri="{FF2B5EF4-FFF2-40B4-BE49-F238E27FC236}">
              <a16:creationId xmlns:a16="http://schemas.microsoft.com/office/drawing/2014/main" id="{00000000-0008-0000-0D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32</xdr:col>
      <xdr:colOff>238125</xdr:colOff>
      <xdr:row>103</xdr:row>
      <xdr:rowOff>57150</xdr:rowOff>
    </xdr:from>
    <xdr:ext cx="1268296" cy="267046"/>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23396575" y="18040350"/>
          <a:ext cx="1268095"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63.xml><?xml version="1.0" encoding="utf-8"?>
<c:userShapes xmlns:c="http://schemas.openxmlformats.org/drawingml/2006/chart">
  <cdr:relSizeAnchor xmlns:cdr="http://schemas.openxmlformats.org/drawingml/2006/chartDrawing">
    <cdr:from>
      <cdr:x>0.95804</cdr:x>
      <cdr:y>0.93683</cdr:y>
    </cdr:from>
    <cdr:to>
      <cdr:x>0.99602</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5557397" y="5725797"/>
          <a:ext cx="1013303" cy="386078"/>
        </a:xfrm>
        <a:prstGeom xmlns:a="http://schemas.openxmlformats.org/drawingml/2006/main" prst="rect">
          <a:avLst/>
        </a:prstGeom>
      </cdr:spPr>
    </cdr:pic>
  </cdr:relSizeAnchor>
</c:userShapes>
</file>

<file path=xl/drawings/drawing64.xml><?xml version="1.0" encoding="utf-8"?>
<c:userShapes xmlns:c="http://schemas.openxmlformats.org/drawingml/2006/chart">
  <cdr:relSizeAnchor xmlns:cdr="http://schemas.openxmlformats.org/drawingml/2006/chartDrawing">
    <cdr:from>
      <cdr:x>0.96143</cdr:x>
      <cdr:y>0.93735</cdr:y>
    </cdr:from>
    <cdr:to>
      <cdr:x>0.99744</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6933732" y="5681640"/>
          <a:ext cx="1008982" cy="379723"/>
        </a:xfrm>
        <a:prstGeom xmlns:a="http://schemas.openxmlformats.org/drawingml/2006/main" prst="rect">
          <a:avLst/>
        </a:prstGeom>
      </cdr:spPr>
    </cdr:pic>
  </cdr:relSizeAnchor>
</c:userShapes>
</file>

<file path=xl/drawings/drawing65.xml><?xml version="1.0" encoding="utf-8"?>
<xdr:wsDr xmlns:xdr="http://schemas.openxmlformats.org/drawingml/2006/spreadsheetDrawing" xmlns:a="http://schemas.openxmlformats.org/drawingml/2006/main">
  <xdr:twoCellAnchor>
    <xdr:from>
      <xdr:col>18</xdr:col>
      <xdr:colOff>51026</xdr:colOff>
      <xdr:row>8</xdr:row>
      <xdr:rowOff>2383</xdr:rowOff>
    </xdr:from>
    <xdr:to>
      <xdr:col>57</xdr:col>
      <xdr:colOff>43088</xdr:colOff>
      <xdr:row>43</xdr:row>
      <xdr:rowOff>2383</xdr:rowOff>
    </xdr:to>
    <xdr:graphicFrame macro="">
      <xdr:nvGraphicFramePr>
        <xdr:cNvPr id="4" name="Chart 3">
          <a:extLst>
            <a:ext uri="{FF2B5EF4-FFF2-40B4-BE49-F238E27FC236}">
              <a16:creationId xmlns:a16="http://schemas.microsoft.com/office/drawing/2014/main" id="{00000000-0008-0000-0E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17</xdr:col>
      <xdr:colOff>571500</xdr:colOff>
      <xdr:row>46</xdr:row>
      <xdr:rowOff>161925</xdr:rowOff>
    </xdr:from>
    <xdr:ext cx="1268296" cy="222596"/>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14401800" y="8334375"/>
          <a:ext cx="1268095" cy="222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66.xml><?xml version="1.0" encoding="utf-8"?>
<c:userShapes xmlns:c="http://schemas.openxmlformats.org/drawingml/2006/chart">
  <cdr:relSizeAnchor xmlns:cdr="http://schemas.openxmlformats.org/drawingml/2006/chartDrawing">
    <cdr:from>
      <cdr:x>0.96091</cdr:x>
      <cdr:y>0.93683</cdr:y>
    </cdr:from>
    <cdr:to>
      <cdr:x>0.99899</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5520073" y="5678476"/>
          <a:ext cx="1011165" cy="382888"/>
        </a:xfrm>
        <a:prstGeom xmlns:a="http://schemas.openxmlformats.org/drawingml/2006/main" prst="rect">
          <a:avLst/>
        </a:prstGeom>
      </cdr:spPr>
    </cdr:pic>
  </cdr:relSizeAnchor>
</c:userShapes>
</file>

<file path=xl/drawings/drawing67.xml><?xml version="1.0" encoding="utf-8"?>
<xdr:wsDr xmlns:xdr="http://schemas.openxmlformats.org/drawingml/2006/spreadsheetDrawing" xmlns:a="http://schemas.openxmlformats.org/drawingml/2006/main">
  <xdr:twoCellAnchor>
    <xdr:from>
      <xdr:col>1</xdr:col>
      <xdr:colOff>583530</xdr:colOff>
      <xdr:row>9</xdr:row>
      <xdr:rowOff>142875</xdr:rowOff>
    </xdr:from>
    <xdr:to>
      <xdr:col>6</xdr:col>
      <xdr:colOff>761999</xdr:colOff>
      <xdr:row>30</xdr:row>
      <xdr:rowOff>149123</xdr:rowOff>
    </xdr:to>
    <xdr:graphicFrame macro="">
      <xdr:nvGraphicFramePr>
        <xdr:cNvPr id="2" name="Chart 26">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1039811</xdr:colOff>
      <xdr:row>9</xdr:row>
      <xdr:rowOff>190501</xdr:rowOff>
    </xdr:from>
    <xdr:to>
      <xdr:col>10</xdr:col>
      <xdr:colOff>1643061</xdr:colOff>
      <xdr:row>30</xdr:row>
      <xdr:rowOff>190500</xdr:rowOff>
    </xdr:to>
    <xdr:graphicFrame macro="">
      <xdr:nvGraphicFramePr>
        <xdr:cNvPr id="3" name="Chart 27">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1936294</xdr:colOff>
      <xdr:row>10</xdr:row>
      <xdr:rowOff>-1</xdr:rowOff>
    </xdr:from>
    <xdr:to>
      <xdr:col>15</xdr:col>
      <xdr:colOff>0</xdr:colOff>
      <xdr:row>31</xdr:row>
      <xdr:rowOff>42182</xdr:rowOff>
    </xdr:to>
    <xdr:graphicFrame macro="">
      <xdr:nvGraphicFramePr>
        <xdr:cNvPr id="4" name="Chart 28">
          <a:extLst>
            <a:ext uri="{FF2B5EF4-FFF2-40B4-BE49-F238E27FC236}">
              <a16:creationId xmlns:a16="http://schemas.microsoft.com/office/drawing/2014/main" id="{00000000-0008-0000-0F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206830</xdr:colOff>
      <xdr:row>10</xdr:row>
      <xdr:rowOff>23812</xdr:rowOff>
    </xdr:from>
    <xdr:to>
      <xdr:col>20</xdr:col>
      <xdr:colOff>2194152</xdr:colOff>
      <xdr:row>31</xdr:row>
      <xdr:rowOff>119062</xdr:rowOff>
    </xdr:to>
    <xdr:graphicFrame macro="">
      <xdr:nvGraphicFramePr>
        <xdr:cNvPr id="5" name="Chart 29">
          <a:extLst>
            <a:ext uri="{FF2B5EF4-FFF2-40B4-BE49-F238E27FC236}">
              <a16:creationId xmlns:a16="http://schemas.microsoft.com/office/drawing/2014/main" id="{00000000-0008-0000-0F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2948549</xdr:colOff>
      <xdr:row>10</xdr:row>
      <xdr:rowOff>10321</xdr:rowOff>
    </xdr:from>
    <xdr:to>
      <xdr:col>25</xdr:col>
      <xdr:colOff>452437</xdr:colOff>
      <xdr:row>32</xdr:row>
      <xdr:rowOff>23811</xdr:rowOff>
    </xdr:to>
    <xdr:graphicFrame macro="">
      <xdr:nvGraphicFramePr>
        <xdr:cNvPr id="6" name="Chart 30">
          <a:extLst>
            <a:ext uri="{FF2B5EF4-FFF2-40B4-BE49-F238E27FC236}">
              <a16:creationId xmlns:a16="http://schemas.microsoft.com/office/drawing/2014/main" id="{00000000-0008-0000-0F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29</xdr:col>
      <xdr:colOff>644019</xdr:colOff>
      <xdr:row>47</xdr:row>
      <xdr:rowOff>24173</xdr:rowOff>
    </xdr:from>
    <xdr:ext cx="1690687" cy="305146"/>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51005740" y="8377555"/>
          <a:ext cx="1690370" cy="3048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400" i="1">
              <a:solidFill>
                <a:srgbClr val="FF0000"/>
              </a:solidFill>
            </a:rPr>
            <a:t>Protected area</a:t>
          </a:r>
        </a:p>
      </xdr:txBody>
    </xdr:sp>
    <xdr:clientData/>
  </xdr:oneCellAnchor>
</xdr:wsDr>
</file>

<file path=xl/drawings/drawing68.xml><?xml version="1.0" encoding="utf-8"?>
<c:userShapes xmlns:c="http://schemas.openxmlformats.org/drawingml/2006/chart">
  <cdr:relSizeAnchor xmlns:cdr="http://schemas.openxmlformats.org/drawingml/2006/chartDrawing">
    <cdr:from>
      <cdr:x>0.00541</cdr:x>
      <cdr:y>0.88618</cdr:y>
    </cdr:from>
    <cdr:to>
      <cdr:x>1</cdr:x>
      <cdr:y>0.99809</cdr:y>
    </cdr:to>
    <cdr:sp macro="" textlink="">
      <cdr:nvSpPr>
        <cdr:cNvPr id="2" name="矩形 1"/>
        <cdr:cNvSpPr/>
      </cdr:nvSpPr>
      <cdr:spPr>
        <a:xfrm xmlns:a="http://schemas.openxmlformats.org/drawingml/2006/main">
          <a:off x="44376" y="3228398"/>
          <a:ext cx="8158184" cy="407710"/>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69.xml><?xml version="1.0" encoding="utf-8"?>
<c:userShapes xmlns:c="http://schemas.openxmlformats.org/drawingml/2006/chart">
  <cdr:relSizeAnchor xmlns:cdr="http://schemas.openxmlformats.org/drawingml/2006/chartDrawing">
    <cdr:from>
      <cdr:x>0</cdr:x>
      <cdr:y>0.88194</cdr:y>
    </cdr:from>
    <cdr:to>
      <cdr:x>1</cdr:x>
      <cdr:y>0.99524</cdr:y>
    </cdr:to>
    <cdr:sp macro="" textlink="">
      <cdr:nvSpPr>
        <cdr:cNvPr id="2" name="矩形 1"/>
        <cdr:cNvSpPr/>
      </cdr:nvSpPr>
      <cdr:spPr>
        <a:xfrm xmlns:a="http://schemas.openxmlformats.org/drawingml/2006/main">
          <a:off x="0" y="3360184"/>
          <a:ext cx="7987393" cy="431673"/>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7.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3D771394-5CD1-FD27-B8EE-F75321756A99}"/>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70.xml><?xml version="1.0" encoding="utf-8"?>
<c:userShapes xmlns:c="http://schemas.openxmlformats.org/drawingml/2006/chart">
  <cdr:relSizeAnchor xmlns:cdr="http://schemas.openxmlformats.org/drawingml/2006/chartDrawing">
    <cdr:from>
      <cdr:x>0.00157</cdr:x>
      <cdr:y>0.87506</cdr:y>
    </cdr:from>
    <cdr:to>
      <cdr:x>1</cdr:x>
      <cdr:y>0.99571</cdr:y>
    </cdr:to>
    <cdr:sp macro="" textlink="">
      <cdr:nvSpPr>
        <cdr:cNvPr id="2" name="矩形 1"/>
        <cdr:cNvSpPr/>
      </cdr:nvSpPr>
      <cdr:spPr>
        <a:xfrm xmlns:a="http://schemas.openxmlformats.org/drawingml/2006/main">
          <a:off x="13310" y="3370873"/>
          <a:ext cx="8464396" cy="464766"/>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dr:relSizeAnchor xmlns:cdr="http://schemas.openxmlformats.org/drawingml/2006/chartDrawing">
    <cdr:from>
      <cdr:x>0.75693</cdr:x>
      <cdr:y>0.15691</cdr:y>
    </cdr:from>
    <cdr:to>
      <cdr:x>0.76102</cdr:x>
      <cdr:y>0.94774</cdr:y>
    </cdr:to>
    <cdr:cxnSp macro="">
      <cdr:nvCxnSpPr>
        <cdr:cNvPr id="4" name="直接连接符 3">
          <a:extLst xmlns:a="http://schemas.openxmlformats.org/drawingml/2006/main">
            <a:ext uri="{FF2B5EF4-FFF2-40B4-BE49-F238E27FC236}">
              <a16:creationId xmlns:a16="http://schemas.microsoft.com/office/drawing/2014/main" id="{C604FD60-F913-4052-D534-AB33C210EB51}"/>
            </a:ext>
          </a:extLst>
        </cdr:cNvPr>
        <cdr:cNvCxnSpPr/>
      </cdr:nvCxnSpPr>
      <cdr:spPr>
        <a:xfrm xmlns:a="http://schemas.openxmlformats.org/drawingml/2006/main">
          <a:off x="6417002" y="604448"/>
          <a:ext cx="34732" cy="3046411"/>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1.xml><?xml version="1.0" encoding="utf-8"?>
<c:userShapes xmlns:c="http://schemas.openxmlformats.org/drawingml/2006/chart">
  <cdr:relSizeAnchor xmlns:cdr="http://schemas.openxmlformats.org/drawingml/2006/chartDrawing">
    <cdr:from>
      <cdr:x>0.01424</cdr:x>
      <cdr:y>0.87195</cdr:y>
    </cdr:from>
    <cdr:to>
      <cdr:x>1</cdr:x>
      <cdr:y>1</cdr:y>
    </cdr:to>
    <cdr:sp macro="" textlink="">
      <cdr:nvSpPr>
        <cdr:cNvPr id="2" name="矩形 1"/>
        <cdr:cNvSpPr/>
      </cdr:nvSpPr>
      <cdr:spPr>
        <a:xfrm xmlns:a="http://schemas.openxmlformats.org/drawingml/2006/main">
          <a:off x="142880" y="3405188"/>
          <a:ext cx="9890799" cy="500062"/>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72.xml><?xml version="1.0" encoding="utf-8"?>
<c:userShapes xmlns:c="http://schemas.openxmlformats.org/drawingml/2006/chart">
  <cdr:relSizeAnchor xmlns:cdr="http://schemas.openxmlformats.org/drawingml/2006/chartDrawing">
    <cdr:from>
      <cdr:x>0.00922</cdr:x>
      <cdr:y>0.87569</cdr:y>
    </cdr:from>
    <cdr:to>
      <cdr:x>0.99942</cdr:x>
      <cdr:y>0.99805</cdr:y>
    </cdr:to>
    <cdr:sp macro="" textlink="">
      <cdr:nvSpPr>
        <cdr:cNvPr id="2" name="矩形 1"/>
        <cdr:cNvSpPr/>
      </cdr:nvSpPr>
      <cdr:spPr>
        <a:xfrm xmlns:a="http://schemas.openxmlformats.org/drawingml/2006/main">
          <a:off x="72571" y="3507048"/>
          <a:ext cx="7795380" cy="490042"/>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73.xml><?xml version="1.0" encoding="utf-8"?>
<xdr:wsDr xmlns:xdr="http://schemas.openxmlformats.org/drawingml/2006/spreadsheetDrawing" xmlns:a="http://schemas.openxmlformats.org/drawingml/2006/main">
  <xdr:twoCellAnchor>
    <xdr:from>
      <xdr:col>31</xdr:col>
      <xdr:colOff>0</xdr:colOff>
      <xdr:row>4</xdr:row>
      <xdr:rowOff>179295</xdr:rowOff>
    </xdr:from>
    <xdr:to>
      <xdr:col>68</xdr:col>
      <xdr:colOff>485589</xdr:colOff>
      <xdr:row>40</xdr:row>
      <xdr:rowOff>154783</xdr:rowOff>
    </xdr:to>
    <xdr:graphicFrame macro="">
      <xdr:nvGraphicFramePr>
        <xdr:cNvPr id="23" name="Chart 22">
          <a:extLst>
            <a:ext uri="{FF2B5EF4-FFF2-40B4-BE49-F238E27FC236}">
              <a16:creationId xmlns:a16="http://schemas.microsoft.com/office/drawing/2014/main" id="{00000000-0008-0000-10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0</xdr:colOff>
      <xdr:row>43</xdr:row>
      <xdr:rowOff>0</xdr:rowOff>
    </xdr:from>
    <xdr:to>
      <xdr:col>67</xdr:col>
      <xdr:colOff>599282</xdr:colOff>
      <xdr:row>77</xdr:row>
      <xdr:rowOff>0</xdr:rowOff>
    </xdr:to>
    <xdr:graphicFrame macro="">
      <xdr:nvGraphicFramePr>
        <xdr:cNvPr id="24" name="Chart 23">
          <a:extLst>
            <a:ext uri="{FF2B5EF4-FFF2-40B4-BE49-F238E27FC236}">
              <a16:creationId xmlns:a16="http://schemas.microsoft.com/office/drawing/2014/main" id="{00000000-0008-0000-1000-00001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95</xdr:row>
      <xdr:rowOff>0</xdr:rowOff>
    </xdr:from>
    <xdr:to>
      <xdr:col>68</xdr:col>
      <xdr:colOff>9525</xdr:colOff>
      <xdr:row>131</xdr:row>
      <xdr:rowOff>166689</xdr:rowOff>
    </xdr:to>
    <xdr:graphicFrame macro="">
      <xdr:nvGraphicFramePr>
        <xdr:cNvPr id="25" name="Chart 24">
          <a:extLst>
            <a:ext uri="{FF2B5EF4-FFF2-40B4-BE49-F238E27FC236}">
              <a16:creationId xmlns:a16="http://schemas.microsoft.com/office/drawing/2014/main" id="{00000000-0008-0000-10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32</xdr:col>
      <xdr:colOff>514350</xdr:colOff>
      <xdr:row>138</xdr:row>
      <xdr:rowOff>95250</xdr:rowOff>
    </xdr:from>
    <xdr:ext cx="1262397" cy="289271"/>
    <xdr:sp macro="" textlink="">
      <xdr:nvSpPr>
        <xdr:cNvPr id="4" name="TextBox 3">
          <a:extLst>
            <a:ext uri="{FF2B5EF4-FFF2-40B4-BE49-F238E27FC236}">
              <a16:creationId xmlns:a16="http://schemas.microsoft.com/office/drawing/2014/main" id="{00000000-0008-0000-1000-000004000000}"/>
            </a:ext>
          </a:extLst>
        </xdr:cNvPr>
        <xdr:cNvSpPr txBox="1"/>
      </xdr:nvSpPr>
      <xdr:spPr>
        <a:xfrm>
          <a:off x="23755350" y="25060275"/>
          <a:ext cx="1262380" cy="288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oneCellAnchor>
    <xdr:from>
      <xdr:col>32</xdr:col>
      <xdr:colOff>571500</xdr:colOff>
      <xdr:row>80</xdr:row>
      <xdr:rowOff>123825</xdr:rowOff>
    </xdr:from>
    <xdr:ext cx="1262397" cy="222596"/>
    <xdr:sp macro="" textlink="">
      <xdr:nvSpPr>
        <xdr:cNvPr id="26" name="TextBox 25">
          <a:extLst>
            <a:ext uri="{FF2B5EF4-FFF2-40B4-BE49-F238E27FC236}">
              <a16:creationId xmlns:a16="http://schemas.microsoft.com/office/drawing/2014/main" id="{00000000-0008-0000-1000-00001A000000}"/>
            </a:ext>
          </a:extLst>
        </xdr:cNvPr>
        <xdr:cNvSpPr txBox="1"/>
      </xdr:nvSpPr>
      <xdr:spPr>
        <a:xfrm>
          <a:off x="23812500" y="14725650"/>
          <a:ext cx="1262380" cy="222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74.xml><?xml version="1.0" encoding="utf-8"?>
<c:userShapes xmlns:c="http://schemas.openxmlformats.org/drawingml/2006/chart">
  <cdr:relSizeAnchor xmlns:cdr="http://schemas.openxmlformats.org/drawingml/2006/chartDrawing">
    <cdr:from>
      <cdr:x>0.03663</cdr:x>
      <cdr:y>0.22908</cdr:y>
    </cdr:from>
    <cdr:to>
      <cdr:x>0.10096</cdr:x>
      <cdr:y>0.34593</cdr:y>
    </cdr:to>
    <cdr:grpSp>
      <cdr:nvGrpSpPr>
        <cdr:cNvPr id="2" name="组合 1">
          <a:extLst xmlns:a="http://schemas.openxmlformats.org/drawingml/2006/main">
            <a:ext uri="{FF2B5EF4-FFF2-40B4-BE49-F238E27FC236}">
              <a16:creationId xmlns:a16="http://schemas.microsoft.com/office/drawing/2014/main" id="{6F5D2D91-73B3-BA59-7643-A5B63898B397}"/>
            </a:ext>
          </a:extLst>
        </cdr:cNvPr>
        <cdr:cNvGrpSpPr/>
      </cdr:nvGrpSpPr>
      <cdr:grpSpPr>
        <a:xfrm xmlns:a="http://schemas.openxmlformats.org/drawingml/2006/main">
          <a:off x="946794" y="1494137"/>
          <a:ext cx="1662768" cy="762135"/>
          <a:chOff x="781050" y="1419225"/>
          <a:chExt cx="1371600" cy="723900"/>
        </a:xfrm>
      </cdr:grpSpPr>
      <cdr:grpSp>
        <cdr:nvGrpSpPr>
          <cdr:cNvPr id="3" name="组合 2">
            <a:extLst xmlns:a="http://schemas.openxmlformats.org/drawingml/2006/main">
              <a:ext uri="{FF2B5EF4-FFF2-40B4-BE49-F238E27FC236}">
                <a16:creationId xmlns:a16="http://schemas.microsoft.com/office/drawing/2014/main" id="{E15EE86B-FABA-CC56-864D-4B72F64C1953}"/>
              </a:ext>
            </a:extLst>
          </cdr:cNvPr>
          <cdr:cNvGrpSpPr/>
        </cdr:nvGrpSpPr>
        <cdr:grpSpPr>
          <a:xfrm xmlns:a="http://schemas.openxmlformats.org/drawingml/2006/main">
            <a:off x="952500" y="1447800"/>
            <a:ext cx="1022510" cy="593304"/>
            <a:chOff x="2447925" y="1162050"/>
            <a:chExt cx="1022510" cy="593304"/>
          </a:xfrm>
        </cdr:grpSpPr>
        <cdr:sp macro="" textlink="">
          <cdr:nvSpPr>
            <cdr:cNvPr id="4" name="矩形 3"/>
            <cdr:cNvSpPr/>
          </cdr:nvSpPr>
          <cdr:spPr>
            <a:xfrm xmlns:a="http://schemas.openxmlformats.org/drawingml/2006/main">
              <a:off x="2600325" y="1162050"/>
              <a:ext cx="870110" cy="593304"/>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a:t>Foreign</a:t>
              </a:r>
            </a:p>
            <a:p xmlns:a="http://schemas.openxmlformats.org/drawingml/2006/main">
              <a:endParaRPr lang="en-GB" sz="400"/>
            </a:p>
            <a:p xmlns:a="http://schemas.openxmlformats.org/drawingml/2006/main">
              <a:r>
                <a:rPr lang="en-GB" sz="1400"/>
                <a:t>Domestic</a:t>
              </a:r>
            </a:p>
          </cdr:txBody>
        </cdr:sp>
        <cdr:sp macro="" textlink="">
          <cdr:nvSpPr>
            <cdr:cNvPr id="5" name="矩形 4"/>
            <cdr:cNvSpPr/>
          </cdr:nvSpPr>
          <cdr:spPr>
            <a:xfrm xmlns:a="http://schemas.openxmlformats.org/drawingml/2006/main">
              <a:off x="2447925" y="1266825"/>
              <a:ext cx="133350" cy="123825"/>
            </a:xfrm>
            <a:prstGeom xmlns:a="http://schemas.openxmlformats.org/drawingml/2006/main" prst="rect">
              <a:avLst/>
            </a:prstGeom>
            <a:solidFill xmlns:a="http://schemas.openxmlformats.org/drawingml/2006/main">
              <a:schemeClr val="bg1">
                <a:lumMod val="7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sp macro="" textlink="">
          <cdr:nvSpPr>
            <cdr:cNvPr id="6" name="矩形 5"/>
            <cdr:cNvSpPr/>
          </cdr:nvSpPr>
          <cdr:spPr>
            <a:xfrm xmlns:a="http://schemas.openxmlformats.org/drawingml/2006/main">
              <a:off x="2451100" y="1546225"/>
              <a:ext cx="133350" cy="1238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grpSp>
      <cdr:sp macro="" textlink="">
        <cdr:nvSpPr>
          <cdr:cNvPr id="7" name="矩形 6"/>
          <cdr:cNvSpPr/>
        </cdr:nvSpPr>
        <cdr:spPr>
          <a:xfrm xmlns:a="http://schemas.openxmlformats.org/drawingml/2006/main">
            <a:off x="781050" y="1419225"/>
            <a:ext cx="1371600" cy="723900"/>
          </a:xfrm>
          <a:prstGeom xmlns:a="http://schemas.openxmlformats.org/drawingml/2006/main" prst="rect">
            <a:avLst/>
          </a:prstGeom>
          <a:noFill xmlns:a="http://schemas.openxmlformats.org/drawingml/2006/main"/>
          <a:ln xmlns:a="http://schemas.openxmlformats.org/drawingml/2006/main" w="6350">
            <a:solidFill>
              <a:schemeClr val="tx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grpSp>
  </cdr:relSizeAnchor>
  <cdr:relSizeAnchor xmlns:cdr="http://schemas.openxmlformats.org/drawingml/2006/chartDrawing">
    <cdr:from>
      <cdr:x>0.97153</cdr:x>
      <cdr:y>0.9609</cdr:y>
    </cdr:from>
    <cdr:to>
      <cdr:x>0.99739</cdr:x>
      <cdr:y>1</cdr:y>
    </cdr:to>
    <cdr:pic>
      <cdr:nvPicPr>
        <cdr:cNvPr id="10" name="图片 9">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5236715" y="6252496"/>
          <a:ext cx="671895" cy="254420"/>
        </a:xfrm>
        <a:prstGeom xmlns:a="http://schemas.openxmlformats.org/drawingml/2006/main" prst="rect">
          <a:avLst/>
        </a:prstGeom>
      </cdr:spPr>
    </cdr:pic>
  </cdr:relSizeAnchor>
</c:userShapes>
</file>

<file path=xl/drawings/drawing75.xml><?xml version="1.0" encoding="utf-8"?>
<c:userShapes xmlns:c="http://schemas.openxmlformats.org/drawingml/2006/chart">
  <cdr:relSizeAnchor xmlns:cdr="http://schemas.openxmlformats.org/drawingml/2006/chartDrawing">
    <cdr:from>
      <cdr:x>0.95591</cdr:x>
      <cdr:y>0.93793</cdr:y>
    </cdr:from>
    <cdr:to>
      <cdr:x>0.99572</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4280585" y="5785683"/>
          <a:ext cx="1011165" cy="382888"/>
        </a:xfrm>
        <a:prstGeom xmlns:a="http://schemas.openxmlformats.org/drawingml/2006/main" prst="rect">
          <a:avLst/>
        </a:prstGeom>
      </cdr:spPr>
    </cdr:pic>
  </cdr:relSizeAnchor>
</c:userShapes>
</file>

<file path=xl/drawings/drawing76.xml><?xml version="1.0" encoding="utf-8"?>
<c:userShapes xmlns:c="http://schemas.openxmlformats.org/drawingml/2006/chart">
  <cdr:relSizeAnchor xmlns:cdr="http://schemas.openxmlformats.org/drawingml/2006/chartDrawing">
    <cdr:from>
      <cdr:x>0.96316</cdr:x>
      <cdr:y>0.93681</cdr:y>
    </cdr:from>
    <cdr:to>
      <cdr:x>0.99787</cdr:x>
      <cdr:y>0.98044</cdr:y>
    </cdr:to>
    <cdr:pic>
      <cdr:nvPicPr>
        <cdr:cNvPr id="2" name="图片 1">
          <a:extLst xmlns:a="http://schemas.openxmlformats.org/drawingml/2006/main">
            <a:ext uri="{FF2B5EF4-FFF2-40B4-BE49-F238E27FC236}">
              <a16:creationId xmlns:a16="http://schemas.microsoft.com/office/drawing/2014/main" id="{1A5B392E-B00E-EA11-BF5A-E0F57DC14EDF}"/>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4273163" y="5996709"/>
          <a:ext cx="874817" cy="279313"/>
        </a:xfrm>
        <a:prstGeom xmlns:a="http://schemas.openxmlformats.org/drawingml/2006/main" prst="rect">
          <a:avLst/>
        </a:prstGeom>
      </cdr:spPr>
    </cdr:pic>
  </cdr:relSizeAnchor>
</c:userShapes>
</file>

<file path=xl/drawings/drawing77.xml><?xml version="1.0" encoding="utf-8"?>
<xdr:wsDr xmlns:xdr="http://schemas.openxmlformats.org/drawingml/2006/spreadsheetDrawing" xmlns:a="http://schemas.openxmlformats.org/drawingml/2006/main">
  <xdr:twoCellAnchor>
    <xdr:from>
      <xdr:col>12</xdr:col>
      <xdr:colOff>0</xdr:colOff>
      <xdr:row>7</xdr:row>
      <xdr:rowOff>0</xdr:rowOff>
    </xdr:from>
    <xdr:to>
      <xdr:col>51</xdr:col>
      <xdr:colOff>599281</xdr:colOff>
      <xdr:row>42</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13</xdr:col>
      <xdr:colOff>19050</xdr:colOff>
      <xdr:row>46</xdr:row>
      <xdr:rowOff>9525</xdr:rowOff>
    </xdr:from>
    <xdr:ext cx="1268296" cy="267046"/>
    <xdr:sp macro="" textlink="">
      <xdr:nvSpPr>
        <xdr:cNvPr id="3" name="TextBox 2">
          <a:extLst>
            <a:ext uri="{FF2B5EF4-FFF2-40B4-BE49-F238E27FC236}">
              <a16:creationId xmlns:a16="http://schemas.microsoft.com/office/drawing/2014/main" id="{00000000-0008-0000-1100-000003000000}"/>
            </a:ext>
          </a:extLst>
        </xdr:cNvPr>
        <xdr:cNvSpPr txBox="1"/>
      </xdr:nvSpPr>
      <xdr:spPr>
        <a:xfrm>
          <a:off x="10541000" y="8181975"/>
          <a:ext cx="1268095" cy="266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78.xml><?xml version="1.0" encoding="utf-8"?>
<c:userShapes xmlns:c="http://schemas.openxmlformats.org/drawingml/2006/chart">
  <cdr:relSizeAnchor xmlns:cdr="http://schemas.openxmlformats.org/drawingml/2006/chartDrawing">
    <cdr:from>
      <cdr:x>0.96189</cdr:x>
      <cdr:y>0.9397</cdr:y>
    </cdr:from>
    <cdr:to>
      <cdr:x>0.99868</cdr:x>
      <cdr:y>1</cdr:y>
    </cdr:to>
    <cdr:pic>
      <cdr:nvPicPr>
        <cdr:cNvPr id="3" name="图片 2">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26439586" y="5967112"/>
          <a:ext cx="1011165" cy="382888"/>
        </a:xfrm>
        <a:prstGeom xmlns:a="http://schemas.openxmlformats.org/drawingml/2006/main" prst="rect">
          <a:avLst/>
        </a:prstGeom>
      </cdr:spPr>
    </cdr:pic>
  </cdr:relSizeAnchor>
</c:userShapes>
</file>

<file path=xl/drawings/drawing79.xml><?xml version="1.0" encoding="utf-8"?>
<xdr:wsDr xmlns:xdr="http://schemas.openxmlformats.org/drawingml/2006/spreadsheetDrawing" xmlns:a="http://schemas.openxmlformats.org/drawingml/2006/main">
  <xdr:twoCellAnchor>
    <xdr:from>
      <xdr:col>1</xdr:col>
      <xdr:colOff>373951</xdr:colOff>
      <xdr:row>5</xdr:row>
      <xdr:rowOff>44535</xdr:rowOff>
    </xdr:from>
    <xdr:to>
      <xdr:col>4</xdr:col>
      <xdr:colOff>2409824</xdr:colOff>
      <xdr:row>23</xdr:row>
      <xdr:rowOff>19020</xdr:rowOff>
    </xdr:to>
    <xdr:graphicFrame macro="">
      <xdr:nvGraphicFramePr>
        <xdr:cNvPr id="2" name="Chart 1">
          <a:extLst>
            <a:ext uri="{FF2B5EF4-FFF2-40B4-BE49-F238E27FC236}">
              <a16:creationId xmlns:a16="http://schemas.microsoft.com/office/drawing/2014/main" id="{00000000-0008-0000-1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2786064</xdr:colOff>
      <xdr:row>5</xdr:row>
      <xdr:rowOff>102054</xdr:rowOff>
    </xdr:from>
    <xdr:to>
      <xdr:col>8</xdr:col>
      <xdr:colOff>1738314</xdr:colOff>
      <xdr:row>23</xdr:row>
      <xdr:rowOff>102054</xdr:rowOff>
    </xdr:to>
    <xdr:graphicFrame macro="">
      <xdr:nvGraphicFramePr>
        <xdr:cNvPr id="3" name="Chart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2161062</xdr:colOff>
      <xdr:row>5</xdr:row>
      <xdr:rowOff>61836</xdr:rowOff>
    </xdr:from>
    <xdr:to>
      <xdr:col>12</xdr:col>
      <xdr:colOff>1965850</xdr:colOff>
      <xdr:row>23</xdr:row>
      <xdr:rowOff>61837</xdr:rowOff>
    </xdr:to>
    <xdr:graphicFrame macro="">
      <xdr:nvGraphicFramePr>
        <xdr:cNvPr id="4" name="Chart 3">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215866</xdr:colOff>
      <xdr:row>24</xdr:row>
      <xdr:rowOff>83332</xdr:rowOff>
    </xdr:from>
    <xdr:to>
      <xdr:col>4</xdr:col>
      <xdr:colOff>2435841</xdr:colOff>
      <xdr:row>42</xdr:row>
      <xdr:rowOff>52705</xdr:rowOff>
    </xdr:to>
    <xdr:graphicFrame macro="">
      <xdr:nvGraphicFramePr>
        <xdr:cNvPr id="5" name="Chart 4">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2900794</xdr:colOff>
      <xdr:row>24</xdr:row>
      <xdr:rowOff>72303</xdr:rowOff>
    </xdr:from>
    <xdr:to>
      <xdr:col>8</xdr:col>
      <xdr:colOff>2055451</xdr:colOff>
      <xdr:row>42</xdr:row>
      <xdr:rowOff>22296</xdr:rowOff>
    </xdr:to>
    <xdr:graphicFrame macro="">
      <xdr:nvGraphicFramePr>
        <xdr:cNvPr id="6" name="Chart 5">
          <a:extLst>
            <a:ext uri="{FF2B5EF4-FFF2-40B4-BE49-F238E27FC236}">
              <a16:creationId xmlns:a16="http://schemas.microsoft.com/office/drawing/2014/main" id="{00000000-0008-0000-1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21</xdr:col>
      <xdr:colOff>190500</xdr:colOff>
      <xdr:row>98</xdr:row>
      <xdr:rowOff>47625</xdr:rowOff>
    </xdr:from>
    <xdr:ext cx="1268296" cy="298796"/>
    <xdr:sp macro="" textlink="">
      <xdr:nvSpPr>
        <xdr:cNvPr id="7" name="TextBox 7">
          <a:extLst>
            <a:ext uri="{FF2B5EF4-FFF2-40B4-BE49-F238E27FC236}">
              <a16:creationId xmlns:a16="http://schemas.microsoft.com/office/drawing/2014/main" id="{00000000-0008-0000-1200-000007000000}"/>
            </a:ext>
          </a:extLst>
        </xdr:cNvPr>
        <xdr:cNvSpPr txBox="1"/>
      </xdr:nvSpPr>
      <xdr:spPr>
        <a:xfrm>
          <a:off x="34728150" y="17145000"/>
          <a:ext cx="1268095" cy="2984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400" i="1">
              <a:solidFill>
                <a:srgbClr val="FF0000"/>
              </a:solidFill>
            </a:rPr>
            <a:t>Protected area</a:t>
          </a:r>
        </a:p>
      </xdr:txBody>
    </xdr:sp>
    <xdr:clientData/>
  </xdr:oneCellAnchor>
</xdr:wsDr>
</file>

<file path=xl/drawings/drawing8.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2A4292B1-2F13-393C-6982-DDBD5E85DADB}"/>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80.xml><?xml version="1.0" encoding="utf-8"?>
<c:userShapes xmlns:c="http://schemas.openxmlformats.org/drawingml/2006/chart">
  <cdr:relSizeAnchor xmlns:cdr="http://schemas.openxmlformats.org/drawingml/2006/chartDrawing">
    <cdr:from>
      <cdr:x>0</cdr:x>
      <cdr:y>0.86806</cdr:y>
    </cdr:from>
    <cdr:to>
      <cdr:x>1</cdr:x>
      <cdr:y>1</cdr:y>
    </cdr:to>
    <cdr:sp macro="" textlink="">
      <cdr:nvSpPr>
        <cdr:cNvPr id="2" name="矩形 1"/>
        <cdr:cNvSpPr/>
      </cdr:nvSpPr>
      <cdr:spPr>
        <a:xfrm xmlns:a="http://schemas.openxmlformats.org/drawingml/2006/main">
          <a:off x="0" y="2779346"/>
          <a:ext cx="6450991" cy="422431"/>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81.xml><?xml version="1.0" encoding="utf-8"?>
<c:userShapes xmlns:c="http://schemas.openxmlformats.org/drawingml/2006/chart">
  <cdr:relSizeAnchor xmlns:cdr="http://schemas.openxmlformats.org/drawingml/2006/chartDrawing">
    <cdr:from>
      <cdr:x>0.01985</cdr:x>
      <cdr:y>0.90843</cdr:y>
    </cdr:from>
    <cdr:to>
      <cdr:x>1</cdr:x>
      <cdr:y>1</cdr:y>
    </cdr:to>
    <cdr:sp macro="" textlink="">
      <cdr:nvSpPr>
        <cdr:cNvPr id="2" name="矩形 1"/>
        <cdr:cNvSpPr/>
      </cdr:nvSpPr>
      <cdr:spPr>
        <a:xfrm xmlns:a="http://schemas.openxmlformats.org/drawingml/2006/main">
          <a:off x="126900" y="2931770"/>
          <a:ext cx="6266056" cy="295524"/>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82.xml><?xml version="1.0" encoding="utf-8"?>
<c:userShapes xmlns:c="http://schemas.openxmlformats.org/drawingml/2006/chart">
  <cdr:relSizeAnchor xmlns:cdr="http://schemas.openxmlformats.org/drawingml/2006/chartDrawing">
    <cdr:from>
      <cdr:x>0.0002</cdr:x>
      <cdr:y>0.91371</cdr:y>
    </cdr:from>
    <cdr:to>
      <cdr:x>0.99984</cdr:x>
      <cdr:y>0.99705</cdr:y>
    </cdr:to>
    <cdr:sp macro="" textlink="">
      <cdr:nvSpPr>
        <cdr:cNvPr id="2" name="矩形 1"/>
        <cdr:cNvSpPr/>
      </cdr:nvSpPr>
      <cdr:spPr>
        <a:xfrm xmlns:a="http://schemas.openxmlformats.org/drawingml/2006/main">
          <a:off x="1298" y="2948811"/>
          <a:ext cx="6652934" cy="268973"/>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83.xml><?xml version="1.0" encoding="utf-8"?>
<c:userShapes xmlns:c="http://schemas.openxmlformats.org/drawingml/2006/chart">
  <cdr:relSizeAnchor xmlns:cdr="http://schemas.openxmlformats.org/drawingml/2006/chartDrawing">
    <cdr:from>
      <cdr:x>0.00012</cdr:x>
      <cdr:y>0.85965</cdr:y>
    </cdr:from>
    <cdr:to>
      <cdr:x>0.99946</cdr:x>
      <cdr:y>0.99487</cdr:y>
    </cdr:to>
    <cdr:sp macro="" textlink="">
      <cdr:nvSpPr>
        <cdr:cNvPr id="2" name="矩形 1"/>
        <cdr:cNvSpPr/>
      </cdr:nvSpPr>
      <cdr:spPr>
        <a:xfrm xmlns:a="http://schemas.openxmlformats.org/drawingml/2006/main">
          <a:off x="781" y="2748021"/>
          <a:ext cx="6630715" cy="432235"/>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84.xml><?xml version="1.0" encoding="utf-8"?>
<c:userShapes xmlns:c="http://schemas.openxmlformats.org/drawingml/2006/chart">
  <cdr:relSizeAnchor xmlns:cdr="http://schemas.openxmlformats.org/drawingml/2006/chartDrawing">
    <cdr:from>
      <cdr:x>0.00306</cdr:x>
      <cdr:y>0.87072</cdr:y>
    </cdr:from>
    <cdr:to>
      <cdr:x>1</cdr:x>
      <cdr:y>0.99765</cdr:y>
    </cdr:to>
    <cdr:sp macro="" textlink="">
      <cdr:nvSpPr>
        <cdr:cNvPr id="2" name="矩形 1"/>
        <cdr:cNvSpPr/>
      </cdr:nvSpPr>
      <cdr:spPr>
        <a:xfrm xmlns:a="http://schemas.openxmlformats.org/drawingml/2006/main">
          <a:off x="20206" y="2766522"/>
          <a:ext cx="6575157" cy="403294"/>
        </a:xfrm>
        <a:prstGeom xmlns:a="http://schemas.openxmlformats.org/drawingml/2006/main" prst="rect">
          <a:avLst/>
        </a:prstGeom>
        <a:solidFill xmlns:a="http://schemas.openxmlformats.org/drawingml/2006/main">
          <a:schemeClr val="bg1">
            <a:lumMod val="85000"/>
            <a:alpha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GB" sz="1100"/>
        </a:p>
      </cdr:txBody>
    </cdr:sp>
  </cdr:relSizeAnchor>
</c:userShapes>
</file>

<file path=xl/drawings/drawing85.xml><?xml version="1.0" encoding="utf-8"?>
<xdr:wsDr xmlns:xdr="http://schemas.openxmlformats.org/drawingml/2006/spreadsheetDrawing" xmlns:a="http://schemas.openxmlformats.org/drawingml/2006/main">
  <xdr:twoCellAnchor>
    <xdr:from>
      <xdr:col>17</xdr:col>
      <xdr:colOff>0</xdr:colOff>
      <xdr:row>7</xdr:row>
      <xdr:rowOff>0</xdr:rowOff>
    </xdr:from>
    <xdr:to>
      <xdr:col>26</xdr:col>
      <xdr:colOff>340658</xdr:colOff>
      <xdr:row>28</xdr:row>
      <xdr:rowOff>0</xdr:rowOff>
    </xdr:to>
    <xdr:graphicFrame macro="">
      <xdr:nvGraphicFramePr>
        <xdr:cNvPr id="9" name="Chart 8">
          <a:extLst>
            <a:ext uri="{FF2B5EF4-FFF2-40B4-BE49-F238E27FC236}">
              <a16:creationId xmlns:a16="http://schemas.microsoft.com/office/drawing/2014/main" id="{00000000-0008-0000-13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33</xdr:row>
      <xdr:rowOff>0</xdr:rowOff>
    </xdr:from>
    <xdr:to>
      <xdr:col>26</xdr:col>
      <xdr:colOff>340658</xdr:colOff>
      <xdr:row>55</xdr:row>
      <xdr:rowOff>9071</xdr:rowOff>
    </xdr:to>
    <xdr:graphicFrame macro="">
      <xdr:nvGraphicFramePr>
        <xdr:cNvPr id="20" name="Chart 19">
          <a:extLst>
            <a:ext uri="{FF2B5EF4-FFF2-40B4-BE49-F238E27FC236}">
              <a16:creationId xmlns:a16="http://schemas.microsoft.com/office/drawing/2014/main" id="{00000000-0008-0000-1300-00001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0</xdr:colOff>
      <xdr:row>59</xdr:row>
      <xdr:rowOff>0</xdr:rowOff>
    </xdr:from>
    <xdr:to>
      <xdr:col>26</xdr:col>
      <xdr:colOff>340658</xdr:colOff>
      <xdr:row>79</xdr:row>
      <xdr:rowOff>181427</xdr:rowOff>
    </xdr:to>
    <xdr:graphicFrame macro="">
      <xdr:nvGraphicFramePr>
        <xdr:cNvPr id="21" name="Chart 20">
          <a:extLst>
            <a:ext uri="{FF2B5EF4-FFF2-40B4-BE49-F238E27FC236}">
              <a16:creationId xmlns:a16="http://schemas.microsoft.com/office/drawing/2014/main" id="{00000000-0008-0000-13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85</xdr:row>
      <xdr:rowOff>0</xdr:rowOff>
    </xdr:from>
    <xdr:to>
      <xdr:col>26</xdr:col>
      <xdr:colOff>340658</xdr:colOff>
      <xdr:row>105</xdr:row>
      <xdr:rowOff>179293</xdr:rowOff>
    </xdr:to>
    <xdr:graphicFrame macro="">
      <xdr:nvGraphicFramePr>
        <xdr:cNvPr id="22" name="Chart 21">
          <a:extLst>
            <a:ext uri="{FF2B5EF4-FFF2-40B4-BE49-F238E27FC236}">
              <a16:creationId xmlns:a16="http://schemas.microsoft.com/office/drawing/2014/main" id="{00000000-0008-0000-1300-00001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0</xdr:colOff>
      <xdr:row>111</xdr:row>
      <xdr:rowOff>0</xdr:rowOff>
    </xdr:from>
    <xdr:to>
      <xdr:col>26</xdr:col>
      <xdr:colOff>340658</xdr:colOff>
      <xdr:row>131</xdr:row>
      <xdr:rowOff>179293</xdr:rowOff>
    </xdr:to>
    <xdr:graphicFrame macro="">
      <xdr:nvGraphicFramePr>
        <xdr:cNvPr id="23" name="Chart 22">
          <a:extLst>
            <a:ext uri="{FF2B5EF4-FFF2-40B4-BE49-F238E27FC236}">
              <a16:creationId xmlns:a16="http://schemas.microsoft.com/office/drawing/2014/main" id="{00000000-0008-0000-1300-00001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6.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0070C0"/>
              </a:solidFill>
            </a:rPr>
            <a:t>(EPO)</a:t>
          </a:r>
          <a:endParaRPr lang="en-US" sz="1200" b="1">
            <a:solidFill>
              <a:srgbClr val="0070C0"/>
            </a:solidFill>
          </a:endParaRPr>
        </a:p>
      </cdr:txBody>
    </cdr:sp>
  </cdr:relSizeAnchor>
  <cdr:relSizeAnchor xmlns:cdr="http://schemas.openxmlformats.org/drawingml/2006/chartDrawing">
    <cdr:from>
      <cdr:x>0.85737</cdr:x>
      <cdr:y>0.02762</cdr:y>
    </cdr:from>
    <cdr:to>
      <cdr:x>0.99626</cdr:x>
      <cdr:y>0.12811</cdr:y>
    </cdr:to>
    <cdr:pic>
      <cdr:nvPicPr>
        <cdr:cNvPr id="4" name="图片 3">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241921" y="105229"/>
          <a:ext cx="1011165" cy="382888"/>
        </a:xfrm>
        <a:prstGeom xmlns:a="http://schemas.openxmlformats.org/drawingml/2006/main" prst="rect">
          <a:avLst/>
        </a:prstGeom>
      </cdr:spPr>
    </cdr:pic>
  </cdr:relSizeAnchor>
</c:userShapes>
</file>

<file path=xl/drawings/drawing87.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FF0000"/>
              </a:solidFill>
            </a:rPr>
            <a:t>(JPO)</a:t>
          </a:r>
          <a:endParaRPr lang="en-US" sz="1200" b="1">
            <a:solidFill>
              <a:srgbClr val="FF0000"/>
            </a:solidFill>
          </a:endParaRPr>
        </a:p>
      </cdr:txBody>
    </cdr:sp>
  </cdr:relSizeAnchor>
  <cdr:relSizeAnchor xmlns:cdr="http://schemas.openxmlformats.org/drawingml/2006/chartDrawing">
    <cdr:from>
      <cdr:x>0.85926</cdr:x>
      <cdr:y>0.01043</cdr:y>
    </cdr:from>
    <cdr:to>
      <cdr:x>0.99815</cdr:x>
      <cdr:y>0.10614</cdr:y>
    </cdr:to>
    <cdr:pic>
      <cdr:nvPicPr>
        <cdr:cNvPr id="4" name="图片 3">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255657" y="41729"/>
          <a:ext cx="1011165" cy="382888"/>
        </a:xfrm>
        <a:prstGeom xmlns:a="http://schemas.openxmlformats.org/drawingml/2006/main" prst="rect">
          <a:avLst/>
        </a:prstGeom>
      </cdr:spPr>
    </cdr:pic>
  </cdr:relSizeAnchor>
</c:userShapes>
</file>

<file path=xl/drawings/drawing88.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7030A0"/>
              </a:solidFill>
            </a:rPr>
            <a:t>(MOIP)</a:t>
          </a:r>
          <a:endParaRPr lang="en-US" sz="1200" b="1">
            <a:solidFill>
              <a:srgbClr val="7030A0"/>
            </a:solidFill>
          </a:endParaRPr>
        </a:p>
      </cdr:txBody>
    </cdr:sp>
  </cdr:relSizeAnchor>
  <cdr:relSizeAnchor xmlns:cdr="http://schemas.openxmlformats.org/drawingml/2006/chartDrawing">
    <cdr:from>
      <cdr:x>0.8468</cdr:x>
      <cdr:y>0.03959</cdr:y>
    </cdr:from>
    <cdr:to>
      <cdr:x>0.98569</cdr:x>
      <cdr:y>0.14025</cdr:y>
    </cdr:to>
    <cdr:pic>
      <cdr:nvPicPr>
        <cdr:cNvPr id="4" name="图片 3">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164942" y="150585"/>
          <a:ext cx="1011165" cy="382888"/>
        </a:xfrm>
        <a:prstGeom xmlns:a="http://schemas.openxmlformats.org/drawingml/2006/main" prst="rect">
          <a:avLst/>
        </a:prstGeom>
      </cdr:spPr>
    </cdr:pic>
  </cdr:relSizeAnchor>
</c:userShapes>
</file>

<file path=xl/drawings/drawing89.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FFC000"/>
              </a:solidFill>
            </a:rPr>
            <a:t>(CNIPA)</a:t>
          </a:r>
          <a:endParaRPr lang="en-US" sz="1200" b="1">
            <a:solidFill>
              <a:srgbClr val="FFC000"/>
            </a:solidFill>
          </a:endParaRPr>
        </a:p>
      </cdr:txBody>
    </cdr:sp>
  </cdr:relSizeAnchor>
  <cdr:relSizeAnchor xmlns:cdr="http://schemas.openxmlformats.org/drawingml/2006/chartDrawing">
    <cdr:from>
      <cdr:x>0.86111</cdr:x>
      <cdr:y>0.03002</cdr:y>
    </cdr:from>
    <cdr:to>
      <cdr:x>1</cdr:x>
      <cdr:y>0.13057</cdr:y>
    </cdr:to>
    <cdr:pic>
      <cdr:nvPicPr>
        <cdr:cNvPr id="4" name="图片 3">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269136" y="114300"/>
          <a:ext cx="1011165" cy="382888"/>
        </a:xfrm>
        <a:prstGeom xmlns:a="http://schemas.openxmlformats.org/drawingml/2006/main" prst="rect">
          <a:avLst/>
        </a:prstGeom>
      </cdr:spPr>
    </cdr:pic>
  </cdr:relSizeAnchor>
</c:userShapes>
</file>

<file path=xl/drawings/drawing9.xml><?xml version="1.0" encoding="utf-8"?>
<c:userShapes xmlns:c="http://schemas.openxmlformats.org/drawingml/2006/chart">
  <cdr:relSizeAnchor xmlns:cdr="http://schemas.openxmlformats.org/drawingml/2006/chartDrawing">
    <cdr:from>
      <cdr:x>0.76637</cdr:x>
      <cdr:y>0.8808</cdr:y>
    </cdr:from>
    <cdr:to>
      <cdr:x>0.99376</cdr:x>
      <cdr:y>0.97934</cdr:y>
    </cdr:to>
    <cdr:pic>
      <cdr:nvPicPr>
        <cdr:cNvPr id="2" name="图片 1">
          <a:extLst xmlns:a="http://schemas.openxmlformats.org/drawingml/2006/main">
            <a:ext uri="{FF2B5EF4-FFF2-40B4-BE49-F238E27FC236}">
              <a16:creationId xmlns:a16="http://schemas.microsoft.com/office/drawing/2014/main" id="{AF8B993F-EAF6-C15E-7EB5-8E88384ECDCF}"/>
            </a:ext>
          </a:extLst>
        </cdr:cNvPr>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a:xfrm xmlns:a="http://schemas.openxmlformats.org/drawingml/2006/main">
          <a:off x="2664069" y="2672211"/>
          <a:ext cx="790457" cy="29895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pic>
  </cdr:relSizeAnchor>
</c:userShapes>
</file>

<file path=xl/drawings/drawing90.xml><?xml version="1.0" encoding="utf-8"?>
<c:userShapes xmlns:c="http://schemas.openxmlformats.org/drawingml/2006/chart">
  <cdr:relSizeAnchor xmlns:cdr="http://schemas.openxmlformats.org/drawingml/2006/chartDrawing">
    <cdr:from>
      <cdr:x>0.00938</cdr:x>
      <cdr:y>0.04051</cdr:y>
    </cdr:from>
    <cdr:to>
      <cdr:x>0.92867</cdr:x>
      <cdr:y>0.14016</cdr:y>
    </cdr:to>
    <cdr:sp macro="" textlink="">
      <cdr:nvSpPr>
        <cdr:cNvPr id="2" name="矩形 1"/>
        <cdr:cNvSpPr/>
      </cdr:nvSpPr>
      <cdr:spPr>
        <a:xfrm xmlns:a="http://schemas.openxmlformats.org/drawingml/2006/main">
          <a:off x="60960" y="142922"/>
          <a:ext cx="5975256" cy="35157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b="1"/>
            <a:t>Fig.</a:t>
          </a:r>
          <a:r>
            <a:rPr lang="en-US" sz="1200" b="1" baseline="0"/>
            <a:t> </a:t>
          </a:r>
          <a:r>
            <a:rPr lang="en-US" sz="1200" b="1"/>
            <a:t>4.10:  PATENTS GRANTED - MAINTENANCE FROM FILING DATE - </a:t>
          </a:r>
          <a:r>
            <a:rPr lang="en-US" sz="1200" b="1">
              <a:solidFill>
                <a:srgbClr val="0000CC"/>
              </a:solidFill>
            </a:rPr>
            <a:t>EXTENDED</a:t>
          </a:r>
          <a:r>
            <a:rPr lang="en-US" sz="1200" b="1" baseline="0">
              <a:solidFill>
                <a:srgbClr val="0000CC"/>
              </a:solidFill>
            </a:rPr>
            <a:t>  DATA </a:t>
          </a:r>
          <a:r>
            <a:rPr lang="en-US" sz="1200" b="1" baseline="0">
              <a:solidFill>
                <a:srgbClr val="00B050"/>
              </a:solidFill>
            </a:rPr>
            <a:t>(USPTO)</a:t>
          </a:r>
          <a:endParaRPr lang="en-US" sz="1200" b="1">
            <a:solidFill>
              <a:srgbClr val="00B050"/>
            </a:solidFill>
          </a:endParaRPr>
        </a:p>
      </cdr:txBody>
    </cdr:sp>
  </cdr:relSizeAnchor>
  <cdr:relSizeAnchor xmlns:cdr="http://schemas.openxmlformats.org/drawingml/2006/chartDrawing">
    <cdr:from>
      <cdr:x>0.86111</cdr:x>
      <cdr:y>0.04431</cdr:y>
    </cdr:from>
    <cdr:to>
      <cdr:x>1</cdr:x>
      <cdr:y>0.14486</cdr:y>
    </cdr:to>
    <cdr:pic>
      <cdr:nvPicPr>
        <cdr:cNvPr id="4" name="图片 3">
          <a:extLst xmlns:a="http://schemas.openxmlformats.org/drawingml/2006/main">
            <a:ext uri="{FF2B5EF4-FFF2-40B4-BE49-F238E27FC236}">
              <a16:creationId xmlns:a16="http://schemas.microsoft.com/office/drawing/2014/main" id="{D7A6D860-1091-F36D-A35D-67CF0EFF724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269136" y="168729"/>
          <a:ext cx="1011165" cy="382888"/>
        </a:xfrm>
        <a:prstGeom xmlns:a="http://schemas.openxmlformats.org/drawingml/2006/main" prst="rect">
          <a:avLst/>
        </a:prstGeom>
      </cdr:spPr>
    </cdr:pic>
  </cdr:relSizeAnchor>
</c:userShapes>
</file>

<file path=xl/drawings/drawing91.xml><?xml version="1.0" encoding="utf-8"?>
<xdr:wsDr xmlns:xdr="http://schemas.openxmlformats.org/drawingml/2006/spreadsheetDrawing" xmlns:a="http://schemas.openxmlformats.org/drawingml/2006/main">
  <xdr:twoCellAnchor>
    <xdr:from>
      <xdr:col>19</xdr:col>
      <xdr:colOff>583407</xdr:colOff>
      <xdr:row>5</xdr:row>
      <xdr:rowOff>1</xdr:rowOff>
    </xdr:from>
    <xdr:to>
      <xdr:col>35</xdr:col>
      <xdr:colOff>23813</xdr:colOff>
      <xdr:row>31</xdr:row>
      <xdr:rowOff>1</xdr:rowOff>
    </xdr:to>
    <xdr:graphicFrame macro="">
      <xdr:nvGraphicFramePr>
        <xdr:cNvPr id="2" name="Chart 28">
          <a:extLst>
            <a:ext uri="{FF2B5EF4-FFF2-40B4-BE49-F238E27FC236}">
              <a16:creationId xmlns:a16="http://schemas.microsoft.com/office/drawing/2014/main" id="{00000000-0008-0000-1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11905</xdr:colOff>
      <xdr:row>34</xdr:row>
      <xdr:rowOff>1</xdr:rowOff>
    </xdr:from>
    <xdr:to>
      <xdr:col>35</xdr:col>
      <xdr:colOff>11906</xdr:colOff>
      <xdr:row>56</xdr:row>
      <xdr:rowOff>0</xdr:rowOff>
    </xdr:to>
    <xdr:graphicFrame macro="">
      <xdr:nvGraphicFramePr>
        <xdr:cNvPr id="3" name="Chart 30">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11905</xdr:colOff>
      <xdr:row>63</xdr:row>
      <xdr:rowOff>0</xdr:rowOff>
    </xdr:from>
    <xdr:to>
      <xdr:col>35</xdr:col>
      <xdr:colOff>11905</xdr:colOff>
      <xdr:row>86</xdr:row>
      <xdr:rowOff>178594</xdr:rowOff>
    </xdr:to>
    <xdr:graphicFrame macro="">
      <xdr:nvGraphicFramePr>
        <xdr:cNvPr id="4" name="Chart 31">
          <a:extLst>
            <a:ext uri="{FF2B5EF4-FFF2-40B4-BE49-F238E27FC236}">
              <a16:creationId xmlns:a16="http://schemas.microsoft.com/office/drawing/2014/main" id="{00000000-0008-0000-1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11905</xdr:colOff>
      <xdr:row>92</xdr:row>
      <xdr:rowOff>11907</xdr:rowOff>
    </xdr:from>
    <xdr:to>
      <xdr:col>35</xdr:col>
      <xdr:colOff>11905</xdr:colOff>
      <xdr:row>116</xdr:row>
      <xdr:rowOff>178594</xdr:rowOff>
    </xdr:to>
    <xdr:graphicFrame macro="">
      <xdr:nvGraphicFramePr>
        <xdr:cNvPr id="5" name="Chart 32">
          <a:extLst>
            <a:ext uri="{FF2B5EF4-FFF2-40B4-BE49-F238E27FC236}">
              <a16:creationId xmlns:a16="http://schemas.microsoft.com/office/drawing/2014/main" id="{00000000-0008-0000-1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-1</xdr:colOff>
      <xdr:row>120</xdr:row>
      <xdr:rowOff>178593</xdr:rowOff>
    </xdr:from>
    <xdr:to>
      <xdr:col>34</xdr:col>
      <xdr:colOff>595311</xdr:colOff>
      <xdr:row>147</xdr:row>
      <xdr:rowOff>118084</xdr:rowOff>
    </xdr:to>
    <xdr:graphicFrame macro="">
      <xdr:nvGraphicFramePr>
        <xdr:cNvPr id="6" name="Chart 34">
          <a:extLst>
            <a:ext uri="{FF2B5EF4-FFF2-40B4-BE49-F238E27FC236}">
              <a16:creationId xmlns:a16="http://schemas.microsoft.com/office/drawing/2014/main" id="{00000000-0008-0000-1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2.xml><?xml version="1.0" encoding="utf-8"?>
<c:userShapes xmlns:c="http://schemas.openxmlformats.org/drawingml/2006/chart">
  <cdr:relSizeAnchor xmlns:cdr="http://schemas.openxmlformats.org/drawingml/2006/chartDrawing">
    <cdr:from>
      <cdr:x>0.88498</cdr:x>
      <cdr:y>0.11681</cdr:y>
    </cdr:from>
    <cdr:to>
      <cdr:x>0.99235</cdr:x>
      <cdr:y>0.18123</cdr:y>
    </cdr:to>
    <cdr:sp macro="" textlink="">
      <cdr:nvSpPr>
        <cdr:cNvPr id="2" name="矩形 1"/>
        <cdr:cNvSpPr/>
      </cdr:nvSpPr>
      <cdr:spPr>
        <a:xfrm xmlns:a="http://schemas.openxmlformats.org/drawingml/2006/main">
          <a:off x="8073963" y="593738"/>
          <a:ext cx="979578" cy="32744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EPC states</a:t>
          </a:r>
        </a:p>
      </cdr:txBody>
    </cdr:sp>
  </cdr:relSizeAnchor>
  <cdr:relSizeAnchor xmlns:cdr="http://schemas.openxmlformats.org/drawingml/2006/chartDrawing">
    <cdr:from>
      <cdr:x>0.88686</cdr:x>
      <cdr:y>0.28475</cdr:y>
    </cdr:from>
    <cdr:to>
      <cdr:x>0.94141</cdr:x>
      <cdr:y>0.34917</cdr:y>
    </cdr:to>
    <cdr:sp macro="" textlink="">
      <cdr:nvSpPr>
        <cdr:cNvPr id="3" name="矩形 2"/>
        <cdr:cNvSpPr/>
      </cdr:nvSpPr>
      <cdr:spPr>
        <a:xfrm xmlns:a="http://schemas.openxmlformats.org/drawingml/2006/main">
          <a:off x="8091205" y="1447395"/>
          <a:ext cx="497590"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a:t>
          </a:r>
        </a:p>
      </cdr:txBody>
    </cdr:sp>
  </cdr:relSizeAnchor>
  <cdr:relSizeAnchor xmlns:cdr="http://schemas.openxmlformats.org/drawingml/2006/chartDrawing">
    <cdr:from>
      <cdr:x>0.88579</cdr:x>
      <cdr:y>0.32675</cdr:y>
    </cdr:from>
    <cdr:to>
      <cdr:x>0.95518</cdr:x>
      <cdr:y>0.39117</cdr:y>
    </cdr:to>
    <cdr:sp macro="" textlink="">
      <cdr:nvSpPr>
        <cdr:cNvPr id="4" name="矩形 3"/>
        <cdr:cNvSpPr/>
      </cdr:nvSpPr>
      <cdr:spPr>
        <a:xfrm xmlns:a="http://schemas.openxmlformats.org/drawingml/2006/main">
          <a:off x="8081353" y="1660862"/>
          <a:ext cx="633072"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Japan</a:t>
          </a:r>
        </a:p>
      </cdr:txBody>
    </cdr:sp>
  </cdr:relSizeAnchor>
  <cdr:relSizeAnchor xmlns:cdr="http://schemas.openxmlformats.org/drawingml/2006/chartDrawing">
    <cdr:from>
      <cdr:x>0.88778</cdr:x>
      <cdr:y>0.48679</cdr:y>
    </cdr:from>
    <cdr:to>
      <cdr:x>0.93092</cdr:x>
      <cdr:y>0.55121</cdr:y>
    </cdr:to>
    <cdr:sp macro="" textlink="">
      <cdr:nvSpPr>
        <cdr:cNvPr id="5" name="矩形 4"/>
        <cdr:cNvSpPr/>
      </cdr:nvSpPr>
      <cdr:spPr>
        <a:xfrm xmlns:a="http://schemas.openxmlformats.org/drawingml/2006/main">
          <a:off x="8099510" y="2474348"/>
          <a:ext cx="393582"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tx1"/>
              </a:solidFill>
            </a:rPr>
            <a:t>All</a:t>
          </a:r>
        </a:p>
      </cdr:txBody>
    </cdr:sp>
  </cdr:relSizeAnchor>
  <cdr:relSizeAnchor xmlns:cdr="http://schemas.openxmlformats.org/drawingml/2006/chartDrawing">
    <cdr:from>
      <cdr:x>0.88824</cdr:x>
      <cdr:y>0.53125</cdr:y>
    </cdr:from>
    <cdr:to>
      <cdr:x>0.97997</cdr:x>
      <cdr:y>0.59567</cdr:y>
    </cdr:to>
    <cdr:sp macro="" textlink="">
      <cdr:nvSpPr>
        <cdr:cNvPr id="6" name="矩形 5"/>
        <cdr:cNvSpPr/>
      </cdr:nvSpPr>
      <cdr:spPr>
        <a:xfrm xmlns:a="http://schemas.openxmlformats.org/drawingml/2006/main">
          <a:off x="8103707" y="2700322"/>
          <a:ext cx="836888"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7030A0"/>
              </a:solidFill>
            </a:rPr>
            <a:t>R. Korea</a:t>
          </a:r>
        </a:p>
      </cdr:txBody>
    </cdr:sp>
  </cdr:relSizeAnchor>
  <cdr:relSizeAnchor xmlns:cdr="http://schemas.openxmlformats.org/drawingml/2006/chartDrawing">
    <cdr:from>
      <cdr:x>0.88846</cdr:x>
      <cdr:y>0.56979</cdr:y>
    </cdr:from>
    <cdr:to>
      <cdr:x>0.9665</cdr:x>
      <cdr:y>0.63421</cdr:y>
    </cdr:to>
    <cdr:sp macro="" textlink="">
      <cdr:nvSpPr>
        <cdr:cNvPr id="7" name="矩形 6"/>
        <cdr:cNvSpPr/>
      </cdr:nvSpPr>
      <cdr:spPr>
        <a:xfrm xmlns:a="http://schemas.openxmlformats.org/drawingml/2006/main">
          <a:off x="8105759" y="2896258"/>
          <a:ext cx="711989"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accent2"/>
              </a:solidFill>
            </a:rPr>
            <a:t>Others</a:t>
          </a:r>
        </a:p>
      </cdr:txBody>
    </cdr:sp>
  </cdr:relSizeAnchor>
  <cdr:relSizeAnchor xmlns:cdr="http://schemas.openxmlformats.org/drawingml/2006/chartDrawing">
    <cdr:from>
      <cdr:x>0.88217</cdr:x>
      <cdr:y>0.66237</cdr:y>
    </cdr:from>
    <cdr:to>
      <cdr:x>0.98819</cdr:x>
      <cdr:y>0.72679</cdr:y>
    </cdr:to>
    <cdr:sp macro="" textlink="">
      <cdr:nvSpPr>
        <cdr:cNvPr id="8" name="矩形 7"/>
        <cdr:cNvSpPr/>
      </cdr:nvSpPr>
      <cdr:spPr>
        <a:xfrm xmlns:a="http://schemas.openxmlformats.org/drawingml/2006/main">
          <a:off x="8048373" y="3366841"/>
          <a:ext cx="967261"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P.R. China</a:t>
          </a:r>
        </a:p>
      </cdr:txBody>
    </cdr:sp>
  </cdr:relSizeAnchor>
  <cdr:relSizeAnchor xmlns:cdr="http://schemas.openxmlformats.org/drawingml/2006/chartDrawing">
    <cdr:from>
      <cdr:x>0.91923</cdr:x>
      <cdr:y>0.933</cdr:y>
    </cdr:from>
    <cdr:to>
      <cdr:x>0.99487</cdr:x>
      <cdr:y>1</cdr:y>
    </cdr:to>
    <cdr:pic>
      <cdr:nvPicPr>
        <cdr:cNvPr id="11" name="图片 10">
          <a:extLst xmlns:a="http://schemas.openxmlformats.org/drawingml/2006/main">
            <a:ext uri="{FF2B5EF4-FFF2-40B4-BE49-F238E27FC236}">
              <a16:creationId xmlns:a16="http://schemas.microsoft.com/office/drawing/2014/main" id="{8D59F258-2E1A-27D8-2FD3-A79A3B055E5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9625543" y="4401080"/>
          <a:ext cx="792000" cy="316063"/>
        </a:xfrm>
        <a:prstGeom xmlns:a="http://schemas.openxmlformats.org/drawingml/2006/main" prst="rect">
          <a:avLst/>
        </a:prstGeom>
      </cdr:spPr>
    </cdr:pic>
  </cdr:relSizeAnchor>
  <cdr:relSizeAnchor xmlns:cdr="http://schemas.openxmlformats.org/drawingml/2006/chartDrawing">
    <cdr:from>
      <cdr:x>0.00485</cdr:x>
      <cdr:y>0.01077</cdr:y>
    </cdr:from>
    <cdr:to>
      <cdr:x>0.08049</cdr:x>
      <cdr:y>0.07777</cdr:y>
    </cdr:to>
    <cdr:pic>
      <cdr:nvPicPr>
        <cdr:cNvPr id="12" name="图片 11">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0800" y="50800"/>
          <a:ext cx="792000" cy="316063"/>
        </a:xfrm>
        <a:prstGeom xmlns:a="http://schemas.openxmlformats.org/drawingml/2006/main" prst="rect">
          <a:avLst/>
        </a:prstGeom>
      </cdr:spPr>
    </cdr:pic>
  </cdr:relSizeAnchor>
</c:userShapes>
</file>

<file path=xl/drawings/drawing93.xml><?xml version="1.0" encoding="utf-8"?>
<c:userShapes xmlns:c="http://schemas.openxmlformats.org/drawingml/2006/chart">
  <cdr:relSizeAnchor xmlns:cdr="http://schemas.openxmlformats.org/drawingml/2006/chartDrawing">
    <cdr:from>
      <cdr:x>0.87691</cdr:x>
      <cdr:y>0.20112</cdr:y>
    </cdr:from>
    <cdr:to>
      <cdr:x>0.93219</cdr:x>
      <cdr:y>0.26554</cdr:y>
    </cdr:to>
    <cdr:sp macro="" textlink="">
      <cdr:nvSpPr>
        <cdr:cNvPr id="2" name="矩形 1"/>
        <cdr:cNvSpPr/>
      </cdr:nvSpPr>
      <cdr:spPr>
        <a:xfrm xmlns:a="http://schemas.openxmlformats.org/drawingml/2006/main">
          <a:off x="7830533" y="919532"/>
          <a:ext cx="493633" cy="294528"/>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EPO</a:t>
          </a:r>
        </a:p>
      </cdr:txBody>
    </cdr:sp>
  </cdr:relSizeAnchor>
  <cdr:relSizeAnchor xmlns:cdr="http://schemas.openxmlformats.org/drawingml/2006/chartDrawing">
    <cdr:from>
      <cdr:x>0.87726</cdr:x>
      <cdr:y>0.26005</cdr:y>
    </cdr:from>
    <cdr:to>
      <cdr:x>0.95552</cdr:x>
      <cdr:y>0.32448</cdr:y>
    </cdr:to>
    <cdr:sp macro="" textlink="">
      <cdr:nvSpPr>
        <cdr:cNvPr id="3" name="矩形 2"/>
        <cdr:cNvSpPr/>
      </cdr:nvSpPr>
      <cdr:spPr>
        <a:xfrm xmlns:a="http://schemas.openxmlformats.org/drawingml/2006/main">
          <a:off x="7833658" y="1188929"/>
          <a:ext cx="698838" cy="29457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USPTO</a:t>
          </a:r>
        </a:p>
      </cdr:txBody>
    </cdr:sp>
  </cdr:relSizeAnchor>
  <cdr:relSizeAnchor xmlns:cdr="http://schemas.openxmlformats.org/drawingml/2006/chartDrawing">
    <cdr:from>
      <cdr:x>0.87756</cdr:x>
      <cdr:y>0.42221</cdr:y>
    </cdr:from>
    <cdr:to>
      <cdr:x>0.92967</cdr:x>
      <cdr:y>0.48663</cdr:y>
    </cdr:to>
    <cdr:sp macro="" textlink="">
      <cdr:nvSpPr>
        <cdr:cNvPr id="4" name="矩形 3"/>
        <cdr:cNvSpPr/>
      </cdr:nvSpPr>
      <cdr:spPr>
        <a:xfrm xmlns:a="http://schemas.openxmlformats.org/drawingml/2006/main">
          <a:off x="7766039" y="2041509"/>
          <a:ext cx="461088" cy="31149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JPO</a:t>
          </a:r>
        </a:p>
      </cdr:txBody>
    </cdr:sp>
  </cdr:relSizeAnchor>
  <cdr:relSizeAnchor xmlns:cdr="http://schemas.openxmlformats.org/drawingml/2006/chartDrawing">
    <cdr:from>
      <cdr:x>0.87911</cdr:x>
      <cdr:y>0.57923</cdr:y>
    </cdr:from>
    <cdr:to>
      <cdr:x>0.93797</cdr:x>
      <cdr:y>0.66244</cdr:y>
    </cdr:to>
    <cdr:sp macro="" textlink="">
      <cdr:nvSpPr>
        <cdr:cNvPr id="5" name="矩形 4"/>
        <cdr:cNvSpPr/>
      </cdr:nvSpPr>
      <cdr:spPr>
        <a:xfrm xmlns:a="http://schemas.openxmlformats.org/drawingml/2006/main">
          <a:off x="8971392" y="2254314"/>
          <a:ext cx="600710" cy="323850"/>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en-GB" sz="1400" b="1">
              <a:solidFill>
                <a:srgbClr val="7030A0"/>
              </a:solidFill>
            </a:rPr>
            <a:t>MOIP</a:t>
          </a:r>
        </a:p>
      </cdr:txBody>
    </cdr:sp>
  </cdr:relSizeAnchor>
  <cdr:relSizeAnchor xmlns:cdr="http://schemas.openxmlformats.org/drawingml/2006/chartDrawing">
    <cdr:from>
      <cdr:x>0.87834</cdr:x>
      <cdr:y>0.31082</cdr:y>
    </cdr:from>
    <cdr:to>
      <cdr:x>0.9518</cdr:x>
      <cdr:y>0.37524</cdr:y>
    </cdr:to>
    <cdr:sp macro="" textlink="">
      <cdr:nvSpPr>
        <cdr:cNvPr id="6" name="矩形 5"/>
        <cdr:cNvSpPr/>
      </cdr:nvSpPr>
      <cdr:spPr>
        <a:xfrm xmlns:a="http://schemas.openxmlformats.org/drawingml/2006/main">
          <a:off x="7843302" y="1421088"/>
          <a:ext cx="655975" cy="294528"/>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CNIPA</a:t>
          </a:r>
        </a:p>
      </cdr:txBody>
    </cdr:sp>
  </cdr:relSizeAnchor>
  <cdr:relSizeAnchor xmlns:cdr="http://schemas.openxmlformats.org/drawingml/2006/chartDrawing">
    <cdr:from>
      <cdr:x>0.92341</cdr:x>
      <cdr:y>0.92081</cdr:y>
    </cdr:from>
    <cdr:to>
      <cdr:x>1</cdr:x>
      <cdr:y>1</cdr:y>
    </cdr:to>
    <cdr:pic>
      <cdr:nvPicPr>
        <cdr:cNvPr id="8" name="图片 7">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9549430" y="3675364"/>
          <a:ext cx="792000" cy="316063"/>
        </a:xfrm>
        <a:prstGeom xmlns:a="http://schemas.openxmlformats.org/drawingml/2006/main" prst="rect">
          <a:avLst/>
        </a:prstGeom>
      </cdr:spPr>
    </cdr:pic>
  </cdr:relSizeAnchor>
</c:userShapes>
</file>

<file path=xl/drawings/drawing94.xml><?xml version="1.0" encoding="utf-8"?>
<c:userShapes xmlns:c="http://schemas.openxmlformats.org/drawingml/2006/chart">
  <cdr:relSizeAnchor xmlns:cdr="http://schemas.openxmlformats.org/drawingml/2006/chartDrawing">
    <cdr:from>
      <cdr:x>0.87876</cdr:x>
      <cdr:y>0.0791</cdr:y>
    </cdr:from>
    <cdr:to>
      <cdr:x>0.93404</cdr:x>
      <cdr:y>0.14352</cdr:y>
    </cdr:to>
    <cdr:sp macro="" textlink="">
      <cdr:nvSpPr>
        <cdr:cNvPr id="2" name="矩形 1"/>
        <cdr:cNvSpPr/>
      </cdr:nvSpPr>
      <cdr:spPr>
        <a:xfrm xmlns:a="http://schemas.openxmlformats.org/drawingml/2006/main">
          <a:off x="7847052" y="349414"/>
          <a:ext cx="493633" cy="284557"/>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EPO</a:t>
          </a:r>
        </a:p>
      </cdr:txBody>
    </cdr:sp>
  </cdr:relSizeAnchor>
  <cdr:relSizeAnchor xmlns:cdr="http://schemas.openxmlformats.org/drawingml/2006/chartDrawing">
    <cdr:from>
      <cdr:x>0.87803</cdr:x>
      <cdr:y>0.6136</cdr:y>
    </cdr:from>
    <cdr:to>
      <cdr:x>0.95629</cdr:x>
      <cdr:y>0.67803</cdr:y>
    </cdr:to>
    <cdr:sp macro="" textlink="">
      <cdr:nvSpPr>
        <cdr:cNvPr id="3" name="矩形 2"/>
        <cdr:cNvSpPr/>
      </cdr:nvSpPr>
      <cdr:spPr>
        <a:xfrm xmlns:a="http://schemas.openxmlformats.org/drawingml/2006/main">
          <a:off x="7840533" y="2710418"/>
          <a:ext cx="698837" cy="284601"/>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USPTO</a:t>
          </a:r>
        </a:p>
      </cdr:txBody>
    </cdr:sp>
  </cdr:relSizeAnchor>
  <cdr:relSizeAnchor xmlns:cdr="http://schemas.openxmlformats.org/drawingml/2006/chartDrawing">
    <cdr:from>
      <cdr:x>0.87858</cdr:x>
      <cdr:y>0.50774</cdr:y>
    </cdr:from>
    <cdr:to>
      <cdr:x>0.93069</cdr:x>
      <cdr:y>0.57216</cdr:y>
    </cdr:to>
    <cdr:sp macro="" textlink="">
      <cdr:nvSpPr>
        <cdr:cNvPr id="4" name="矩形 3"/>
        <cdr:cNvSpPr/>
      </cdr:nvSpPr>
      <cdr:spPr>
        <a:xfrm xmlns:a="http://schemas.openxmlformats.org/drawingml/2006/main">
          <a:off x="7845474" y="2242809"/>
          <a:ext cx="465326" cy="28455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JPO</a:t>
          </a:r>
        </a:p>
      </cdr:txBody>
    </cdr:sp>
  </cdr:relSizeAnchor>
  <cdr:relSizeAnchor xmlns:cdr="http://schemas.openxmlformats.org/drawingml/2006/chartDrawing">
    <cdr:from>
      <cdr:x>0.87778</cdr:x>
      <cdr:y>0.57255</cdr:y>
    </cdr:from>
    <cdr:to>
      <cdr:x>0.93664</cdr:x>
      <cdr:y>0.65033</cdr:y>
    </cdr:to>
    <cdr:sp macro="" textlink="">
      <cdr:nvSpPr>
        <cdr:cNvPr id="5" name="矩形 4"/>
        <cdr:cNvSpPr/>
      </cdr:nvSpPr>
      <cdr:spPr>
        <a:xfrm xmlns:a="http://schemas.openxmlformats.org/drawingml/2006/main">
          <a:off x="8957820" y="2383924"/>
          <a:ext cx="600710" cy="323850"/>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en-GB" sz="1400" b="1">
              <a:solidFill>
                <a:srgbClr val="7030A0"/>
              </a:solidFill>
            </a:rPr>
            <a:t>MOIP</a:t>
          </a:r>
        </a:p>
      </cdr:txBody>
    </cdr:sp>
  </cdr:relSizeAnchor>
  <cdr:relSizeAnchor xmlns:cdr="http://schemas.openxmlformats.org/drawingml/2006/chartDrawing">
    <cdr:from>
      <cdr:x>0.87326</cdr:x>
      <cdr:y>0.75905</cdr:y>
    </cdr:from>
    <cdr:to>
      <cdr:x>0.94672</cdr:x>
      <cdr:y>0.82347</cdr:y>
    </cdr:to>
    <cdr:sp macro="" textlink="">
      <cdr:nvSpPr>
        <cdr:cNvPr id="6" name="矩形 5"/>
        <cdr:cNvSpPr/>
      </cdr:nvSpPr>
      <cdr:spPr>
        <a:xfrm xmlns:a="http://schemas.openxmlformats.org/drawingml/2006/main">
          <a:off x="7727977" y="3670278"/>
          <a:ext cx="650087" cy="31149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CNIPA</a:t>
          </a:r>
        </a:p>
      </cdr:txBody>
    </cdr:sp>
  </cdr:relSizeAnchor>
  <cdr:relSizeAnchor xmlns:cdr="http://schemas.openxmlformats.org/drawingml/2006/chartDrawing">
    <cdr:from>
      <cdr:x>0.92333</cdr:x>
      <cdr:y>0.9255</cdr:y>
    </cdr:from>
    <cdr:to>
      <cdr:x>0.99992</cdr:x>
      <cdr:y>1</cdr:y>
    </cdr:to>
    <cdr:pic>
      <cdr:nvPicPr>
        <cdr:cNvPr id="8" name="图片 7">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9548585" y="3926531"/>
          <a:ext cx="792000" cy="316063"/>
        </a:xfrm>
        <a:prstGeom xmlns:a="http://schemas.openxmlformats.org/drawingml/2006/main" prst="rect">
          <a:avLst/>
        </a:prstGeom>
      </cdr:spPr>
    </cdr:pic>
  </cdr:relSizeAnchor>
</c:userShapes>
</file>

<file path=xl/drawings/drawing95.xml><?xml version="1.0" encoding="utf-8"?>
<c:userShapes xmlns:c="http://schemas.openxmlformats.org/drawingml/2006/chart">
  <cdr:relSizeAnchor xmlns:cdr="http://schemas.openxmlformats.org/drawingml/2006/chartDrawing">
    <cdr:from>
      <cdr:x>0.88814</cdr:x>
      <cdr:y>0.14183</cdr:y>
    </cdr:from>
    <cdr:to>
      <cdr:x>0.94342</cdr:x>
      <cdr:y>0.20625</cdr:y>
    </cdr:to>
    <cdr:sp macro="" textlink="">
      <cdr:nvSpPr>
        <cdr:cNvPr id="2" name="矩形 1"/>
        <cdr:cNvSpPr/>
      </cdr:nvSpPr>
      <cdr:spPr>
        <a:xfrm xmlns:a="http://schemas.openxmlformats.org/drawingml/2006/main">
          <a:off x="7930813" y="720921"/>
          <a:ext cx="493633" cy="32744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EPO</a:t>
          </a:r>
        </a:p>
      </cdr:txBody>
    </cdr:sp>
  </cdr:relSizeAnchor>
  <cdr:relSizeAnchor xmlns:cdr="http://schemas.openxmlformats.org/drawingml/2006/chartDrawing">
    <cdr:from>
      <cdr:x>0.88874</cdr:x>
      <cdr:y>0.56581</cdr:y>
    </cdr:from>
    <cdr:to>
      <cdr:x>0.967</cdr:x>
      <cdr:y>0.63024</cdr:y>
    </cdr:to>
    <cdr:sp macro="" textlink="">
      <cdr:nvSpPr>
        <cdr:cNvPr id="3" name="矩形 2"/>
        <cdr:cNvSpPr/>
      </cdr:nvSpPr>
      <cdr:spPr>
        <a:xfrm xmlns:a="http://schemas.openxmlformats.org/drawingml/2006/main">
          <a:off x="7936200" y="2875986"/>
          <a:ext cx="698838" cy="327498"/>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USPTO</a:t>
          </a:r>
        </a:p>
      </cdr:txBody>
    </cdr:sp>
  </cdr:relSizeAnchor>
  <cdr:relSizeAnchor xmlns:cdr="http://schemas.openxmlformats.org/drawingml/2006/chartDrawing">
    <cdr:from>
      <cdr:x>0.8893</cdr:x>
      <cdr:y>0.52326</cdr:y>
    </cdr:from>
    <cdr:to>
      <cdr:x>0.94141</cdr:x>
      <cdr:y>0.58768</cdr:y>
    </cdr:to>
    <cdr:sp macro="" textlink="">
      <cdr:nvSpPr>
        <cdr:cNvPr id="4" name="矩形 3"/>
        <cdr:cNvSpPr/>
      </cdr:nvSpPr>
      <cdr:spPr>
        <a:xfrm xmlns:a="http://schemas.openxmlformats.org/drawingml/2006/main">
          <a:off x="7941141" y="2659719"/>
          <a:ext cx="465326" cy="327447"/>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JPO</a:t>
          </a:r>
        </a:p>
      </cdr:txBody>
    </cdr:sp>
  </cdr:relSizeAnchor>
  <cdr:relSizeAnchor xmlns:cdr="http://schemas.openxmlformats.org/drawingml/2006/chartDrawing">
    <cdr:from>
      <cdr:x>0.89009</cdr:x>
      <cdr:y>0.60147</cdr:y>
    </cdr:from>
    <cdr:to>
      <cdr:x>0.94895</cdr:x>
      <cdr:y>0.67498</cdr:y>
    </cdr:to>
    <cdr:sp macro="" textlink="">
      <cdr:nvSpPr>
        <cdr:cNvPr id="5" name="矩形 4"/>
        <cdr:cNvSpPr/>
      </cdr:nvSpPr>
      <cdr:spPr>
        <a:xfrm xmlns:a="http://schemas.openxmlformats.org/drawingml/2006/main">
          <a:off x="9083444" y="2649854"/>
          <a:ext cx="600710" cy="323850"/>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en-GB" sz="1400" b="1">
              <a:solidFill>
                <a:srgbClr val="7030A0"/>
              </a:solidFill>
            </a:rPr>
            <a:t>MOIP</a:t>
          </a:r>
        </a:p>
      </cdr:txBody>
    </cdr:sp>
  </cdr:relSizeAnchor>
  <cdr:relSizeAnchor xmlns:cdr="http://schemas.openxmlformats.org/drawingml/2006/chartDrawing">
    <cdr:from>
      <cdr:x>0.88849</cdr:x>
      <cdr:y>0.73259</cdr:y>
    </cdr:from>
    <cdr:to>
      <cdr:x>0.96195</cdr:x>
      <cdr:y>0.79701</cdr:y>
    </cdr:to>
    <cdr:sp macro="" textlink="">
      <cdr:nvSpPr>
        <cdr:cNvPr id="6" name="矩形 5"/>
        <cdr:cNvSpPr/>
      </cdr:nvSpPr>
      <cdr:spPr>
        <a:xfrm xmlns:a="http://schemas.openxmlformats.org/drawingml/2006/main">
          <a:off x="7933937" y="3723734"/>
          <a:ext cx="655975" cy="32744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CNIPA</a:t>
          </a:r>
        </a:p>
      </cdr:txBody>
    </cdr:sp>
  </cdr:relSizeAnchor>
  <cdr:relSizeAnchor xmlns:cdr="http://schemas.openxmlformats.org/drawingml/2006/chartDrawing">
    <cdr:from>
      <cdr:x>0.92341</cdr:x>
      <cdr:y>0.93009</cdr:y>
    </cdr:from>
    <cdr:to>
      <cdr:x>1</cdr:x>
      <cdr:y>1</cdr:y>
    </cdr:to>
    <cdr:pic>
      <cdr:nvPicPr>
        <cdr:cNvPr id="8" name="图片 7">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9549429" y="4204909"/>
          <a:ext cx="792000" cy="316063"/>
        </a:xfrm>
        <a:prstGeom xmlns:a="http://schemas.openxmlformats.org/drawingml/2006/main" prst="rect">
          <a:avLst/>
        </a:prstGeom>
      </cdr:spPr>
    </cdr:pic>
  </cdr:relSizeAnchor>
</c:userShapes>
</file>

<file path=xl/drawings/drawing96.xml><?xml version="1.0" encoding="utf-8"?>
<c:userShapes xmlns:c="http://schemas.openxmlformats.org/drawingml/2006/chart">
  <cdr:relSizeAnchor xmlns:cdr="http://schemas.openxmlformats.org/drawingml/2006/chartDrawing">
    <cdr:from>
      <cdr:x>0.88044</cdr:x>
      <cdr:y>0.2679</cdr:y>
    </cdr:from>
    <cdr:to>
      <cdr:x>0.98781</cdr:x>
      <cdr:y>0.33232</cdr:y>
    </cdr:to>
    <cdr:sp macro="" textlink="">
      <cdr:nvSpPr>
        <cdr:cNvPr id="2" name="矩形 1"/>
        <cdr:cNvSpPr/>
      </cdr:nvSpPr>
      <cdr:spPr>
        <a:xfrm xmlns:a="http://schemas.openxmlformats.org/drawingml/2006/main">
          <a:off x="7791494" y="1295395"/>
          <a:ext cx="950174" cy="311493"/>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GB" sz="1400" b="1">
              <a:solidFill>
                <a:schemeClr val="accent1"/>
              </a:solidFill>
            </a:rPr>
            <a:t>EPC states</a:t>
          </a:r>
        </a:p>
      </cdr:txBody>
    </cdr:sp>
  </cdr:relSizeAnchor>
  <cdr:relSizeAnchor xmlns:cdr="http://schemas.openxmlformats.org/drawingml/2006/chartDrawing">
    <cdr:from>
      <cdr:x>0.87864</cdr:x>
      <cdr:y>0.20553</cdr:y>
    </cdr:from>
    <cdr:to>
      <cdr:x>0.93318</cdr:x>
      <cdr:y>0.26995</cdr:y>
    </cdr:to>
    <cdr:sp macro="" textlink="">
      <cdr:nvSpPr>
        <cdr:cNvPr id="3" name="矩形 2"/>
        <cdr:cNvSpPr/>
      </cdr:nvSpPr>
      <cdr:spPr>
        <a:xfrm xmlns:a="http://schemas.openxmlformats.org/drawingml/2006/main">
          <a:off x="7775597" y="993799"/>
          <a:ext cx="482654" cy="31149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009900"/>
              </a:solidFill>
            </a:rPr>
            <a:t>U.S.</a:t>
          </a:r>
        </a:p>
      </cdr:txBody>
    </cdr:sp>
  </cdr:relSizeAnchor>
  <cdr:relSizeAnchor xmlns:cdr="http://schemas.openxmlformats.org/drawingml/2006/chartDrawing">
    <cdr:from>
      <cdr:x>0.87864</cdr:x>
      <cdr:y>0.3769</cdr:y>
    </cdr:from>
    <cdr:to>
      <cdr:x>0.94803</cdr:x>
      <cdr:y>0.44132</cdr:y>
    </cdr:to>
    <cdr:sp macro="" textlink="">
      <cdr:nvSpPr>
        <cdr:cNvPr id="4" name="矩形 3"/>
        <cdr:cNvSpPr/>
      </cdr:nvSpPr>
      <cdr:spPr>
        <a:xfrm xmlns:a="http://schemas.openxmlformats.org/drawingml/2006/main">
          <a:off x="7775564" y="1822434"/>
          <a:ext cx="614070"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0000"/>
              </a:solidFill>
            </a:rPr>
            <a:t>Japan</a:t>
          </a:r>
        </a:p>
      </cdr:txBody>
    </cdr:sp>
  </cdr:relSizeAnchor>
  <cdr:relSizeAnchor xmlns:cdr="http://schemas.openxmlformats.org/drawingml/2006/chartDrawing">
    <cdr:from>
      <cdr:x>0.87864</cdr:x>
      <cdr:y>0.30007</cdr:y>
    </cdr:from>
    <cdr:to>
      <cdr:x>0.92178</cdr:x>
      <cdr:y>0.36449</cdr:y>
    </cdr:to>
    <cdr:sp macro="" textlink="">
      <cdr:nvSpPr>
        <cdr:cNvPr id="5" name="矩形 4"/>
        <cdr:cNvSpPr/>
      </cdr:nvSpPr>
      <cdr:spPr>
        <a:xfrm xmlns:a="http://schemas.openxmlformats.org/drawingml/2006/main">
          <a:off x="7775555" y="1450964"/>
          <a:ext cx="381769" cy="311493"/>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tx1"/>
              </a:solidFill>
            </a:rPr>
            <a:t>All</a:t>
          </a:r>
        </a:p>
      </cdr:txBody>
    </cdr:sp>
  </cdr:relSizeAnchor>
  <cdr:relSizeAnchor xmlns:cdr="http://schemas.openxmlformats.org/drawingml/2006/chartDrawing">
    <cdr:from>
      <cdr:x>0.87757</cdr:x>
      <cdr:y>0.40645</cdr:y>
    </cdr:from>
    <cdr:to>
      <cdr:x>0.9693</cdr:x>
      <cdr:y>0.47087</cdr:y>
    </cdr:to>
    <cdr:sp macro="" textlink="">
      <cdr:nvSpPr>
        <cdr:cNvPr id="6" name="矩形 5"/>
        <cdr:cNvSpPr/>
      </cdr:nvSpPr>
      <cdr:spPr>
        <a:xfrm xmlns:a="http://schemas.openxmlformats.org/drawingml/2006/main">
          <a:off x="7766054" y="1965326"/>
          <a:ext cx="811768"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7030A0"/>
              </a:solidFill>
            </a:rPr>
            <a:t>R. Korea</a:t>
          </a:r>
        </a:p>
      </cdr:txBody>
    </cdr:sp>
  </cdr:relSizeAnchor>
  <cdr:relSizeAnchor xmlns:cdr="http://schemas.openxmlformats.org/drawingml/2006/chartDrawing">
    <cdr:from>
      <cdr:x>0.87756</cdr:x>
      <cdr:y>0.17598</cdr:y>
    </cdr:from>
    <cdr:to>
      <cdr:x>0.9556</cdr:x>
      <cdr:y>0.2404</cdr:y>
    </cdr:to>
    <cdr:sp macro="" textlink="">
      <cdr:nvSpPr>
        <cdr:cNvPr id="7" name="矩形 6"/>
        <cdr:cNvSpPr/>
      </cdr:nvSpPr>
      <cdr:spPr>
        <a:xfrm xmlns:a="http://schemas.openxmlformats.org/drawingml/2006/main">
          <a:off x="7766021" y="850911"/>
          <a:ext cx="690618"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chemeClr val="accent2"/>
              </a:solidFill>
            </a:rPr>
            <a:t>Others</a:t>
          </a:r>
        </a:p>
      </cdr:txBody>
    </cdr:sp>
  </cdr:relSizeAnchor>
  <cdr:relSizeAnchor xmlns:cdr="http://schemas.openxmlformats.org/drawingml/2006/chartDrawing">
    <cdr:from>
      <cdr:x>0.87757</cdr:x>
      <cdr:y>0.34341</cdr:y>
    </cdr:from>
    <cdr:to>
      <cdr:x>0.98359</cdr:x>
      <cdr:y>0.40783</cdr:y>
    </cdr:to>
    <cdr:sp macro="" textlink="">
      <cdr:nvSpPr>
        <cdr:cNvPr id="8" name="矩形 7"/>
        <cdr:cNvSpPr/>
      </cdr:nvSpPr>
      <cdr:spPr>
        <a:xfrm xmlns:a="http://schemas.openxmlformats.org/drawingml/2006/main">
          <a:off x="7766077" y="1660517"/>
          <a:ext cx="938228" cy="31149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1400" b="1">
              <a:solidFill>
                <a:srgbClr val="FFC000"/>
              </a:solidFill>
            </a:rPr>
            <a:t>P.R. China</a:t>
          </a:r>
        </a:p>
      </cdr:txBody>
    </cdr:sp>
  </cdr:relSizeAnchor>
  <cdr:relSizeAnchor xmlns:cdr="http://schemas.openxmlformats.org/drawingml/2006/chartDrawing">
    <cdr:from>
      <cdr:x>0.92271</cdr:x>
      <cdr:y>0.93113</cdr:y>
    </cdr:from>
    <cdr:to>
      <cdr:x>1</cdr:x>
      <cdr:y>0.99646</cdr:y>
    </cdr:to>
    <cdr:pic>
      <cdr:nvPicPr>
        <cdr:cNvPr id="10" name="图片 9">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9455312" y="4504872"/>
          <a:ext cx="792000" cy="316063"/>
        </a:xfrm>
        <a:prstGeom xmlns:a="http://schemas.openxmlformats.org/drawingml/2006/main" prst="rect">
          <a:avLst/>
        </a:prstGeom>
      </cdr:spPr>
    </cdr:pic>
  </cdr:relSizeAnchor>
</c:userShapes>
</file>

<file path=xl/drawings/drawing97.xml><?xml version="1.0" encoding="utf-8"?>
<xdr:wsDr xmlns:xdr="http://schemas.openxmlformats.org/drawingml/2006/spreadsheetDrawing" xmlns:a="http://schemas.openxmlformats.org/drawingml/2006/main">
  <xdr:twoCellAnchor>
    <xdr:from>
      <xdr:col>31</xdr:col>
      <xdr:colOff>0</xdr:colOff>
      <xdr:row>69</xdr:row>
      <xdr:rowOff>0</xdr:rowOff>
    </xdr:from>
    <xdr:to>
      <xdr:col>54</xdr:col>
      <xdr:colOff>653142</xdr:colOff>
      <xdr:row>99</xdr:row>
      <xdr:rowOff>561</xdr:rowOff>
    </xdr:to>
    <xdr:graphicFrame macro="">
      <xdr:nvGraphicFramePr>
        <xdr:cNvPr id="10" name="Chart 9">
          <a:extLst>
            <a:ext uri="{FF2B5EF4-FFF2-40B4-BE49-F238E27FC236}">
              <a16:creationId xmlns:a16="http://schemas.microsoft.com/office/drawing/2014/main" id="{00000000-0008-0000-1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0</xdr:colOff>
      <xdr:row>5</xdr:row>
      <xdr:rowOff>117929</xdr:rowOff>
    </xdr:from>
    <xdr:to>
      <xdr:col>55</xdr:col>
      <xdr:colOff>13607</xdr:colOff>
      <xdr:row>36</xdr:row>
      <xdr:rowOff>162487</xdr:rowOff>
    </xdr:to>
    <xdr:graphicFrame macro="">
      <xdr:nvGraphicFramePr>
        <xdr:cNvPr id="13" name="Chart 12">
          <a:extLst>
            <a:ext uri="{FF2B5EF4-FFF2-40B4-BE49-F238E27FC236}">
              <a16:creationId xmlns:a16="http://schemas.microsoft.com/office/drawing/2014/main" id="{00000000-0008-0000-16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31</xdr:col>
      <xdr:colOff>0</xdr:colOff>
      <xdr:row>38</xdr:row>
      <xdr:rowOff>0</xdr:rowOff>
    </xdr:from>
    <xdr:to>
      <xdr:col>54</xdr:col>
      <xdr:colOff>557892</xdr:colOff>
      <xdr:row>67</xdr:row>
      <xdr:rowOff>143436</xdr:rowOff>
    </xdr:to>
    <xdr:graphicFrame macro="">
      <xdr:nvGraphicFramePr>
        <xdr:cNvPr id="14" name="Chart 13">
          <a:extLst>
            <a:ext uri="{FF2B5EF4-FFF2-40B4-BE49-F238E27FC236}">
              <a16:creationId xmlns:a16="http://schemas.microsoft.com/office/drawing/2014/main" id="{00000000-0008-0000-16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8.xml><?xml version="1.0" encoding="utf-8"?>
<c:userShapes xmlns:c="http://schemas.openxmlformats.org/drawingml/2006/chart">
  <cdr:relSizeAnchor xmlns:cdr="http://schemas.openxmlformats.org/drawingml/2006/chartDrawing">
    <cdr:from>
      <cdr:x>0.95058</cdr:x>
      <cdr:y>0.93568</cdr:y>
    </cdr:from>
    <cdr:to>
      <cdr:x>0.99887</cdr:x>
      <cdr:y>0.99529</cdr:y>
    </cdr:to>
    <cdr:pic>
      <cdr:nvPicPr>
        <cdr:cNvPr id="3" name="图片 2">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5614729" y="4991417"/>
          <a:ext cx="793226" cy="318039"/>
        </a:xfrm>
        <a:prstGeom xmlns:a="http://schemas.openxmlformats.org/drawingml/2006/main" prst="rect">
          <a:avLst/>
        </a:prstGeom>
      </cdr:spPr>
    </cdr:pic>
  </cdr:relSizeAnchor>
</c:userShapes>
</file>

<file path=xl/drawings/drawing99.xml><?xml version="1.0" encoding="utf-8"?>
<c:userShapes xmlns:c="http://schemas.openxmlformats.org/drawingml/2006/chart">
  <cdr:relSizeAnchor xmlns:cdr="http://schemas.openxmlformats.org/drawingml/2006/chartDrawing">
    <cdr:from>
      <cdr:x>0.95006</cdr:x>
      <cdr:y>0.94064</cdr:y>
    </cdr:from>
    <cdr:to>
      <cdr:x>0.99837</cdr:x>
      <cdr:y>0.99855</cdr:y>
    </cdr:to>
    <cdr:pic>
      <cdr:nvPicPr>
        <cdr:cNvPr id="3" name="图片 2">
          <a:extLst xmlns:a="http://schemas.openxmlformats.org/drawingml/2006/main">
            <a:ext uri="{FF2B5EF4-FFF2-40B4-BE49-F238E27FC236}">
              <a16:creationId xmlns:a16="http://schemas.microsoft.com/office/drawing/2014/main" id="{791D219E-369B-2919-3CA3-B6D522BDA0A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5625044" y="5194351"/>
          <a:ext cx="794400" cy="319780"/>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W:\DG0\03\2022\4_Statistics\IP5\IP5SR\Draft%201\Statistical%20tables%202021%20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2024IP5SR\ip5_sr_2024_data_templates_JPO.xlsx" TargetMode="External"/><Relationship Id="rId1" Type="http://schemas.openxmlformats.org/officeDocument/2006/relationships/externalLinkPath" Target="file:///D:\2024IP5SR\ip5_sr_2024_data_templates_JPO.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D:\2024IP5SR\ip5_sr_2024_data_templates_CNIPA.xlsx" TargetMode="External"/><Relationship Id="rId1" Type="http://schemas.openxmlformats.org/officeDocument/2006/relationships/externalLinkPath" Target="file:///D:\2024IP5SR\ip5_sr_2024_data_templates_CNIPA.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D:\2024IP5SR\ip5_sr_2024_data_USPTO%2009-02-2025.xlsx" TargetMode="External"/><Relationship Id="rId1" Type="http://schemas.openxmlformats.org/officeDocument/2006/relationships/externalLinkPath" Target="file:///D:\2024IP5SR\ip5_sr_2024_data_USPTO%2009-02-202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Users\user\Desktop\2024_&#44397;&#51228;&#54801;&#47141;\10.%20&#44368;&#54872;&#53685;&#44228;\05.%20IP5%20&#53685;&#44228;&#48372;&#44256;&#49436;(IP5%20SR)\30.%20&#45936;&#51060;&#53552;%20&#51089;&#50629;\ip5_sr_2023_data_templates_comple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
      <sheetName val="Ch2. Patents-in-Force"/>
      <sheetName val="Ch2. Budget"/>
      <sheetName val="Ch2. Staff"/>
      <sheetName val="Ch2. Production figures"/>
      <sheetName val="Ch3. Patent filings"/>
      <sheetName val="Ch3. First filings"/>
      <sheetName val="Ch3. Patent Applications"/>
      <sheetName val="Ch3. Demand for patent rights"/>
      <sheetName val="Ch3. Granted patents"/>
      <sheetName val="Ch3. Patent Families"/>
      <sheetName val="Ch3. IP5 Patent Families"/>
      <sheetName val="Ch4. Patent applications filed"/>
      <sheetName val="Ch4. Technology sectors&amp;fie "/>
      <sheetName val="Ch4. Leading Technologies "/>
      <sheetName val="Ch4. Granted Patents"/>
      <sheetName val="Ch4. Maintenance"/>
      <sheetName val="Ch4. Procedures "/>
      <sheetName val="Ch5. PCT as filing route "/>
      <sheetName val="Ch.5 PCT authorities "/>
      <sheetName val="Ch.6 Other Work"/>
    </sheetNames>
    <sheetDataSet>
      <sheetData sheetId="0" refreshError="1"/>
      <sheetData sheetId="1">
        <row r="48">
          <cell r="C48">
            <v>0.35</v>
          </cell>
        </row>
        <row r="49">
          <cell r="C49">
            <v>0.19</v>
          </cell>
        </row>
        <row r="50">
          <cell r="C50">
            <v>0.09</v>
          </cell>
        </row>
        <row r="52">
          <cell r="C52">
            <v>0.28000000000000003</v>
          </cell>
        </row>
        <row r="53">
          <cell r="C53">
            <v>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ow r="41">
          <cell r="AC41">
            <v>2009</v>
          </cell>
        </row>
      </sheetData>
      <sheetData sheetId="16" refreshError="1"/>
      <sheetData sheetId="17" refreshError="1"/>
      <sheetData sheetId="18" refreshError="1"/>
      <sheetData sheetId="19">
        <row r="67">
          <cell r="O67">
            <v>2009</v>
          </cell>
        </row>
      </sheetData>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pter 2"/>
      <sheetName val="Chapter 4"/>
      <sheetName val="Chapter 5"/>
      <sheetName val="Chapter 6"/>
    </sheetNames>
    <sheetDataSet>
      <sheetData sheetId="0">
        <row r="47">
          <cell r="E47">
            <v>228936</v>
          </cell>
        </row>
        <row r="90">
          <cell r="O90">
            <v>50659.455999999998</v>
          </cell>
        </row>
        <row r="91">
          <cell r="O91">
            <v>40804.535000000003</v>
          </cell>
        </row>
        <row r="92">
          <cell r="O92">
            <v>11133.79</v>
          </cell>
        </row>
        <row r="93">
          <cell r="O93">
            <v>16.606000000000002</v>
          </cell>
        </row>
        <row r="94">
          <cell r="O94">
            <v>36832.500999999997</v>
          </cell>
        </row>
        <row r="95">
          <cell r="O95">
            <v>1024.2929999999999</v>
          </cell>
        </row>
        <row r="96">
          <cell r="O96">
            <v>11554.071</v>
          </cell>
        </row>
        <row r="97">
          <cell r="O97">
            <v>100</v>
          </cell>
        </row>
      </sheetData>
      <sheetData sheetId="1">
        <row r="15">
          <cell r="D15">
            <v>9986</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pter 2"/>
      <sheetName val="Chapter 4"/>
      <sheetName val="Chapter 5"/>
      <sheetName val="Chapter 6"/>
    </sheetNames>
    <sheetDataSet>
      <sheetData sheetId="0">
        <row r="18">
          <cell r="D18">
            <v>1522292</v>
          </cell>
        </row>
        <row r="90">
          <cell r="E90">
            <v>865.47</v>
          </cell>
        </row>
        <row r="91">
          <cell r="E91">
            <v>6353.85</v>
          </cell>
        </row>
        <row r="92">
          <cell r="E92">
            <v>301.08</v>
          </cell>
        </row>
        <row r="93">
          <cell r="E93">
            <v>204.37</v>
          </cell>
        </row>
      </sheetData>
      <sheetData sheetId="1">
        <row r="15">
          <cell r="B15">
            <v>1672001</v>
          </cell>
        </row>
      </sheetData>
      <sheetData sheetId="2">
        <row r="21">
          <cell r="D21">
            <v>99330</v>
          </cell>
        </row>
      </sheetData>
      <sheetData sheetId="3">
        <row r="16">
          <cell r="D16">
            <v>819213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pter 2"/>
      <sheetName val="Chapter 4"/>
      <sheetName val="Chapter 5"/>
      <sheetName val="Chapter 6"/>
    </sheetNames>
    <sheetDataSet>
      <sheetData sheetId="0">
        <row r="90">
          <cell r="AB90">
            <v>3008.8</v>
          </cell>
        </row>
        <row r="91">
          <cell r="AB91">
            <v>145.1</v>
          </cell>
        </row>
        <row r="92">
          <cell r="AB92">
            <v>98.4</v>
          </cell>
        </row>
        <row r="93">
          <cell r="AB93">
            <v>191.8</v>
          </cell>
        </row>
        <row r="94">
          <cell r="AB94">
            <v>752.6</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ter 2"/>
      <sheetName val="Chapter 4"/>
      <sheetName val="Chapter 5"/>
      <sheetName val="Chapter 6"/>
    </sheetNames>
    <sheetDataSet>
      <sheetData sheetId="0"/>
      <sheetData sheetId="1"/>
      <sheetData sheetId="2"/>
      <sheetData sheetId="3">
        <row r="21">
          <cell r="H21">
            <v>149643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9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9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00FF"/>
  </sheetPr>
  <dimension ref="B2:D52"/>
  <sheetViews>
    <sheetView zoomScale="85" zoomScaleNormal="85" workbookViewId="0">
      <selection activeCell="N20" sqref="N20"/>
    </sheetView>
  </sheetViews>
  <sheetFormatPr defaultColWidth="8.77734375" defaultRowHeight="17.399999999999999"/>
  <cols>
    <col min="1" max="1" width="4.77734375" style="1312" customWidth="1"/>
    <col min="2" max="2" width="86" style="1312" customWidth="1"/>
    <col min="3" max="16384" width="8.77734375" style="1312"/>
  </cols>
  <sheetData>
    <row r="2" spans="2:4" ht="25.95" customHeight="1">
      <c r="B2" s="1313" t="s">
        <v>0</v>
      </c>
    </row>
    <row r="3" spans="2:4" ht="22.95" customHeight="1">
      <c r="B3" s="1314" t="s">
        <v>1</v>
      </c>
      <c r="D3" s="1315" t="s">
        <v>2</v>
      </c>
    </row>
    <row r="4" spans="2:4">
      <c r="B4" s="1316"/>
      <c r="D4" s="1317" t="s">
        <v>3</v>
      </c>
    </row>
    <row r="5" spans="2:4">
      <c r="B5" s="1318" t="s">
        <v>4</v>
      </c>
    </row>
    <row r="6" spans="2:4">
      <c r="B6" s="1318" t="s">
        <v>5</v>
      </c>
      <c r="D6" s="1319"/>
    </row>
    <row r="7" spans="2:4">
      <c r="B7" s="1318" t="s">
        <v>6</v>
      </c>
    </row>
    <row r="8" spans="2:4">
      <c r="B8" s="1318" t="s">
        <v>7</v>
      </c>
    </row>
    <row r="9" spans="2:4">
      <c r="B9" s="1316"/>
    </row>
    <row r="10" spans="2:4">
      <c r="B10" s="1320" t="s">
        <v>8</v>
      </c>
    </row>
    <row r="11" spans="2:4">
      <c r="B11" s="1318" t="s">
        <v>9</v>
      </c>
    </row>
    <row r="12" spans="2:4">
      <c r="B12" s="1318" t="s">
        <v>10</v>
      </c>
    </row>
    <row r="13" spans="2:4">
      <c r="B13" s="1321" t="s">
        <v>11</v>
      </c>
    </row>
    <row r="14" spans="2:4">
      <c r="B14" s="1321" t="s">
        <v>12</v>
      </c>
    </row>
    <row r="15" spans="2:4">
      <c r="B15" s="1318" t="s">
        <v>13</v>
      </c>
    </row>
    <row r="16" spans="2:4">
      <c r="B16" s="1318" t="s">
        <v>14</v>
      </c>
    </row>
    <row r="17" spans="2:2">
      <c r="B17" s="1321" t="s">
        <v>15</v>
      </c>
    </row>
    <row r="18" spans="2:2">
      <c r="B18" s="1318" t="s">
        <v>16</v>
      </c>
    </row>
    <row r="19" spans="2:2">
      <c r="B19" s="1318" t="s">
        <v>17</v>
      </c>
    </row>
    <row r="20" spans="2:2">
      <c r="B20" s="1321" t="s">
        <v>18</v>
      </c>
    </row>
    <row r="21" spans="2:2">
      <c r="B21" s="1321" t="s">
        <v>19</v>
      </c>
    </row>
    <row r="22" spans="2:2">
      <c r="B22" s="1321" t="s">
        <v>20</v>
      </c>
    </row>
    <row r="23" spans="2:2">
      <c r="B23" s="1321" t="s">
        <v>21</v>
      </c>
    </row>
    <row r="24" spans="2:2">
      <c r="B24" s="1321" t="s">
        <v>22</v>
      </c>
    </row>
    <row r="25" spans="2:2">
      <c r="B25" s="1316"/>
    </row>
    <row r="26" spans="2:2">
      <c r="B26" s="1321" t="s">
        <v>23</v>
      </c>
    </row>
    <row r="27" spans="2:2">
      <c r="B27" s="1318" t="s">
        <v>24</v>
      </c>
    </row>
    <row r="28" spans="2:2">
      <c r="B28" s="1318" t="s">
        <v>25</v>
      </c>
    </row>
    <row r="29" spans="2:2">
      <c r="B29" s="1318" t="s">
        <v>26</v>
      </c>
    </row>
    <row r="30" spans="2:2">
      <c r="B30" s="1321" t="s">
        <v>27</v>
      </c>
    </row>
    <row r="31" spans="2:2">
      <c r="B31" s="1318" t="s">
        <v>28</v>
      </c>
    </row>
    <row r="32" spans="2:2">
      <c r="B32" s="1318" t="s">
        <v>29</v>
      </c>
    </row>
    <row r="33" spans="2:2">
      <c r="B33" s="1318" t="s">
        <v>30</v>
      </c>
    </row>
    <row r="34" spans="2:2">
      <c r="B34" s="1318" t="s">
        <v>31</v>
      </c>
    </row>
    <row r="35" spans="2:2">
      <c r="B35" s="1321" t="s">
        <v>32</v>
      </c>
    </row>
    <row r="36" spans="2:2">
      <c r="B36" s="1316"/>
    </row>
    <row r="37" spans="2:2">
      <c r="B37" s="1318" t="s">
        <v>33</v>
      </c>
    </row>
    <row r="38" spans="2:2">
      <c r="B38" s="1318" t="s">
        <v>34</v>
      </c>
    </row>
    <row r="39" spans="2:2">
      <c r="B39" s="1318" t="s">
        <v>35</v>
      </c>
    </row>
    <row r="40" spans="2:2">
      <c r="B40" s="1318" t="s">
        <v>36</v>
      </c>
    </row>
    <row r="41" spans="2:2">
      <c r="B41" s="1318" t="s">
        <v>37</v>
      </c>
    </row>
    <row r="42" spans="2:2">
      <c r="B42" s="1318" t="s">
        <v>38</v>
      </c>
    </row>
    <row r="43" spans="2:2">
      <c r="B43" s="1318" t="s">
        <v>39</v>
      </c>
    </row>
    <row r="44" spans="2:2">
      <c r="B44" s="1318" t="s">
        <v>40</v>
      </c>
    </row>
    <row r="45" spans="2:2">
      <c r="B45" s="1316"/>
    </row>
    <row r="46" spans="2:2" ht="25.2" customHeight="1">
      <c r="B46" s="1322" t="s">
        <v>41</v>
      </c>
    </row>
    <row r="47" spans="2:2">
      <c r="B47" s="1321" t="s">
        <v>42</v>
      </c>
    </row>
    <row r="48" spans="2:2">
      <c r="B48" s="1321" t="s">
        <v>43</v>
      </c>
    </row>
    <row r="49" spans="2:2">
      <c r="B49" s="1321" t="s">
        <v>44</v>
      </c>
    </row>
    <row r="50" spans="2:2">
      <c r="B50" s="1318" t="s">
        <v>45</v>
      </c>
    </row>
    <row r="51" spans="2:2">
      <c r="B51" s="1321" t="s">
        <v>46</v>
      </c>
    </row>
    <row r="52" spans="2:2">
      <c r="B52" s="1323"/>
    </row>
  </sheetData>
  <phoneticPr fontId="93" type="noConversion"/>
  <hyperlinks>
    <hyperlink ref="B5" location="'Ch2. Patents-in-Force'!A4" display="Fig. 2.1   Patents in Force " xr:uid="{00000000-0004-0000-0000-000000000000}"/>
    <hyperlink ref="B47" location="'Ch2. Budget'!A1" display="Budget" xr:uid="{00000000-0004-0000-0000-000001000000}"/>
    <hyperlink ref="B48" location="'Ch2. Staff'!A1" display="Staff" xr:uid="{00000000-0004-0000-0000-000002000000}"/>
    <hyperlink ref="B49" location="'Ch2. Production figures'!A1" display="Production figures" xr:uid="{00000000-0004-0000-0000-000003000000}"/>
    <hyperlink ref="B10" location="'Ch3. Patent filings'!B64" display="Fig. 3.1   Worldwide patent filings - filing procedures " xr:uid="{00000000-0004-0000-0000-000004000000}"/>
    <hyperlink ref="B11" location="'Ch3. Patent filings'!A65" display="Fig. 3.2   Worldwide patent filings - origin" xr:uid="{00000000-0004-0000-0000-000005000000}"/>
    <hyperlink ref="B12" location="'Ch3. Patent filings'!A67" display="Fig. 3.3   Worldwide patent filings - percentage filed at home" xr:uid="{00000000-0004-0000-0000-000006000000}"/>
    <hyperlink ref="B13" location="'Ch3. First filings'!A37" display="Fig. 3.4   Worldwide patent first filings - origin" xr:uid="{00000000-0004-0000-0000-000007000000}"/>
    <hyperlink ref="B14" location="'Ch3. Patent Applications'!B155" display="Fig. 3.5   Worldwide patent applications - filing procedures" xr:uid="{00000000-0004-0000-0000-000008000000}"/>
    <hyperlink ref="B15" location="'Ch3. Patent applications'!B115" display="Fig. 3.6   Worldwide patent applications - origin" xr:uid="{00000000-0004-0000-0000-000009000000}"/>
    <hyperlink ref="B17" location="'Ch3. Demand for patent rights'!B147" display="Fig. 3.8   Worldwide demand for patent rights - procedures" xr:uid="{00000000-0004-0000-0000-00000A000000}"/>
    <hyperlink ref="B18" location="'Ch3. Demand for patent rights'!B115" display="Fig. 3.9   Worldwide demand for patent rights - origin" xr:uid="{00000000-0004-0000-0000-00000B000000}"/>
    <hyperlink ref="B19" location="'Ch3. Demand for patent rights'!B115" display="Fig. 3.10 Worldwide demand for patent rights - filing bloc  " xr:uid="{00000000-0004-0000-0000-00000C000000}"/>
    <hyperlink ref="B20" location="'Ch3. Granted patents'!B61" display="Fig. 3.11 Worldwide patents granted - origin" xr:uid="{00000000-0004-0000-0000-00000D000000}"/>
    <hyperlink ref="B22" location="'Ch3. Granted patents'!B110" display="Fig. 3.13 National patent rights granted - filing bloc" xr:uid="{00000000-0004-0000-0000-00000E000000}"/>
    <hyperlink ref="B24" location="'Ch3. IP5 Patent Families'!A33" display="Fig. 3.17 IP5 patent families - origin" xr:uid="{00000000-0004-0000-0000-00000F000000}"/>
    <hyperlink ref="B26" location="'Ch4. Patent applications filed'!A75" display="Fig. 4.1   Applications filed - domestics and foreign origin" xr:uid="{00000000-0004-0000-0000-000010000000}"/>
    <hyperlink ref="B27" location="'Ch4. Patent applications filed'!B80" display="Fig. 4.2   Applications filed - origin distribution" xr:uid="{00000000-0004-0000-0000-000011000000}"/>
    <hyperlink ref="B28" location="'Ch4. Applications technology'!A1" display="Fig. 4.3   Applications filed - sector of technology" xr:uid="{00000000-0004-0000-0000-000012000000}"/>
    <hyperlink ref="B29" location="'Ch4. Applications leading Tech'!A1" display="Fig. 4.4:   Applications filed - leading technologies   (new)" xr:uid="{00000000-0004-0000-0000-000013000000}"/>
    <hyperlink ref="B30" location="'Ch4. Granted Patents'!Z40" display="Fig. 4.5   Patents granted - domestic and foreign origin" xr:uid="{00000000-0004-0000-0000-000014000000}"/>
    <hyperlink ref="B31" location="'Ch4. Granted Patents'!Z53" display="Fig. 4.6   Patents granted - origin distribution" xr:uid="{00000000-0004-0000-0000-000015000000}"/>
    <hyperlink ref="B34" location="'Ch4. Granted Patents'!Z120" display="Fig. 4.9   Patents granted - patentees distribution" xr:uid="{00000000-0004-0000-0000-000016000000}"/>
    <hyperlink ref="B35" location="'Ch4. Maintenance'!A6" display="Fig. 4.10   Patents granted - maintenance from filing date" xr:uid="{00000000-0004-0000-0000-000017000000}"/>
    <hyperlink ref="B42" location="'Ch5. PCT authorities'!A1" display="Fig. 5.7   PCT activity - receiving offices" xr:uid="{00000000-0004-0000-0000-000018000000}"/>
    <hyperlink ref="B50" location="'Ch4. Procedures '!A1" display="Statistics on procedures" xr:uid="{00000000-0004-0000-0000-000019000000}"/>
    <hyperlink ref="B51" location="'Ch.6 Other Work'!A1" display="Other work" xr:uid="{00000000-0004-0000-0000-00001A000000}"/>
    <hyperlink ref="B16" location="'Ch3. Patent applications'!B115" display="Fig. 3.7   Worldwide patent applications - filing bloc" xr:uid="{00000000-0004-0000-0000-00001B000000}"/>
    <hyperlink ref="B23" location="'Ch3. Patent Families'!A386" display="Additional data: Patent families tables" xr:uid="{00000000-0004-0000-0000-00001C000000}"/>
    <hyperlink ref="B37" location="'Ch5. PCT as filing route '!A1" display="Fig. 5.1   Proportions of applications filed via the PCT - origin" xr:uid="{00000000-0004-0000-0000-00001D000000}"/>
    <hyperlink ref="B39" location="'Ch5. PCT as filing route '!A70" display="Fig. 5.3   Proportions of PCT applications in the grant procedure" xr:uid="{00000000-0004-0000-0000-00001E000000}"/>
    <hyperlink ref="B41" location="'Ch3. Patent Families'!A1" display="Fig. 5.6   Proportions of PCT - IP5 patent families per origin" xr:uid="{00000000-0004-0000-0000-00001F000000}"/>
    <hyperlink ref="B40" location="'Ch5. PCT as filing route '!A100" display="Fig. 5.4   Proportions of PCT in the patents granted" xr:uid="{00000000-0004-0000-0000-000020000000}"/>
    <hyperlink ref="B38" location="'Ch5. PCT as filing route '!A1" display="Fig. 5.2   Proportions of PCT applications entering the national/regional phase" xr:uid="{00000000-0004-0000-0000-000021000000}"/>
    <hyperlink ref="B43" location="'Ch5. PCT authorities'!A1" display="Fig. 5.8   PCT activity - international searching authorities" xr:uid="{00000000-0004-0000-0000-000022000000}"/>
    <hyperlink ref="B44" location="'Ch5. PCT authorities'!A1" display="Fig. 5.9   PCT activity - international preliminary examination authorities" xr:uid="{00000000-0004-0000-0000-000023000000}"/>
    <hyperlink ref="B7" location="'Ch2. Cross filings'!A1" display="Fig. 2.3: IP5 Cross filings - origin    (new)" xr:uid="{00000000-0004-0000-0000-000024000000}"/>
    <hyperlink ref="B8" location="'Ch2. Cross filings'!A60" display="Fig. 2.4: IP5 Cross filings - type of cross filings   (new)" xr:uid="{00000000-0004-0000-0000-000025000000}"/>
    <hyperlink ref="B21" location="'Ch3. Granted patents'!B61" display="Fig. 3.12 Worldwide patents granted - filing bloc" xr:uid="{00000000-0004-0000-0000-000026000000}"/>
    <hyperlink ref="B32" location="'Ch4. Grants technology'!A1" display="Fig. 4.7 Granted patents  - sector of technology   (new)" xr:uid="{00000000-0004-0000-0000-000027000000}"/>
    <hyperlink ref="B33" location="'Ch4. Grants leading Tech'!A1" display="Fig. 4.8:   Granted patents - leading technologies   (new)" xr:uid="{00000000-0004-0000-0000-000028000000}"/>
    <hyperlink ref="B6" location="'Ch2. Patents-in-Force'!A90" display="Fig. 2.2   Patents in Force - Jurisdiction &amp; Origin" xr:uid="{00000000-0004-0000-0000-000029000000}"/>
  </hyperlinks>
  <pageMargins left="0.69930555555555596" right="0.69930555555555596" top="0.75" bottom="0.75" header="0.3" footer="0.3"/>
  <pageSetup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C188"/>
  <sheetViews>
    <sheetView zoomScale="55" zoomScaleNormal="55" workbookViewId="0">
      <pane xSplit="3" ySplit="6" topLeftCell="E49" activePane="bottomRight" state="frozenSplit"/>
      <selection pane="topRight"/>
      <selection pane="bottomLeft"/>
      <selection pane="bottomRight" activeCell="BD52" sqref="BD52"/>
    </sheetView>
  </sheetViews>
  <sheetFormatPr defaultColWidth="9" defaultRowHeight="14.4"/>
  <cols>
    <col min="1" max="1" width="10.77734375" customWidth="1"/>
    <col min="2" max="2" width="15.109375" customWidth="1"/>
    <col min="3" max="3" width="13.77734375" customWidth="1"/>
    <col min="4" max="20" width="9.77734375" customWidth="1"/>
    <col min="21" max="23" width="10.77734375" customWidth="1"/>
    <col min="24" max="24" width="10.6640625" customWidth="1"/>
    <col min="25" max="25" width="9.77734375" customWidth="1"/>
    <col min="27" max="29" width="9.109375" customWidth="1"/>
  </cols>
  <sheetData>
    <row r="1" spans="1:29" ht="21">
      <c r="A1" s="528" t="s">
        <v>47</v>
      </c>
      <c r="U1" s="57" t="s">
        <v>48</v>
      </c>
    </row>
    <row r="2" spans="1:29" ht="18">
      <c r="A2" s="529" t="s">
        <v>271</v>
      </c>
      <c r="Q2" s="812"/>
      <c r="S2" s="812"/>
    </row>
    <row r="3" spans="1:29" ht="18">
      <c r="A3" s="529" t="s">
        <v>294</v>
      </c>
      <c r="Q3" s="812"/>
    </row>
    <row r="4" spans="1:29" ht="18">
      <c r="A4" s="529" t="s">
        <v>295</v>
      </c>
    </row>
    <row r="6" spans="1:29">
      <c r="A6" s="1109" t="s">
        <v>61</v>
      </c>
      <c r="B6" s="1116" t="s">
        <v>68</v>
      </c>
      <c r="C6" s="1116" t="s">
        <v>289</v>
      </c>
      <c r="D6" s="1116">
        <v>2004</v>
      </c>
      <c r="E6" s="1116">
        <v>2005</v>
      </c>
      <c r="F6" s="1116">
        <v>2006</v>
      </c>
      <c r="G6" s="1116">
        <v>2007</v>
      </c>
      <c r="H6" s="1116">
        <v>2008</v>
      </c>
      <c r="I6" s="1116">
        <v>2009</v>
      </c>
      <c r="J6" s="1116">
        <v>2010</v>
      </c>
      <c r="K6" s="1116">
        <v>2011</v>
      </c>
      <c r="L6" s="1116">
        <v>2012</v>
      </c>
      <c r="M6" s="1116">
        <v>2013</v>
      </c>
      <c r="N6" s="1116">
        <v>2014</v>
      </c>
      <c r="O6" s="1116">
        <v>2015</v>
      </c>
      <c r="P6" s="1116">
        <v>2016</v>
      </c>
      <c r="Q6" s="1116">
        <v>2017</v>
      </c>
      <c r="R6" s="1116">
        <v>2018</v>
      </c>
      <c r="S6" s="1116">
        <v>2019</v>
      </c>
      <c r="T6" s="1116">
        <v>2020</v>
      </c>
      <c r="U6" s="1127">
        <v>2021</v>
      </c>
      <c r="V6" s="1116">
        <v>2022</v>
      </c>
      <c r="W6" s="1116">
        <v>2023</v>
      </c>
    </row>
    <row r="7" spans="1:29">
      <c r="A7" s="1109" t="s">
        <v>54</v>
      </c>
      <c r="B7" s="1116" t="s">
        <v>275</v>
      </c>
      <c r="C7" s="1116" t="s">
        <v>54</v>
      </c>
      <c r="D7" s="1117">
        <v>124556</v>
      </c>
      <c r="E7" s="1117">
        <v>121435</v>
      </c>
      <c r="F7" s="1117">
        <v>122736</v>
      </c>
      <c r="G7" s="1117">
        <v>123780</v>
      </c>
      <c r="H7" s="1117">
        <v>122431</v>
      </c>
      <c r="I7" s="1117">
        <v>121982</v>
      </c>
      <c r="J7" s="1117">
        <v>107632</v>
      </c>
      <c r="K7" s="1117">
        <v>122642</v>
      </c>
      <c r="L7" s="1117">
        <v>123570</v>
      </c>
      <c r="M7" s="1117">
        <v>122572</v>
      </c>
      <c r="N7" s="1117">
        <v>123283</v>
      </c>
      <c r="O7" s="1117">
        <v>114506</v>
      </c>
      <c r="P7" s="1117">
        <v>123809</v>
      </c>
      <c r="Q7" s="1117">
        <v>122813</v>
      </c>
      <c r="R7" s="1117">
        <v>119044</v>
      </c>
      <c r="S7" s="1117">
        <v>117969</v>
      </c>
      <c r="T7" s="1128">
        <v>112913</v>
      </c>
      <c r="U7" s="1129">
        <v>109561</v>
      </c>
      <c r="V7" s="1101">
        <v>104890</v>
      </c>
      <c r="W7" s="1101">
        <v>108501</v>
      </c>
      <c r="AA7" s="812"/>
      <c r="AB7" s="812"/>
      <c r="AC7" s="812"/>
    </row>
    <row r="8" spans="1:29">
      <c r="A8" s="1118"/>
      <c r="C8" s="1119" t="s">
        <v>55</v>
      </c>
      <c r="D8" s="1120">
        <v>5694</v>
      </c>
      <c r="E8" s="1120">
        <v>5903</v>
      </c>
      <c r="F8" s="1120">
        <v>5623</v>
      </c>
      <c r="G8" s="1120">
        <v>5912</v>
      </c>
      <c r="H8" s="1120">
        <v>5464</v>
      </c>
      <c r="I8" s="1120">
        <v>5033</v>
      </c>
      <c r="J8" s="1120">
        <v>5224</v>
      </c>
      <c r="K8" s="1120">
        <v>5083</v>
      </c>
      <c r="L8" s="1120">
        <v>5477</v>
      </c>
      <c r="M8" s="1120">
        <v>5528</v>
      </c>
      <c r="N8" s="1120">
        <v>5557</v>
      </c>
      <c r="O8" s="1120">
        <v>5574</v>
      </c>
      <c r="P8" s="1120">
        <v>5364</v>
      </c>
      <c r="Q8" s="1120">
        <v>5380</v>
      </c>
      <c r="R8" s="1120">
        <v>5224</v>
      </c>
      <c r="S8" s="1120">
        <v>5179</v>
      </c>
      <c r="T8" s="1120">
        <v>4870</v>
      </c>
      <c r="U8" s="1129">
        <v>5334</v>
      </c>
      <c r="V8" s="1103">
        <v>5687</v>
      </c>
      <c r="W8" s="1103">
        <v>6123</v>
      </c>
      <c r="AA8" s="812"/>
      <c r="AB8" s="812"/>
      <c r="AC8" s="812"/>
    </row>
    <row r="9" spans="1:29">
      <c r="A9" s="1118"/>
      <c r="C9" s="1119" t="s">
        <v>290</v>
      </c>
      <c r="D9" s="1120">
        <v>1523</v>
      </c>
      <c r="E9" s="1120">
        <v>1566</v>
      </c>
      <c r="F9" s="1120">
        <v>1654</v>
      </c>
      <c r="G9" s="1120">
        <v>1754</v>
      </c>
      <c r="H9" s="1120">
        <v>1398</v>
      </c>
      <c r="I9" s="1120">
        <v>1274</v>
      </c>
      <c r="J9" s="1120">
        <v>1200</v>
      </c>
      <c r="K9" s="1120">
        <v>1292</v>
      </c>
      <c r="L9" s="1120">
        <v>1380</v>
      </c>
      <c r="M9" s="1120">
        <v>1626</v>
      </c>
      <c r="N9" s="1120">
        <v>1602</v>
      </c>
      <c r="O9" s="1120">
        <v>1773</v>
      </c>
      <c r="P9" s="1120">
        <v>1675</v>
      </c>
      <c r="Q9" s="1120">
        <v>1566</v>
      </c>
      <c r="R9" s="1120">
        <v>1631</v>
      </c>
      <c r="S9" s="1120">
        <v>1627</v>
      </c>
      <c r="T9" s="1120">
        <v>1429</v>
      </c>
      <c r="U9" s="1129">
        <v>1544</v>
      </c>
      <c r="V9" s="1103">
        <v>1613</v>
      </c>
      <c r="W9" s="1103">
        <v>1578</v>
      </c>
      <c r="AA9" s="812"/>
      <c r="AB9" s="812"/>
      <c r="AC9" s="812"/>
    </row>
    <row r="10" spans="1:29">
      <c r="A10" s="1118"/>
      <c r="C10" s="1119" t="s">
        <v>57</v>
      </c>
      <c r="D10" s="1120">
        <v>4107</v>
      </c>
      <c r="E10" s="1120">
        <v>5431</v>
      </c>
      <c r="F10" s="1120">
        <v>5421</v>
      </c>
      <c r="G10" s="1120">
        <v>6203</v>
      </c>
      <c r="H10" s="1120">
        <v>5217</v>
      </c>
      <c r="I10" s="1120">
        <v>5205</v>
      </c>
      <c r="J10" s="1120">
        <v>6042</v>
      </c>
      <c r="K10" s="1120">
        <v>8067</v>
      </c>
      <c r="L10" s="1120">
        <v>8683</v>
      </c>
      <c r="M10" s="1120">
        <v>9379</v>
      </c>
      <c r="N10" s="1120">
        <v>9709</v>
      </c>
      <c r="O10" s="1120">
        <v>10915</v>
      </c>
      <c r="P10" s="1120">
        <v>11157</v>
      </c>
      <c r="Q10" s="1120">
        <v>10970</v>
      </c>
      <c r="R10" s="1120">
        <v>12110</v>
      </c>
      <c r="S10" s="1120">
        <v>13181</v>
      </c>
      <c r="T10" s="1120">
        <v>13008</v>
      </c>
      <c r="U10" s="1129">
        <v>13234</v>
      </c>
      <c r="V10" s="1103">
        <v>14178</v>
      </c>
      <c r="W10" s="1103">
        <v>14087</v>
      </c>
      <c r="AA10" s="812"/>
      <c r="AB10" s="812"/>
      <c r="AC10" s="812"/>
    </row>
    <row r="11" spans="1:29">
      <c r="A11" s="1118"/>
      <c r="C11" s="1119" t="s">
        <v>58</v>
      </c>
      <c r="D11" s="1120">
        <v>34203</v>
      </c>
      <c r="E11" s="1120">
        <v>36020</v>
      </c>
      <c r="F11" s="1120">
        <v>38352</v>
      </c>
      <c r="G11" s="1120">
        <v>41054</v>
      </c>
      <c r="H11" s="1120">
        <v>40739</v>
      </c>
      <c r="I11" s="1120">
        <v>38176</v>
      </c>
      <c r="J11" s="1120">
        <v>40266</v>
      </c>
      <c r="K11" s="1120">
        <v>40491</v>
      </c>
      <c r="L11" s="1120">
        <v>42727</v>
      </c>
      <c r="M11" s="1120">
        <v>43669</v>
      </c>
      <c r="N11" s="1120">
        <v>43554</v>
      </c>
      <c r="O11" s="1120">
        <v>43899</v>
      </c>
      <c r="P11" s="1120">
        <v>45149</v>
      </c>
      <c r="Q11" s="1120">
        <v>44765</v>
      </c>
      <c r="R11" s="1120">
        <v>43979</v>
      </c>
      <c r="S11" s="1120">
        <v>42558</v>
      </c>
      <c r="T11" s="1120">
        <v>39652</v>
      </c>
      <c r="U11" s="1129">
        <v>38111</v>
      </c>
      <c r="V11" s="1103">
        <v>39772</v>
      </c>
      <c r="W11" s="1103">
        <v>45116</v>
      </c>
      <c r="AA11" s="812"/>
      <c r="AB11" s="812"/>
      <c r="AC11" s="812"/>
    </row>
    <row r="12" spans="1:29">
      <c r="A12" s="1118"/>
      <c r="C12" s="1121" t="s">
        <v>59</v>
      </c>
      <c r="D12" s="1122">
        <v>8137</v>
      </c>
      <c r="E12" s="1122">
        <v>11205</v>
      </c>
      <c r="F12" s="1122">
        <v>12813</v>
      </c>
      <c r="G12" s="1122">
        <v>10623</v>
      </c>
      <c r="H12" s="1122">
        <v>13265</v>
      </c>
      <c r="I12" s="1122">
        <v>10691</v>
      </c>
      <c r="J12" s="1122">
        <v>10129</v>
      </c>
      <c r="K12" s="1122">
        <v>13802</v>
      </c>
      <c r="L12" s="1122">
        <v>14999</v>
      </c>
      <c r="M12" s="1122">
        <v>14979</v>
      </c>
      <c r="N12" s="1122">
        <v>14791</v>
      </c>
      <c r="O12" s="1122">
        <v>17032</v>
      </c>
      <c r="P12" s="1122">
        <v>17133</v>
      </c>
      <c r="Q12" s="1122">
        <v>14818</v>
      </c>
      <c r="R12" s="1122">
        <v>15427</v>
      </c>
      <c r="S12" s="1122">
        <v>14731</v>
      </c>
      <c r="T12" s="1122">
        <v>13615</v>
      </c>
      <c r="U12" s="1129">
        <v>14075</v>
      </c>
      <c r="V12" s="1103">
        <v>13634</v>
      </c>
      <c r="W12" s="1103">
        <v>16107</v>
      </c>
      <c r="AA12" s="812"/>
      <c r="AB12" s="812"/>
      <c r="AC12" s="812"/>
    </row>
    <row r="13" spans="1:29">
      <c r="A13" s="1118"/>
      <c r="C13" t="s">
        <v>62</v>
      </c>
      <c r="D13" s="812">
        <v>178220</v>
      </c>
      <c r="E13" s="812">
        <v>181560</v>
      </c>
      <c r="F13" s="812">
        <v>186599</v>
      </c>
      <c r="G13" s="812">
        <v>189326</v>
      </c>
      <c r="H13" s="812">
        <v>188514</v>
      </c>
      <c r="I13" s="812">
        <v>182361</v>
      </c>
      <c r="J13" s="812">
        <v>170493</v>
      </c>
      <c r="K13" s="812">
        <v>191377</v>
      </c>
      <c r="L13" s="812">
        <v>196836</v>
      </c>
      <c r="M13" s="812">
        <v>197753</v>
      </c>
      <c r="N13" s="812">
        <v>198496</v>
      </c>
      <c r="O13" s="812">
        <v>193699</v>
      </c>
      <c r="P13" s="812">
        <v>204287</v>
      </c>
      <c r="Q13" s="812">
        <f t="shared" ref="Q13:S13" si="0">SUM(Q7:Q12)</f>
        <v>200312</v>
      </c>
      <c r="R13" s="812">
        <f t="shared" si="0"/>
        <v>197415</v>
      </c>
      <c r="S13" s="812">
        <f t="shared" si="0"/>
        <v>195245</v>
      </c>
      <c r="T13" s="812">
        <v>185487</v>
      </c>
      <c r="U13" s="1130">
        <f>SUM(U7:U12)</f>
        <v>181859</v>
      </c>
      <c r="V13" s="781">
        <f>SUM(V7:V12)</f>
        <v>179774</v>
      </c>
      <c r="W13" s="781">
        <f>SUM(W7:W12)</f>
        <v>191512</v>
      </c>
      <c r="AA13" s="812"/>
      <c r="AB13" s="812"/>
      <c r="AC13" s="812"/>
    </row>
    <row r="14" spans="1:29">
      <c r="A14" s="1118"/>
      <c r="B14" s="1116" t="s">
        <v>276</v>
      </c>
      <c r="C14" s="1116" t="s">
        <v>54</v>
      </c>
      <c r="D14" s="1117">
        <v>971239</v>
      </c>
      <c r="E14" s="1117">
        <v>1080746</v>
      </c>
      <c r="F14" s="1117">
        <v>1078285</v>
      </c>
      <c r="G14" s="1117">
        <v>1153079</v>
      </c>
      <c r="H14" s="1117">
        <v>1219771</v>
      </c>
      <c r="I14" s="1117">
        <v>1171570</v>
      </c>
      <c r="J14" s="1117">
        <v>1393571</v>
      </c>
      <c r="K14" s="1117">
        <v>1359510</v>
      </c>
      <c r="L14" s="1117">
        <v>1336003</v>
      </c>
      <c r="M14" s="1117">
        <v>1341784</v>
      </c>
      <c r="N14" s="1117">
        <v>1378585</v>
      </c>
      <c r="O14" s="1117">
        <v>1403873</v>
      </c>
      <c r="P14" s="1117">
        <v>1405787</v>
      </c>
      <c r="Q14" s="1117">
        <v>1474756</v>
      </c>
      <c r="R14" s="1117">
        <v>1531255</v>
      </c>
      <c r="S14" s="1117">
        <v>1582576</v>
      </c>
      <c r="T14" s="1131">
        <v>1566780</v>
      </c>
      <c r="U14" s="1132">
        <v>1603106</v>
      </c>
      <c r="V14" s="1101">
        <v>1615588</v>
      </c>
      <c r="W14" s="1101">
        <v>1693838</v>
      </c>
      <c r="AA14" s="812"/>
      <c r="AB14" s="812"/>
      <c r="AC14" s="812"/>
    </row>
    <row r="15" spans="1:29">
      <c r="A15" s="1118"/>
      <c r="C15" s="1121" t="s">
        <v>59</v>
      </c>
      <c r="D15" s="1122">
        <v>40120</v>
      </c>
      <c r="E15" s="1122">
        <v>96339</v>
      </c>
      <c r="F15" s="1122">
        <v>99323</v>
      </c>
      <c r="G15" s="1122">
        <v>102649</v>
      </c>
      <c r="H15" s="1122">
        <v>74457</v>
      </c>
      <c r="I15" s="1122">
        <v>68063</v>
      </c>
      <c r="J15" s="1122">
        <v>50668</v>
      </c>
      <c r="K15" s="1122">
        <v>56387</v>
      </c>
      <c r="L15" s="1122">
        <v>59924</v>
      </c>
      <c r="M15" s="1122">
        <v>64414</v>
      </c>
      <c r="N15" s="1122">
        <v>58943</v>
      </c>
      <c r="O15" s="1122">
        <v>55520</v>
      </c>
      <c r="P15" s="1122">
        <v>56783</v>
      </c>
      <c r="Q15" s="1122">
        <v>57465</v>
      </c>
      <c r="R15" s="1122">
        <v>56253</v>
      </c>
      <c r="S15" s="1122">
        <v>56967</v>
      </c>
      <c r="T15" s="1133">
        <v>61676</v>
      </c>
      <c r="U15" s="1129">
        <v>30955</v>
      </c>
      <c r="V15" s="1103">
        <v>27787</v>
      </c>
      <c r="W15" s="1103">
        <v>34302</v>
      </c>
      <c r="AA15" s="812"/>
      <c r="AB15" s="812"/>
      <c r="AC15" s="812"/>
    </row>
    <row r="16" spans="1:29">
      <c r="A16" s="1118"/>
      <c r="B16" s="1123"/>
      <c r="C16" s="1123" t="s">
        <v>62</v>
      </c>
      <c r="D16" s="1124">
        <v>1011359</v>
      </c>
      <c r="E16" s="1124">
        <v>1177085</v>
      </c>
      <c r="F16" s="1124">
        <v>1177608</v>
      </c>
      <c r="G16" s="1124">
        <v>1255728</v>
      </c>
      <c r="H16" s="1124">
        <v>1294228</v>
      </c>
      <c r="I16" s="1124">
        <v>1239633</v>
      </c>
      <c r="J16" s="1124">
        <v>1444239</v>
      </c>
      <c r="K16" s="1124">
        <v>1415897</v>
      </c>
      <c r="L16" s="1124">
        <v>1395927</v>
      </c>
      <c r="M16" s="1124">
        <v>1406198</v>
      </c>
      <c r="N16" s="1124">
        <v>1437528</v>
      </c>
      <c r="O16" s="1124">
        <v>1459393</v>
      </c>
      <c r="P16" s="1124">
        <v>1462570</v>
      </c>
      <c r="Q16" s="1124">
        <v>1532221</v>
      </c>
      <c r="R16" s="1124">
        <f t="shared" ref="R16:S16" si="1">SUM(R14:R15)</f>
        <v>1587508</v>
      </c>
      <c r="S16" s="1124">
        <f t="shared" si="1"/>
        <v>1639543</v>
      </c>
      <c r="T16" s="1134">
        <v>1628456</v>
      </c>
      <c r="U16" s="1130">
        <f>SUM(U14:U15)</f>
        <v>1634061</v>
      </c>
      <c r="V16" s="781">
        <f>SUM(V14:V15)</f>
        <v>1643375</v>
      </c>
      <c r="W16" s="781">
        <f>SUM(W14:W15)</f>
        <v>1728140</v>
      </c>
      <c r="AA16" s="812"/>
      <c r="AB16" s="812"/>
      <c r="AC16" s="812"/>
    </row>
    <row r="17" spans="1:29">
      <c r="A17" s="1118"/>
      <c r="B17" t="s">
        <v>293</v>
      </c>
      <c r="C17" t="s">
        <v>54</v>
      </c>
      <c r="D17" s="812">
        <v>687801</v>
      </c>
      <c r="E17" s="812">
        <v>816560</v>
      </c>
      <c r="F17" s="812">
        <v>910566</v>
      </c>
      <c r="G17" s="812">
        <v>1011882</v>
      </c>
      <c r="H17" s="812">
        <v>1138645</v>
      </c>
      <c r="I17" s="812">
        <v>1159153</v>
      </c>
      <c r="J17" s="812">
        <v>1254313</v>
      </c>
      <c r="K17" s="812">
        <v>1282053</v>
      </c>
      <c r="L17" s="812">
        <v>1338181</v>
      </c>
      <c r="M17" s="812">
        <v>1374793</v>
      </c>
      <c r="N17" s="812">
        <v>1412593</v>
      </c>
      <c r="O17" s="812">
        <v>1411259</v>
      </c>
      <c r="P17" s="812">
        <v>1408532</v>
      </c>
      <c r="Q17" s="812">
        <v>1424706</v>
      </c>
      <c r="R17" s="812">
        <v>1486660</v>
      </c>
      <c r="S17" s="812">
        <v>1472082</v>
      </c>
      <c r="T17" s="812">
        <v>1451094</v>
      </c>
      <c r="U17" s="1132">
        <v>1534404</v>
      </c>
      <c r="V17" s="1101">
        <v>1542623</v>
      </c>
      <c r="W17" s="1101">
        <v>1534788</v>
      </c>
      <c r="AA17" s="812"/>
      <c r="AB17" s="812"/>
      <c r="AC17" s="812"/>
    </row>
    <row r="18" spans="1:29">
      <c r="A18" s="1118"/>
      <c r="C18" s="1119" t="s">
        <v>55</v>
      </c>
      <c r="D18" s="1120">
        <v>15944</v>
      </c>
      <c r="E18" s="1120">
        <v>17798</v>
      </c>
      <c r="F18" s="1120">
        <v>18332</v>
      </c>
      <c r="G18" s="1120">
        <v>18903</v>
      </c>
      <c r="H18" s="1120">
        <v>19323</v>
      </c>
      <c r="I18" s="1120">
        <v>16218</v>
      </c>
      <c r="J18" s="1120">
        <v>15898</v>
      </c>
      <c r="K18" s="1120">
        <v>15940</v>
      </c>
      <c r="L18" s="1120">
        <v>15422</v>
      </c>
      <c r="M18" s="1120">
        <v>15076</v>
      </c>
      <c r="N18" s="1120">
        <v>15593</v>
      </c>
      <c r="O18" s="1120">
        <v>15210</v>
      </c>
      <c r="P18" s="1120">
        <v>15204</v>
      </c>
      <c r="Q18" s="1120">
        <v>15179</v>
      </c>
      <c r="R18" s="1120">
        <v>15660</v>
      </c>
      <c r="S18" s="1120">
        <v>15215</v>
      </c>
      <c r="T18" s="1120">
        <v>14402</v>
      </c>
      <c r="U18" s="1129">
        <v>15590</v>
      </c>
      <c r="V18" s="1103">
        <v>15888</v>
      </c>
      <c r="W18" s="1103">
        <v>15659</v>
      </c>
      <c r="AA18" s="812"/>
      <c r="AB18" s="812"/>
      <c r="AC18" s="812"/>
    </row>
    <row r="19" spans="1:29">
      <c r="A19" s="1118"/>
      <c r="C19" s="1119" t="s">
        <v>290</v>
      </c>
      <c r="D19" s="1120">
        <v>7580</v>
      </c>
      <c r="E19" s="1120">
        <v>8511</v>
      </c>
      <c r="F19" s="1120">
        <v>9030</v>
      </c>
      <c r="G19" s="1120">
        <v>9412</v>
      </c>
      <c r="H19" s="1120">
        <v>9634</v>
      </c>
      <c r="I19" s="1120">
        <v>7998</v>
      </c>
      <c r="J19" s="1120">
        <v>8651</v>
      </c>
      <c r="K19" s="1120">
        <v>9277</v>
      </c>
      <c r="L19" s="1120">
        <v>8814</v>
      </c>
      <c r="M19" s="1120">
        <v>10112</v>
      </c>
      <c r="N19" s="1120">
        <v>10697</v>
      </c>
      <c r="O19" s="1120">
        <v>10254</v>
      </c>
      <c r="P19" s="1120">
        <v>10176</v>
      </c>
      <c r="Q19" s="1120">
        <v>10133</v>
      </c>
      <c r="R19" s="1120">
        <v>11071</v>
      </c>
      <c r="S19" s="1120">
        <v>10615</v>
      </c>
      <c r="T19" s="1120">
        <v>10021</v>
      </c>
      <c r="U19" s="1129">
        <v>10909</v>
      </c>
      <c r="V19" s="1103">
        <v>11321</v>
      </c>
      <c r="W19" s="1103">
        <v>11433</v>
      </c>
      <c r="AA19" s="812"/>
      <c r="AB19" s="812"/>
      <c r="AC19" s="812"/>
    </row>
    <row r="20" spans="1:29">
      <c r="A20" s="1118"/>
      <c r="C20" s="1119" t="s">
        <v>57</v>
      </c>
      <c r="D20" s="1120">
        <v>12222</v>
      </c>
      <c r="E20" s="1120">
        <v>14847</v>
      </c>
      <c r="F20" s="1120">
        <v>17200</v>
      </c>
      <c r="G20" s="1120">
        <v>18452</v>
      </c>
      <c r="H20" s="1120">
        <v>20634</v>
      </c>
      <c r="I20" s="1120">
        <v>19042</v>
      </c>
      <c r="J20" s="1120">
        <v>21697</v>
      </c>
      <c r="K20" s="1120">
        <v>22132</v>
      </c>
      <c r="L20" s="1120">
        <v>23137</v>
      </c>
      <c r="M20" s="1120">
        <v>23908</v>
      </c>
      <c r="N20" s="1120">
        <v>25285</v>
      </c>
      <c r="O20" s="1120">
        <v>24738</v>
      </c>
      <c r="P20" s="1120">
        <v>25310</v>
      </c>
      <c r="Q20" s="1120">
        <v>25848</v>
      </c>
      <c r="R20" s="1120">
        <v>27700</v>
      </c>
      <c r="S20" s="1120">
        <v>28575</v>
      </c>
      <c r="T20" s="1120">
        <v>27513</v>
      </c>
      <c r="U20" s="1129">
        <v>29314</v>
      </c>
      <c r="V20" s="1103">
        <v>27058</v>
      </c>
      <c r="W20" s="1103">
        <v>27701</v>
      </c>
      <c r="AA20" s="812"/>
      <c r="AB20" s="812"/>
      <c r="AC20" s="812"/>
    </row>
    <row r="21" spans="1:29">
      <c r="A21" s="1118"/>
      <c r="C21" s="1119" t="s">
        <v>58</v>
      </c>
      <c r="D21" s="1120">
        <v>18721</v>
      </c>
      <c r="E21" s="1120">
        <v>18554</v>
      </c>
      <c r="F21" s="1120">
        <v>21211</v>
      </c>
      <c r="G21" s="1120">
        <v>23679</v>
      </c>
      <c r="H21" s="1120">
        <v>28255</v>
      </c>
      <c r="I21" s="1120">
        <v>34041</v>
      </c>
      <c r="J21" s="1120">
        <v>38558</v>
      </c>
      <c r="K21" s="1120">
        <v>39823</v>
      </c>
      <c r="L21" s="1120">
        <v>42468</v>
      </c>
      <c r="M21" s="1120">
        <v>45235</v>
      </c>
      <c r="N21" s="1120">
        <v>48125</v>
      </c>
      <c r="O21" s="1120">
        <v>49304</v>
      </c>
      <c r="P21" s="1120">
        <v>52120</v>
      </c>
      <c r="Q21" s="1120">
        <v>52230</v>
      </c>
      <c r="R21" s="1120">
        <v>51720</v>
      </c>
      <c r="S21" s="1120">
        <v>52134</v>
      </c>
      <c r="T21" s="1120">
        <v>51247</v>
      </c>
      <c r="U21" s="1129">
        <v>52002</v>
      </c>
      <c r="V21" s="1103">
        <v>51683</v>
      </c>
      <c r="W21" s="1103">
        <v>37137</v>
      </c>
      <c r="AA21" s="812"/>
      <c r="AB21" s="812"/>
      <c r="AC21" s="812"/>
    </row>
    <row r="22" spans="1:29">
      <c r="A22" s="1118"/>
      <c r="C22" s="1121" t="s">
        <v>59</v>
      </c>
      <c r="D22" s="1122">
        <v>23407</v>
      </c>
      <c r="E22" s="1122">
        <v>29995</v>
      </c>
      <c r="F22" s="1122">
        <v>39646</v>
      </c>
      <c r="G22" s="1122">
        <v>33210</v>
      </c>
      <c r="H22" s="1122">
        <v>38054</v>
      </c>
      <c r="I22" s="1122">
        <v>26814</v>
      </c>
      <c r="J22" s="1122">
        <v>49916</v>
      </c>
      <c r="K22" s="1122">
        <v>83898</v>
      </c>
      <c r="L22" s="1122">
        <v>86221</v>
      </c>
      <c r="M22" s="1122">
        <v>88813</v>
      </c>
      <c r="N22" s="1122">
        <v>90623</v>
      </c>
      <c r="O22" s="1122">
        <v>88099</v>
      </c>
      <c r="P22" s="1122">
        <v>84467</v>
      </c>
      <c r="Q22" s="1122">
        <v>84095</v>
      </c>
      <c r="R22" s="1122">
        <v>90142</v>
      </c>
      <c r="S22" s="1122">
        <v>84551</v>
      </c>
      <c r="T22" s="1122">
        <v>77098</v>
      </c>
      <c r="U22" s="1129">
        <v>84709</v>
      </c>
      <c r="V22" s="1103">
        <v>85674</v>
      </c>
      <c r="W22" s="1103">
        <v>80560</v>
      </c>
      <c r="AA22" s="812"/>
      <c r="AB22" s="812"/>
      <c r="AC22" s="812"/>
    </row>
    <row r="23" spans="1:29">
      <c r="A23" s="1118"/>
      <c r="C23" t="s">
        <v>62</v>
      </c>
      <c r="D23" s="812">
        <v>765675</v>
      </c>
      <c r="E23" s="812">
        <v>906265</v>
      </c>
      <c r="F23" s="812">
        <v>1015985</v>
      </c>
      <c r="G23" s="812">
        <v>1115538</v>
      </c>
      <c r="H23" s="812">
        <v>1254545</v>
      </c>
      <c r="I23" s="812">
        <v>1263266</v>
      </c>
      <c r="J23" s="812">
        <v>1389033</v>
      </c>
      <c r="K23" s="812">
        <v>1453123</v>
      </c>
      <c r="L23" s="812">
        <v>1514243</v>
      </c>
      <c r="M23" s="812">
        <v>1557937</v>
      </c>
      <c r="N23" s="812">
        <v>1602916</v>
      </c>
      <c r="O23" s="812">
        <v>1598864</v>
      </c>
      <c r="P23" s="812">
        <v>1595809</v>
      </c>
      <c r="Q23" s="812">
        <f t="shared" ref="Q23" si="2">SUM(Q17:Q22)</f>
        <v>1612191</v>
      </c>
      <c r="R23" s="812">
        <f t="shared" ref="R23" si="3">SUM(R17:R22)</f>
        <v>1682953</v>
      </c>
      <c r="S23" s="812">
        <f t="shared" ref="S23" si="4">SUM(S17:S22)</f>
        <v>1663172</v>
      </c>
      <c r="T23" s="812">
        <v>1631375</v>
      </c>
      <c r="U23" s="1130">
        <f>SUM(U17:U22)</f>
        <v>1726928</v>
      </c>
      <c r="V23" s="550">
        <f>SUM(V17:V22)</f>
        <v>1734247</v>
      </c>
      <c r="W23" s="550">
        <f>SUM(W17:W22)</f>
        <v>1707278</v>
      </c>
      <c r="AA23" s="812"/>
      <c r="AB23" s="812"/>
      <c r="AC23" s="812"/>
    </row>
    <row r="24" spans="1:29">
      <c r="A24" s="809"/>
      <c r="B24" s="1125" t="s">
        <v>62</v>
      </c>
      <c r="C24" s="1125"/>
      <c r="D24" s="1126">
        <v>1955254</v>
      </c>
      <c r="E24" s="1126">
        <v>2264910</v>
      </c>
      <c r="F24" s="1126">
        <v>2380192</v>
      </c>
      <c r="G24" s="1126">
        <v>2560592</v>
      </c>
      <c r="H24" s="1126">
        <v>2737287</v>
      </c>
      <c r="I24" s="1126">
        <v>2685260</v>
      </c>
      <c r="J24" s="1126">
        <v>3003765</v>
      </c>
      <c r="K24" s="1126">
        <v>3060397</v>
      </c>
      <c r="L24" s="1126">
        <v>3107006</v>
      </c>
      <c r="M24" s="1126">
        <v>3161888</v>
      </c>
      <c r="N24" s="1126">
        <v>3238940</v>
      </c>
      <c r="O24" s="1126">
        <v>3251956</v>
      </c>
      <c r="P24" s="1126">
        <v>3262666</v>
      </c>
      <c r="Q24" s="1126">
        <v>3344724</v>
      </c>
      <c r="R24" s="1126">
        <f t="shared" ref="R24" si="5">R13+R16+R23</f>
        <v>3467876</v>
      </c>
      <c r="S24" s="1126">
        <f t="shared" ref="S24" si="6">S13+S16+S23</f>
        <v>3497960</v>
      </c>
      <c r="T24" s="1126">
        <v>3445318</v>
      </c>
      <c r="U24" s="1135">
        <f>U13+U16+U23</f>
        <v>3542848</v>
      </c>
      <c r="V24" s="125">
        <f>V13+V16+V23</f>
        <v>3557396</v>
      </c>
      <c r="W24" s="125">
        <f>W13+W16+W23</f>
        <v>3626930</v>
      </c>
      <c r="AA24" s="812"/>
      <c r="AB24" s="812"/>
      <c r="AC24" s="812"/>
    </row>
    <row r="25" spans="1:29">
      <c r="A25" s="1109" t="s">
        <v>55</v>
      </c>
      <c r="B25" s="1116" t="s">
        <v>275</v>
      </c>
      <c r="C25" s="1116" t="s">
        <v>54</v>
      </c>
      <c r="D25" s="1117">
        <v>4757</v>
      </c>
      <c r="E25" s="1117">
        <v>4612</v>
      </c>
      <c r="F25" s="1117">
        <v>4141</v>
      </c>
      <c r="G25" s="1117">
        <v>4021</v>
      </c>
      <c r="H25" s="1117">
        <v>3438</v>
      </c>
      <c r="I25" s="1117">
        <v>2661</v>
      </c>
      <c r="J25" s="1117">
        <v>2282</v>
      </c>
      <c r="K25" s="1117">
        <v>2811</v>
      </c>
      <c r="L25" s="1117">
        <v>3057</v>
      </c>
      <c r="M25" s="1117">
        <v>3288</v>
      </c>
      <c r="N25" s="1117">
        <v>3542</v>
      </c>
      <c r="O25" s="1117">
        <v>4190</v>
      </c>
      <c r="P25" s="1117">
        <v>4583</v>
      </c>
      <c r="Q25" s="1117">
        <v>4992</v>
      </c>
      <c r="R25" s="1117">
        <v>5122</v>
      </c>
      <c r="S25" s="1117">
        <v>4828</v>
      </c>
      <c r="T25" s="1117">
        <v>4296</v>
      </c>
      <c r="U25" s="1132">
        <v>3159</v>
      </c>
      <c r="V25" s="1101">
        <v>3373</v>
      </c>
      <c r="W25" s="1101">
        <v>3252</v>
      </c>
      <c r="AA25" s="812"/>
      <c r="AB25" s="812"/>
      <c r="AC25" s="812"/>
    </row>
    <row r="26" spans="1:29">
      <c r="A26" s="1118"/>
      <c r="C26" s="1119" t="s">
        <v>55</v>
      </c>
      <c r="D26" s="1120">
        <v>362342</v>
      </c>
      <c r="E26" s="1120">
        <v>359382</v>
      </c>
      <c r="F26" s="1120">
        <v>336013</v>
      </c>
      <c r="G26" s="1120">
        <v>321375</v>
      </c>
      <c r="H26" s="1120">
        <v>317528</v>
      </c>
      <c r="I26" s="1120">
        <v>282359</v>
      </c>
      <c r="J26" s="1120">
        <v>276156</v>
      </c>
      <c r="K26" s="1120">
        <v>271683</v>
      </c>
      <c r="L26" s="1120">
        <v>269132</v>
      </c>
      <c r="M26" s="1120">
        <v>252391</v>
      </c>
      <c r="N26" s="1120">
        <v>245343</v>
      </c>
      <c r="O26" s="1120">
        <v>237574</v>
      </c>
      <c r="P26" s="1120">
        <v>238167</v>
      </c>
      <c r="Q26" s="1120">
        <v>236216</v>
      </c>
      <c r="R26" s="1120">
        <v>228705</v>
      </c>
      <c r="S26" s="1120">
        <v>219138</v>
      </c>
      <c r="T26" s="1120">
        <v>200385</v>
      </c>
      <c r="U26" s="1129">
        <v>194630</v>
      </c>
      <c r="V26" s="1103">
        <v>190549</v>
      </c>
      <c r="W26" s="1103">
        <v>199872</v>
      </c>
      <c r="AA26" s="812"/>
      <c r="AB26" s="812"/>
      <c r="AC26" s="812"/>
    </row>
    <row r="27" spans="1:29">
      <c r="A27" s="1118"/>
      <c r="C27" s="1119" t="s">
        <v>290</v>
      </c>
      <c r="D27" s="1120">
        <v>9017</v>
      </c>
      <c r="E27" s="1120">
        <v>9201</v>
      </c>
      <c r="F27" s="1120">
        <v>9222</v>
      </c>
      <c r="G27" s="1120">
        <v>8853</v>
      </c>
      <c r="H27" s="1120">
        <v>8039</v>
      </c>
      <c r="I27" s="1120">
        <v>5857</v>
      </c>
      <c r="J27" s="1120">
        <v>5471</v>
      </c>
      <c r="K27" s="1120">
        <v>6242</v>
      </c>
      <c r="L27" s="1120">
        <v>6203</v>
      </c>
      <c r="M27" s="1120">
        <v>5502</v>
      </c>
      <c r="N27" s="1120">
        <v>5101</v>
      </c>
      <c r="O27" s="1120">
        <v>5117</v>
      </c>
      <c r="P27" s="1120">
        <v>4654</v>
      </c>
      <c r="Q27" s="1120">
        <v>4699</v>
      </c>
      <c r="R27" s="1120">
        <v>5036</v>
      </c>
      <c r="S27" s="1120">
        <v>4399</v>
      </c>
      <c r="T27" s="1120">
        <v>4055</v>
      </c>
      <c r="U27" s="1129">
        <v>3981</v>
      </c>
      <c r="V27" s="1103">
        <v>4086</v>
      </c>
      <c r="W27" s="1103">
        <v>3932</v>
      </c>
      <c r="AA27" s="812"/>
      <c r="AB27" s="812"/>
      <c r="AC27" s="812"/>
    </row>
    <row r="28" spans="1:29">
      <c r="A28" s="1118"/>
      <c r="C28" s="1119" t="s">
        <v>57</v>
      </c>
      <c r="D28" s="1120">
        <v>18026</v>
      </c>
      <c r="E28" s="1120">
        <v>20663</v>
      </c>
      <c r="F28" s="1120">
        <v>20471</v>
      </c>
      <c r="G28" s="1120">
        <v>20183</v>
      </c>
      <c r="H28" s="1120">
        <v>19498</v>
      </c>
      <c r="I28" s="1120">
        <v>16783</v>
      </c>
      <c r="J28" s="1120">
        <v>17691</v>
      </c>
      <c r="K28" s="1120">
        <v>22640</v>
      </c>
      <c r="L28" s="1120">
        <v>21792</v>
      </c>
      <c r="M28" s="1120">
        <v>19734</v>
      </c>
      <c r="N28" s="1120">
        <v>18161</v>
      </c>
      <c r="O28" s="1120">
        <v>18466</v>
      </c>
      <c r="P28" s="1120">
        <v>17892</v>
      </c>
      <c r="Q28" s="1120">
        <v>18438</v>
      </c>
      <c r="R28" s="1120">
        <v>21594</v>
      </c>
      <c r="S28" s="1120">
        <v>22864</v>
      </c>
      <c r="T28" s="1120">
        <v>21706</v>
      </c>
      <c r="U28" s="1129">
        <v>20091</v>
      </c>
      <c r="V28" s="1103">
        <v>20528</v>
      </c>
      <c r="W28" s="1103">
        <v>20039</v>
      </c>
      <c r="AA28" s="812"/>
      <c r="AB28" s="812"/>
      <c r="AC28" s="812"/>
    </row>
    <row r="29" spans="1:29">
      <c r="A29" s="1118"/>
      <c r="C29" s="1119" t="s">
        <v>58</v>
      </c>
      <c r="D29" s="1120">
        <v>55281</v>
      </c>
      <c r="E29" s="1120">
        <v>61587</v>
      </c>
      <c r="F29" s="1120">
        <v>64140</v>
      </c>
      <c r="G29" s="1120">
        <v>65057</v>
      </c>
      <c r="H29" s="1120">
        <v>66408</v>
      </c>
      <c r="I29" s="1120">
        <v>60409</v>
      </c>
      <c r="J29" s="1120">
        <v>58948</v>
      </c>
      <c r="K29" s="1120">
        <v>59246</v>
      </c>
      <c r="L29" s="1120">
        <v>58833</v>
      </c>
      <c r="M29" s="1120">
        <v>54996</v>
      </c>
      <c r="N29" s="1120">
        <v>55350</v>
      </c>
      <c r="O29" s="1120">
        <v>55271</v>
      </c>
      <c r="P29" s="1120">
        <v>54087</v>
      </c>
      <c r="Q29" s="1120">
        <v>52843</v>
      </c>
      <c r="R29" s="1120">
        <v>52131</v>
      </c>
      <c r="S29" s="1120">
        <v>50203</v>
      </c>
      <c r="T29" s="1120">
        <v>45786</v>
      </c>
      <c r="U29" s="1129">
        <v>42603</v>
      </c>
      <c r="V29" s="1103">
        <v>43014</v>
      </c>
      <c r="W29" s="1103">
        <v>46339</v>
      </c>
      <c r="AA29" s="812"/>
      <c r="AB29" s="812"/>
      <c r="AC29" s="812"/>
    </row>
    <row r="30" spans="1:29">
      <c r="A30" s="1118"/>
      <c r="C30" s="1121" t="s">
        <v>59</v>
      </c>
      <c r="D30" s="1122">
        <v>3481</v>
      </c>
      <c r="E30" s="1122">
        <v>4088</v>
      </c>
      <c r="F30" s="1122">
        <v>4323</v>
      </c>
      <c r="G30" s="1122">
        <v>3779</v>
      </c>
      <c r="H30" s="1122">
        <v>4132</v>
      </c>
      <c r="I30" s="1122">
        <v>6147</v>
      </c>
      <c r="J30" s="1122">
        <v>3983</v>
      </c>
      <c r="K30" s="1122">
        <v>6433</v>
      </c>
      <c r="L30" s="1122">
        <v>6950</v>
      </c>
      <c r="M30" s="1122">
        <v>6420</v>
      </c>
      <c r="N30" s="1122">
        <v>6212</v>
      </c>
      <c r="O30" s="1122">
        <v>7733</v>
      </c>
      <c r="P30" s="1122">
        <v>7950</v>
      </c>
      <c r="Q30" s="1122">
        <v>6253</v>
      </c>
      <c r="R30" s="1122">
        <v>6807</v>
      </c>
      <c r="S30" s="1122">
        <v>6399</v>
      </c>
      <c r="T30" s="1122">
        <v>5403</v>
      </c>
      <c r="U30" s="1129">
        <v>5112</v>
      </c>
      <c r="V30" s="1103">
        <v>5044</v>
      </c>
      <c r="W30" s="1103">
        <v>5316</v>
      </c>
      <c r="AA30" s="812"/>
      <c r="AB30" s="812"/>
      <c r="AC30" s="812"/>
    </row>
    <row r="31" spans="1:29">
      <c r="A31" s="1118"/>
      <c r="C31" t="s">
        <v>62</v>
      </c>
      <c r="D31" s="812">
        <v>452904</v>
      </c>
      <c r="E31" s="812">
        <v>459533</v>
      </c>
      <c r="F31" s="812">
        <v>438310</v>
      </c>
      <c r="G31" s="812">
        <v>423268</v>
      </c>
      <c r="H31" s="812">
        <v>419043</v>
      </c>
      <c r="I31" s="812">
        <v>374216</v>
      </c>
      <c r="J31" s="812">
        <v>364531</v>
      </c>
      <c r="K31" s="812">
        <v>369055</v>
      </c>
      <c r="L31" s="812">
        <v>365967</v>
      </c>
      <c r="M31" s="812">
        <v>342331</v>
      </c>
      <c r="N31" s="812">
        <v>333709</v>
      </c>
      <c r="O31" s="812">
        <v>328351</v>
      </c>
      <c r="P31" s="812">
        <v>327333</v>
      </c>
      <c r="Q31" s="812">
        <f t="shared" ref="Q31" si="7">SUM(Q25:Q30)</f>
        <v>323441</v>
      </c>
      <c r="R31" s="812">
        <f t="shared" ref="R31" si="8">SUM(R25:R30)</f>
        <v>319395</v>
      </c>
      <c r="S31" s="812">
        <f t="shared" ref="S31" si="9">SUM(S25:S30)</f>
        <v>307831</v>
      </c>
      <c r="T31" s="812">
        <v>281631</v>
      </c>
      <c r="U31" s="1130">
        <f>SUM(U25:U30)</f>
        <v>269576</v>
      </c>
      <c r="V31" s="781">
        <f>SUM(V25:V30)</f>
        <v>266594</v>
      </c>
      <c r="W31" s="781">
        <f>SUM(W25:W30)</f>
        <v>278750</v>
      </c>
      <c r="AA31" s="812"/>
      <c r="AB31" s="812"/>
      <c r="AC31" s="812"/>
    </row>
    <row r="32" spans="1:29">
      <c r="A32" s="1118"/>
      <c r="B32" s="1116" t="s">
        <v>276</v>
      </c>
      <c r="C32" s="1116" t="s">
        <v>54</v>
      </c>
      <c r="D32" s="1117">
        <v>334205</v>
      </c>
      <c r="E32" s="1117">
        <v>345901</v>
      </c>
      <c r="F32" s="1117">
        <v>311358</v>
      </c>
      <c r="G32" s="1117">
        <v>317941</v>
      </c>
      <c r="H32" s="1117">
        <v>336920</v>
      </c>
      <c r="I32" s="1117">
        <v>236894</v>
      </c>
      <c r="J32" s="1117">
        <v>284714</v>
      </c>
      <c r="K32" s="1117">
        <v>291832</v>
      </c>
      <c r="L32" s="1117">
        <v>275999</v>
      </c>
      <c r="M32" s="1117">
        <v>250696</v>
      </c>
      <c r="N32" s="1117">
        <v>237140</v>
      </c>
      <c r="O32" s="1117">
        <v>231165</v>
      </c>
      <c r="P32" s="1117">
        <v>233145</v>
      </c>
      <c r="Q32" s="1117">
        <v>243306</v>
      </c>
      <c r="R32" s="1117">
        <v>252557</v>
      </c>
      <c r="S32" s="1117">
        <v>243255</v>
      </c>
      <c r="T32" s="1131">
        <v>222773</v>
      </c>
      <c r="U32" s="1132">
        <v>211976</v>
      </c>
      <c r="V32" s="1101">
        <v>216328</v>
      </c>
      <c r="W32" s="1101">
        <v>227803</v>
      </c>
      <c r="AA32" s="812"/>
      <c r="AB32" s="812"/>
      <c r="AC32" s="812"/>
    </row>
    <row r="33" spans="1:29">
      <c r="A33" s="1118"/>
      <c r="C33" s="1121" t="s">
        <v>59</v>
      </c>
      <c r="D33" s="1122">
        <v>13431</v>
      </c>
      <c r="E33" s="1122">
        <v>30899</v>
      </c>
      <c r="F33" s="1122">
        <v>28245</v>
      </c>
      <c r="G33" s="1122">
        <v>27706</v>
      </c>
      <c r="H33" s="1122">
        <v>9815</v>
      </c>
      <c r="I33" s="1122">
        <v>11801</v>
      </c>
      <c r="J33" s="1122">
        <v>7688</v>
      </c>
      <c r="K33" s="1122">
        <v>8956</v>
      </c>
      <c r="L33" s="1122">
        <v>9646</v>
      </c>
      <c r="M33" s="1122">
        <v>9526</v>
      </c>
      <c r="N33" s="1122">
        <v>4635</v>
      </c>
      <c r="O33" s="1122">
        <v>3569</v>
      </c>
      <c r="P33" s="1122">
        <v>3716</v>
      </c>
      <c r="Q33" s="1122">
        <v>3674</v>
      </c>
      <c r="R33" s="1122">
        <v>3102</v>
      </c>
      <c r="S33" s="1122">
        <v>2751</v>
      </c>
      <c r="T33" s="1133">
        <v>2875</v>
      </c>
      <c r="U33" s="1129">
        <v>1843</v>
      </c>
      <c r="V33" s="1103">
        <v>1068</v>
      </c>
      <c r="W33" s="1103">
        <v>2089</v>
      </c>
      <c r="AA33" s="812"/>
      <c r="AB33" s="812"/>
      <c r="AC33" s="812"/>
    </row>
    <row r="34" spans="1:29">
      <c r="A34" s="1118"/>
      <c r="B34" s="1123"/>
      <c r="C34" s="1123" t="s">
        <v>62</v>
      </c>
      <c r="D34" s="1124">
        <v>347636</v>
      </c>
      <c r="E34" s="1124">
        <v>376800</v>
      </c>
      <c r="F34" s="1124">
        <v>339603</v>
      </c>
      <c r="G34" s="1124">
        <v>345647</v>
      </c>
      <c r="H34" s="1124">
        <v>346735</v>
      </c>
      <c r="I34" s="1124">
        <v>248695</v>
      </c>
      <c r="J34" s="1124">
        <v>292402</v>
      </c>
      <c r="K34" s="1124">
        <v>300788</v>
      </c>
      <c r="L34" s="1124">
        <v>285645</v>
      </c>
      <c r="M34" s="1124">
        <v>260222</v>
      </c>
      <c r="N34" s="1124">
        <v>241775</v>
      </c>
      <c r="O34" s="1124">
        <v>234734</v>
      </c>
      <c r="P34" s="1124">
        <v>236861</v>
      </c>
      <c r="Q34" s="1124">
        <v>246980</v>
      </c>
      <c r="R34" s="1124">
        <f t="shared" ref="R34" si="10">SUM(R32:R33)</f>
        <v>255659</v>
      </c>
      <c r="S34" s="1124">
        <f t="shared" ref="S34" si="11">SUM(S32:S33)</f>
        <v>246006</v>
      </c>
      <c r="T34" s="1134">
        <v>225648</v>
      </c>
      <c r="U34" s="1130">
        <f>SUM(U32:U33)</f>
        <v>213819</v>
      </c>
      <c r="V34" s="781">
        <f>SUM(V32:V33)</f>
        <v>217396</v>
      </c>
      <c r="W34" s="781">
        <f>SUM(W32:W33)</f>
        <v>229892</v>
      </c>
      <c r="AA34" s="812"/>
      <c r="AB34" s="812"/>
      <c r="AC34" s="812"/>
    </row>
    <row r="35" spans="1:29">
      <c r="A35" s="1118"/>
      <c r="B35" t="s">
        <v>293</v>
      </c>
      <c r="C35" t="s">
        <v>54</v>
      </c>
      <c r="D35" s="812">
        <v>151959</v>
      </c>
      <c r="E35" s="812">
        <v>204459</v>
      </c>
      <c r="F35" s="812">
        <v>256342</v>
      </c>
      <c r="G35" s="812">
        <v>273103</v>
      </c>
      <c r="H35" s="812">
        <v>257395</v>
      </c>
      <c r="I35" s="812">
        <v>314030</v>
      </c>
      <c r="J35" s="812">
        <v>414312</v>
      </c>
      <c r="K35" s="812">
        <v>432109</v>
      </c>
      <c r="L35" s="812">
        <v>530905</v>
      </c>
      <c r="M35" s="812">
        <v>567820</v>
      </c>
      <c r="N35" s="812">
        <v>575932</v>
      </c>
      <c r="O35" s="812">
        <v>559566</v>
      </c>
      <c r="P35" s="812">
        <v>541763</v>
      </c>
      <c r="Q35" s="812">
        <v>561445</v>
      </c>
      <c r="R35" s="812">
        <v>583610</v>
      </c>
      <c r="S35" s="812">
        <v>577127</v>
      </c>
      <c r="T35" s="812">
        <v>592814</v>
      </c>
      <c r="U35" s="1132">
        <v>595294</v>
      </c>
      <c r="V35" s="1101">
        <v>588418</v>
      </c>
      <c r="W35" s="1101">
        <v>580127</v>
      </c>
      <c r="AA35" s="812"/>
      <c r="AB35" s="812"/>
      <c r="AC35" s="812"/>
    </row>
    <row r="36" spans="1:29">
      <c r="A36" s="1118"/>
      <c r="C36" s="1119" t="s">
        <v>55</v>
      </c>
      <c r="D36" s="1120">
        <v>6074</v>
      </c>
      <c r="E36" s="1120">
        <v>8578</v>
      </c>
      <c r="F36" s="1120">
        <v>11047</v>
      </c>
      <c r="G36" s="1120">
        <v>12123</v>
      </c>
      <c r="H36" s="1120">
        <v>12582</v>
      </c>
      <c r="I36" s="1120">
        <v>12956</v>
      </c>
      <c r="J36" s="1120">
        <v>13925</v>
      </c>
      <c r="K36" s="1120">
        <v>15897</v>
      </c>
      <c r="L36" s="1120">
        <v>17881</v>
      </c>
      <c r="M36" s="1120">
        <v>19340</v>
      </c>
      <c r="N36" s="1120">
        <v>20616</v>
      </c>
      <c r="O36" s="1120">
        <v>21265</v>
      </c>
      <c r="P36" s="1120">
        <v>22077</v>
      </c>
      <c r="Q36" s="1120">
        <v>24074</v>
      </c>
      <c r="R36" s="1120">
        <v>24925</v>
      </c>
      <c r="S36" s="1120">
        <v>26234</v>
      </c>
      <c r="T36" s="1120">
        <v>26963</v>
      </c>
      <c r="U36" s="1129">
        <v>27822</v>
      </c>
      <c r="V36" s="1103">
        <v>28264</v>
      </c>
      <c r="W36" s="1103">
        <v>29064</v>
      </c>
      <c r="AA36" s="812"/>
      <c r="AB36" s="812"/>
      <c r="AC36" s="812"/>
    </row>
    <row r="37" spans="1:29">
      <c r="A37" s="1118"/>
      <c r="C37" s="1119" t="s">
        <v>290</v>
      </c>
      <c r="D37" s="1120">
        <v>5777</v>
      </c>
      <c r="E37" s="1120">
        <v>7267</v>
      </c>
      <c r="F37" s="1120">
        <v>8382</v>
      </c>
      <c r="G37" s="1120">
        <v>9247</v>
      </c>
      <c r="H37" s="1120">
        <v>9513</v>
      </c>
      <c r="I37" s="1120">
        <v>8311</v>
      </c>
      <c r="J37" s="1120">
        <v>8875</v>
      </c>
      <c r="K37" s="1120">
        <v>8992</v>
      </c>
      <c r="L37" s="1120">
        <v>9801</v>
      </c>
      <c r="M37" s="1120">
        <v>10797</v>
      </c>
      <c r="N37" s="1120">
        <v>10552</v>
      </c>
      <c r="O37" s="1120">
        <v>10166</v>
      </c>
      <c r="P37" s="1120">
        <v>10119</v>
      </c>
      <c r="Q37" s="1120">
        <v>10344</v>
      </c>
      <c r="R37" s="1120">
        <v>10559</v>
      </c>
      <c r="S37" s="1120">
        <v>10591</v>
      </c>
      <c r="T37" s="1120">
        <v>9971</v>
      </c>
      <c r="U37" s="1129">
        <v>10184</v>
      </c>
      <c r="V37" s="1103">
        <v>9775</v>
      </c>
      <c r="W37" s="1103">
        <v>10260</v>
      </c>
      <c r="AA37" s="812"/>
      <c r="AB37" s="812"/>
      <c r="AC37" s="812"/>
    </row>
    <row r="38" spans="1:29">
      <c r="A38" s="1118"/>
      <c r="C38" s="1119" t="s">
        <v>57</v>
      </c>
      <c r="D38" s="1120">
        <v>7516</v>
      </c>
      <c r="E38" s="1120">
        <v>10313</v>
      </c>
      <c r="F38" s="1120">
        <v>12330</v>
      </c>
      <c r="G38" s="1120">
        <v>12687</v>
      </c>
      <c r="H38" s="1120">
        <v>13766</v>
      </c>
      <c r="I38" s="1120">
        <v>13519</v>
      </c>
      <c r="J38" s="1120">
        <v>16191</v>
      </c>
      <c r="K38" s="1120">
        <v>16591</v>
      </c>
      <c r="L38" s="1120">
        <v>20486</v>
      </c>
      <c r="M38" s="1120">
        <v>21459</v>
      </c>
      <c r="N38" s="1120">
        <v>22299</v>
      </c>
      <c r="O38" s="1120">
        <v>21612</v>
      </c>
      <c r="P38" s="1120">
        <v>21315</v>
      </c>
      <c r="Q38" s="1120">
        <v>22470</v>
      </c>
      <c r="R38" s="1120">
        <v>23690</v>
      </c>
      <c r="S38" s="1120">
        <v>26003</v>
      </c>
      <c r="T38" s="1120">
        <v>26156</v>
      </c>
      <c r="U38" s="1129">
        <v>26919</v>
      </c>
      <c r="V38" s="1103">
        <v>24731</v>
      </c>
      <c r="W38" s="1103">
        <v>26197</v>
      </c>
      <c r="AA38" s="812"/>
      <c r="AB38" s="812"/>
      <c r="AC38" s="812"/>
    </row>
    <row r="39" spans="1:29">
      <c r="A39" s="1118"/>
      <c r="C39" s="1119" t="s">
        <v>58</v>
      </c>
      <c r="D39" s="1120">
        <v>9531</v>
      </c>
      <c r="E39" s="1120">
        <v>10407</v>
      </c>
      <c r="F39" s="1120">
        <v>12699</v>
      </c>
      <c r="G39" s="1120">
        <v>13737</v>
      </c>
      <c r="H39" s="1120">
        <v>15988</v>
      </c>
      <c r="I39" s="1120">
        <v>21573</v>
      </c>
      <c r="J39" s="1120">
        <v>25069</v>
      </c>
      <c r="K39" s="1120">
        <v>25938</v>
      </c>
      <c r="L39" s="1120">
        <v>29853</v>
      </c>
      <c r="M39" s="1120">
        <v>29971</v>
      </c>
      <c r="N39" s="1120">
        <v>31341</v>
      </c>
      <c r="O39" s="1120">
        <v>31088</v>
      </c>
      <c r="P39" s="1120">
        <v>31934</v>
      </c>
      <c r="Q39" s="1120">
        <v>33270</v>
      </c>
      <c r="R39" s="1120">
        <v>33191</v>
      </c>
      <c r="S39" s="1120">
        <v>34232</v>
      </c>
      <c r="T39" s="1120">
        <v>32522</v>
      </c>
      <c r="U39" s="1129">
        <v>32761</v>
      </c>
      <c r="V39" s="1103">
        <v>32327</v>
      </c>
      <c r="W39" s="1103">
        <v>30130</v>
      </c>
      <c r="AA39" s="812"/>
      <c r="AB39" s="812"/>
      <c r="AC39" s="812"/>
    </row>
    <row r="40" spans="1:29">
      <c r="A40" s="1118"/>
      <c r="C40" s="1121" t="s">
        <v>59</v>
      </c>
      <c r="D40" s="1122">
        <v>3301</v>
      </c>
      <c r="E40" s="1122">
        <v>5263</v>
      </c>
      <c r="F40" s="1122">
        <v>6557</v>
      </c>
      <c r="G40" s="1122">
        <v>5609</v>
      </c>
      <c r="H40" s="1122">
        <v>6700</v>
      </c>
      <c r="I40" s="1122">
        <v>4909</v>
      </c>
      <c r="J40" s="1122">
        <v>9927</v>
      </c>
      <c r="K40" s="1122">
        <v>16958</v>
      </c>
      <c r="L40" s="1122">
        <v>20485</v>
      </c>
      <c r="M40" s="1122">
        <v>23685</v>
      </c>
      <c r="N40" s="1122">
        <v>22658</v>
      </c>
      <c r="O40" s="1122">
        <v>18575</v>
      </c>
      <c r="P40" s="1122">
        <v>19740</v>
      </c>
      <c r="Q40" s="1122">
        <v>22511</v>
      </c>
      <c r="R40" s="1122">
        <v>22743</v>
      </c>
      <c r="S40" s="1122">
        <v>23406</v>
      </c>
      <c r="T40" s="1122">
        <v>21418</v>
      </c>
      <c r="U40" s="1129">
        <v>20480</v>
      </c>
      <c r="V40" s="1103">
        <v>20183</v>
      </c>
      <c r="W40" s="1103">
        <v>18937</v>
      </c>
      <c r="AA40" s="812"/>
      <c r="AB40" s="812"/>
      <c r="AC40" s="812"/>
    </row>
    <row r="41" spans="1:29">
      <c r="A41" s="1118"/>
      <c r="C41" t="s">
        <v>62</v>
      </c>
      <c r="D41" s="812">
        <v>184158</v>
      </c>
      <c r="E41" s="812">
        <v>246287</v>
      </c>
      <c r="F41" s="812">
        <v>307357</v>
      </c>
      <c r="G41" s="812">
        <v>326506</v>
      </c>
      <c r="H41" s="812">
        <v>315944</v>
      </c>
      <c r="I41" s="812">
        <v>375298</v>
      </c>
      <c r="J41" s="812">
        <v>488299</v>
      </c>
      <c r="K41" s="812">
        <v>516485</v>
      </c>
      <c r="L41" s="812">
        <v>629411</v>
      </c>
      <c r="M41" s="812">
        <v>673072</v>
      </c>
      <c r="N41" s="812">
        <v>683398</v>
      </c>
      <c r="O41" s="812">
        <v>662272</v>
      </c>
      <c r="P41" s="812">
        <v>646948</v>
      </c>
      <c r="Q41" s="812">
        <f t="shared" ref="Q41" si="12">SUM(Q35:Q40)</f>
        <v>674114</v>
      </c>
      <c r="R41" s="812">
        <f t="shared" ref="R41" si="13">SUM(R35:R40)</f>
        <v>698718</v>
      </c>
      <c r="S41" s="812">
        <f t="shared" ref="S41" si="14">SUM(S35:S40)</f>
        <v>697593</v>
      </c>
      <c r="T41" s="812">
        <v>709844</v>
      </c>
      <c r="U41" s="1130">
        <f>SUM(U35:U40)</f>
        <v>713460</v>
      </c>
      <c r="V41" s="550">
        <f>SUM(V35:V40)</f>
        <v>703698</v>
      </c>
      <c r="W41" s="550">
        <f>SUM(W35:W40)</f>
        <v>694715</v>
      </c>
      <c r="AA41" s="812"/>
      <c r="AB41" s="812"/>
      <c r="AC41" s="812"/>
    </row>
    <row r="42" spans="1:29">
      <c r="A42" s="809"/>
      <c r="B42" s="1125" t="s">
        <v>62</v>
      </c>
      <c r="C42" s="1125"/>
      <c r="D42" s="1126">
        <v>984698</v>
      </c>
      <c r="E42" s="1126">
        <v>1082620</v>
      </c>
      <c r="F42" s="1126">
        <v>1085270</v>
      </c>
      <c r="G42" s="1126">
        <v>1095421</v>
      </c>
      <c r="H42" s="1126">
        <v>1081722</v>
      </c>
      <c r="I42" s="1126">
        <v>998209</v>
      </c>
      <c r="J42" s="1126">
        <v>1145232</v>
      </c>
      <c r="K42" s="1126">
        <v>1186328</v>
      </c>
      <c r="L42" s="1126">
        <v>1281023</v>
      </c>
      <c r="M42" s="1126">
        <v>1275625</v>
      </c>
      <c r="N42" s="1126">
        <v>1258882</v>
      </c>
      <c r="O42" s="1126">
        <v>1225357</v>
      </c>
      <c r="P42" s="1126">
        <v>1211142</v>
      </c>
      <c r="Q42" s="1126">
        <v>1244535</v>
      </c>
      <c r="R42" s="1126">
        <f t="shared" ref="R42" si="15">R31+R34+R41</f>
        <v>1273772</v>
      </c>
      <c r="S42" s="1126">
        <f t="shared" ref="S42" si="16">S31+S34+S41</f>
        <v>1251430</v>
      </c>
      <c r="T42" s="1126">
        <v>1217123</v>
      </c>
      <c r="U42" s="1135">
        <f>U31+U34+U41</f>
        <v>1196855</v>
      </c>
      <c r="V42" s="1135">
        <f>V31+V34+V41</f>
        <v>1187688</v>
      </c>
      <c r="W42" s="1135">
        <f>W31+W34+W41</f>
        <v>1203357</v>
      </c>
      <c r="AA42" s="812"/>
      <c r="AB42" s="812"/>
      <c r="AC42" s="812"/>
    </row>
    <row r="43" spans="1:29">
      <c r="A43" s="1109" t="s">
        <v>56</v>
      </c>
      <c r="B43" s="1116" t="s">
        <v>275</v>
      </c>
      <c r="C43" s="1116" t="s">
        <v>54</v>
      </c>
      <c r="D43" s="1117">
        <v>1233</v>
      </c>
      <c r="E43" s="1117">
        <v>1166</v>
      </c>
      <c r="F43" s="1117">
        <v>1291</v>
      </c>
      <c r="G43" s="1117">
        <v>916</v>
      </c>
      <c r="H43" s="1117">
        <v>1098</v>
      </c>
      <c r="I43" s="1117">
        <v>703</v>
      </c>
      <c r="J43" s="1117">
        <v>759</v>
      </c>
      <c r="K43" s="1117">
        <v>1091</v>
      </c>
      <c r="L43" s="1117">
        <v>1556</v>
      </c>
      <c r="M43" s="1117">
        <v>1450</v>
      </c>
      <c r="N43" s="1117">
        <v>1388</v>
      </c>
      <c r="O43" s="1117">
        <v>1379</v>
      </c>
      <c r="P43" s="1117">
        <v>1205</v>
      </c>
      <c r="Q43" s="1117">
        <v>1177</v>
      </c>
      <c r="R43" s="1117">
        <v>1333</v>
      </c>
      <c r="S43" s="1117">
        <v>1337</v>
      </c>
      <c r="T43" s="1128">
        <v>1713</v>
      </c>
      <c r="U43" s="1132">
        <v>1517</v>
      </c>
      <c r="V43" s="1101">
        <v>1697</v>
      </c>
      <c r="W43" s="1101">
        <v>1760</v>
      </c>
      <c r="AA43" s="812"/>
      <c r="AB43" s="812"/>
      <c r="AC43" s="812"/>
    </row>
    <row r="44" spans="1:29">
      <c r="A44" s="1118"/>
      <c r="C44" s="1119" t="s">
        <v>55</v>
      </c>
      <c r="D44" s="1120">
        <v>4910</v>
      </c>
      <c r="E44" s="1120">
        <v>5668</v>
      </c>
      <c r="F44" s="1120">
        <v>5706</v>
      </c>
      <c r="G44" s="1120">
        <v>4476</v>
      </c>
      <c r="H44" s="1120">
        <v>3478</v>
      </c>
      <c r="I44" s="1120">
        <v>2747</v>
      </c>
      <c r="J44" s="1120">
        <v>2988</v>
      </c>
      <c r="K44" s="1120">
        <v>3035</v>
      </c>
      <c r="L44" s="1120">
        <v>3422</v>
      </c>
      <c r="M44" s="1120">
        <v>3770</v>
      </c>
      <c r="N44" s="1120">
        <v>3096</v>
      </c>
      <c r="O44" s="1120">
        <v>2658</v>
      </c>
      <c r="P44" s="1120">
        <v>2596</v>
      </c>
      <c r="Q44" s="1120">
        <v>2125</v>
      </c>
      <c r="R44" s="1120">
        <v>2263</v>
      </c>
      <c r="S44" s="1120">
        <v>2179</v>
      </c>
      <c r="T44" s="1120">
        <v>2252</v>
      </c>
      <c r="U44" s="1129">
        <v>2406</v>
      </c>
      <c r="V44" s="1103">
        <v>2752</v>
      </c>
      <c r="W44" s="1103">
        <v>3041</v>
      </c>
      <c r="AA44" s="812"/>
      <c r="AB44" s="812"/>
      <c r="AC44" s="812"/>
    </row>
    <row r="45" spans="1:29">
      <c r="A45" s="1118"/>
      <c r="C45" s="1119" t="s">
        <v>290</v>
      </c>
      <c r="D45" s="1120">
        <v>105027</v>
      </c>
      <c r="E45" s="1120">
        <v>121942</v>
      </c>
      <c r="F45" s="1120">
        <v>125249</v>
      </c>
      <c r="G45" s="1120">
        <v>128438</v>
      </c>
      <c r="H45" s="1120">
        <v>126691</v>
      </c>
      <c r="I45" s="1120">
        <v>126988</v>
      </c>
      <c r="J45" s="1120">
        <v>131461</v>
      </c>
      <c r="K45" s="1120">
        <v>137671</v>
      </c>
      <c r="L45" s="1120">
        <v>147694</v>
      </c>
      <c r="M45" s="1120">
        <v>159248</v>
      </c>
      <c r="N45" s="1120">
        <v>163185</v>
      </c>
      <c r="O45" s="1120">
        <v>166376</v>
      </c>
      <c r="P45" s="1120">
        <v>162297</v>
      </c>
      <c r="Q45" s="1120">
        <v>158190</v>
      </c>
      <c r="R45" s="1120">
        <v>161646</v>
      </c>
      <c r="S45" s="1120">
        <v>170377</v>
      </c>
      <c r="T45" s="1120">
        <v>179500</v>
      </c>
      <c r="U45" s="1129">
        <v>184746</v>
      </c>
      <c r="V45" s="1103">
        <v>181505</v>
      </c>
      <c r="W45" s="1103">
        <v>189158</v>
      </c>
      <c r="AA45" s="812"/>
      <c r="AB45" s="812"/>
      <c r="AC45" s="812"/>
    </row>
    <row r="46" spans="1:29">
      <c r="A46" s="1118"/>
      <c r="C46" s="1119" t="s">
        <v>57</v>
      </c>
      <c r="D46" s="1120">
        <v>4933</v>
      </c>
      <c r="E46" s="1120">
        <v>6824</v>
      </c>
      <c r="F46" s="1120">
        <v>7538</v>
      </c>
      <c r="G46" s="1120">
        <v>6471</v>
      </c>
      <c r="H46" s="1120">
        <v>5500</v>
      </c>
      <c r="I46" s="1120">
        <v>3478</v>
      </c>
      <c r="J46" s="1120">
        <v>4340</v>
      </c>
      <c r="K46" s="1120">
        <v>5279</v>
      </c>
      <c r="L46" s="1120">
        <v>5813</v>
      </c>
      <c r="M46" s="1120">
        <v>7418</v>
      </c>
      <c r="N46" s="1120">
        <v>7525</v>
      </c>
      <c r="O46" s="1120">
        <v>8414</v>
      </c>
      <c r="P46" s="1120">
        <v>8837</v>
      </c>
      <c r="Q46" s="1120">
        <v>8144</v>
      </c>
      <c r="R46" s="1120">
        <v>8547</v>
      </c>
      <c r="S46" s="1120">
        <v>9971</v>
      </c>
      <c r="T46" s="1120">
        <v>10289</v>
      </c>
      <c r="U46" s="1129">
        <v>10909</v>
      </c>
      <c r="V46" s="1103">
        <v>11695</v>
      </c>
      <c r="W46" s="1103">
        <v>12475</v>
      </c>
      <c r="AA46" s="812"/>
      <c r="AB46" s="812"/>
      <c r="AC46" s="812"/>
    </row>
    <row r="47" spans="1:29">
      <c r="A47" s="1118"/>
      <c r="C47" s="1119" t="s">
        <v>58</v>
      </c>
      <c r="D47" s="1120">
        <v>12892</v>
      </c>
      <c r="E47" s="1120">
        <v>16310</v>
      </c>
      <c r="F47" s="1120">
        <v>20627</v>
      </c>
      <c r="G47" s="1120">
        <v>21408</v>
      </c>
      <c r="H47" s="1120">
        <v>21174</v>
      </c>
      <c r="I47" s="1120">
        <v>20602</v>
      </c>
      <c r="J47" s="1120">
        <v>22134</v>
      </c>
      <c r="K47" s="1120">
        <v>22985</v>
      </c>
      <c r="L47" s="1120">
        <v>24189</v>
      </c>
      <c r="M47" s="1120">
        <v>27387</v>
      </c>
      <c r="N47" s="1120">
        <v>29379</v>
      </c>
      <c r="O47" s="1120">
        <v>30426</v>
      </c>
      <c r="P47" s="1120">
        <v>28393</v>
      </c>
      <c r="Q47" s="1120">
        <v>26175</v>
      </c>
      <c r="R47" s="1120">
        <v>24071</v>
      </c>
      <c r="S47" s="1120">
        <v>25328</v>
      </c>
      <c r="T47" s="1120">
        <v>26027</v>
      </c>
      <c r="U47" s="1129">
        <v>25061</v>
      </c>
      <c r="V47" s="1103">
        <v>28974</v>
      </c>
      <c r="W47" s="1103">
        <v>33249</v>
      </c>
      <c r="AA47" s="812"/>
      <c r="AB47" s="812"/>
      <c r="AC47" s="812"/>
    </row>
    <row r="48" spans="1:29">
      <c r="A48" s="1118"/>
      <c r="C48" s="1121" t="s">
        <v>59</v>
      </c>
      <c r="D48" s="1122">
        <v>564</v>
      </c>
      <c r="E48" s="1122">
        <v>921</v>
      </c>
      <c r="F48" s="1122">
        <v>991</v>
      </c>
      <c r="G48" s="1122">
        <v>720</v>
      </c>
      <c r="H48" s="1122">
        <v>836</v>
      </c>
      <c r="I48" s="1122">
        <v>725</v>
      </c>
      <c r="J48" s="1122">
        <v>471</v>
      </c>
      <c r="K48" s="1122">
        <v>573</v>
      </c>
      <c r="L48" s="1122">
        <v>777</v>
      </c>
      <c r="M48" s="1122">
        <v>1326</v>
      </c>
      <c r="N48" s="1122">
        <v>1327</v>
      </c>
      <c r="O48" s="1122">
        <v>1988</v>
      </c>
      <c r="P48" s="1122">
        <v>1807</v>
      </c>
      <c r="Q48" s="1122">
        <v>1729</v>
      </c>
      <c r="R48" s="1122">
        <v>2370</v>
      </c>
      <c r="S48" s="1122">
        <v>2439</v>
      </c>
      <c r="T48" s="1122">
        <v>2491</v>
      </c>
      <c r="U48" s="1129">
        <v>2410</v>
      </c>
      <c r="V48" s="1103">
        <v>2510</v>
      </c>
      <c r="W48" s="1103">
        <v>3124</v>
      </c>
      <c r="AA48" s="812"/>
      <c r="AB48" s="812"/>
      <c r="AC48" s="812"/>
    </row>
    <row r="49" spans="1:29">
      <c r="A49" s="1118"/>
      <c r="C49" t="s">
        <v>62</v>
      </c>
      <c r="D49" s="812">
        <v>129559</v>
      </c>
      <c r="E49" s="812">
        <v>152831</v>
      </c>
      <c r="F49" s="812">
        <v>161402</v>
      </c>
      <c r="G49" s="812">
        <v>162429</v>
      </c>
      <c r="H49" s="812">
        <v>158777</v>
      </c>
      <c r="I49" s="812">
        <v>155243</v>
      </c>
      <c r="J49" s="812">
        <v>162153</v>
      </c>
      <c r="K49" s="812">
        <v>170634</v>
      </c>
      <c r="L49" s="812">
        <v>183451</v>
      </c>
      <c r="M49" s="812">
        <v>200599</v>
      </c>
      <c r="N49" s="812">
        <v>205900</v>
      </c>
      <c r="O49" s="812">
        <v>211241</v>
      </c>
      <c r="P49" s="812">
        <v>205135</v>
      </c>
      <c r="Q49" s="812">
        <f t="shared" ref="Q49" si="17">SUM(Q43:Q48)</f>
        <v>197540</v>
      </c>
      <c r="R49" s="812">
        <f t="shared" ref="R49" si="18">SUM(R43:R48)</f>
        <v>200230</v>
      </c>
      <c r="S49" s="812">
        <f t="shared" ref="S49" si="19">SUM(S43:S48)</f>
        <v>211631</v>
      </c>
      <c r="T49" s="812">
        <v>222272</v>
      </c>
      <c r="U49" s="1130">
        <f>SUM(U43:U48)</f>
        <v>227049</v>
      </c>
      <c r="V49" s="1136">
        <f>SUM(V43:V48)</f>
        <v>229133</v>
      </c>
      <c r="W49" s="1136">
        <f>SUM(W43:W48)</f>
        <v>242807</v>
      </c>
      <c r="AA49" s="812"/>
      <c r="AB49" s="812"/>
      <c r="AC49" s="812"/>
    </row>
    <row r="50" spans="1:29">
      <c r="A50" s="1118"/>
      <c r="B50" s="1116" t="s">
        <v>276</v>
      </c>
      <c r="C50" s="1116" t="s">
        <v>54</v>
      </c>
      <c r="D50" s="1117">
        <v>65249</v>
      </c>
      <c r="E50" s="1117">
        <v>96839</v>
      </c>
      <c r="F50" s="1117">
        <v>105841</v>
      </c>
      <c r="G50" s="1117">
        <v>103955</v>
      </c>
      <c r="H50" s="1117">
        <v>77749</v>
      </c>
      <c r="I50" s="1117">
        <v>69028</v>
      </c>
      <c r="J50" s="1117">
        <v>93076</v>
      </c>
      <c r="K50" s="1117">
        <v>103305</v>
      </c>
      <c r="L50" s="1117">
        <v>106228</v>
      </c>
      <c r="M50" s="1117">
        <v>131743</v>
      </c>
      <c r="N50" s="1117">
        <v>124045</v>
      </c>
      <c r="O50" s="1117">
        <v>130110</v>
      </c>
      <c r="P50" s="1117">
        <v>118193</v>
      </c>
      <c r="Q50" s="1117">
        <v>102378</v>
      </c>
      <c r="R50" s="1117">
        <v>99721</v>
      </c>
      <c r="S50" s="1117">
        <v>121148</v>
      </c>
      <c r="T50" s="1131">
        <v>135607</v>
      </c>
      <c r="U50" s="1132">
        <v>132502</v>
      </c>
      <c r="V50" s="1101">
        <v>135250</v>
      </c>
      <c r="W50" s="1101">
        <v>153675</v>
      </c>
      <c r="AA50" s="812"/>
      <c r="AB50" s="812"/>
      <c r="AC50" s="812"/>
    </row>
    <row r="51" spans="1:29">
      <c r="A51" s="1118"/>
      <c r="C51" s="1121" t="s">
        <v>59</v>
      </c>
      <c r="D51" s="1122">
        <v>2824</v>
      </c>
      <c r="E51" s="1122">
        <v>8687</v>
      </c>
      <c r="F51" s="1122">
        <v>9794</v>
      </c>
      <c r="G51" s="1122">
        <v>9204</v>
      </c>
      <c r="H51" s="1122">
        <v>2394</v>
      </c>
      <c r="I51" s="1122">
        <v>3688</v>
      </c>
      <c r="J51" s="1122">
        <v>3139</v>
      </c>
      <c r="K51" s="1122">
        <v>3795</v>
      </c>
      <c r="L51" s="1122">
        <v>3570</v>
      </c>
      <c r="M51" s="1122">
        <v>4662</v>
      </c>
      <c r="N51" s="1122">
        <v>1924</v>
      </c>
      <c r="O51" s="1122">
        <v>1980</v>
      </c>
      <c r="P51" s="1122">
        <v>1948</v>
      </c>
      <c r="Q51" s="1122">
        <v>1567</v>
      </c>
      <c r="R51" s="1122">
        <v>930</v>
      </c>
      <c r="S51" s="1122">
        <v>1152</v>
      </c>
      <c r="T51" s="1133">
        <v>2000</v>
      </c>
      <c r="U51" s="1129">
        <v>943</v>
      </c>
      <c r="V51" s="1103">
        <v>635</v>
      </c>
      <c r="W51" s="1103">
        <v>1554</v>
      </c>
      <c r="AA51" s="812"/>
      <c r="AB51" s="812"/>
      <c r="AC51" s="812"/>
    </row>
    <row r="52" spans="1:29">
      <c r="A52" s="1118"/>
      <c r="B52" s="1123"/>
      <c r="C52" s="1123" t="s">
        <v>62</v>
      </c>
      <c r="D52" s="1124">
        <v>68073</v>
      </c>
      <c r="E52" s="1124">
        <v>105526</v>
      </c>
      <c r="F52" s="1124">
        <v>115635</v>
      </c>
      <c r="G52" s="1124">
        <v>113159</v>
      </c>
      <c r="H52" s="1124">
        <v>80143</v>
      </c>
      <c r="I52" s="1124">
        <v>72716</v>
      </c>
      <c r="J52" s="1124">
        <v>96215</v>
      </c>
      <c r="K52" s="1124">
        <v>107100</v>
      </c>
      <c r="L52" s="1124">
        <v>109798</v>
      </c>
      <c r="M52" s="1124">
        <v>136405</v>
      </c>
      <c r="N52" s="1124">
        <v>125969</v>
      </c>
      <c r="O52" s="1124">
        <v>132090</v>
      </c>
      <c r="P52" s="1124">
        <v>120141</v>
      </c>
      <c r="Q52" s="1124">
        <v>103945</v>
      </c>
      <c r="R52" s="1124">
        <f t="shared" ref="R52" si="20">SUM(R50:R51)</f>
        <v>100651</v>
      </c>
      <c r="S52" s="1124">
        <f t="shared" ref="S52" si="21">SUM(S50:S51)</f>
        <v>122300</v>
      </c>
      <c r="T52" s="1124">
        <v>137607</v>
      </c>
      <c r="U52" s="1130">
        <f>SUM(U50:U51)</f>
        <v>133445</v>
      </c>
      <c r="V52" s="781">
        <f>SUM(V50:V51)</f>
        <v>135885</v>
      </c>
      <c r="W52" s="781">
        <f>SUM(W50:W51)</f>
        <v>155229</v>
      </c>
      <c r="AA52" s="812"/>
      <c r="AB52" s="812"/>
      <c r="AC52" s="812"/>
    </row>
    <row r="53" spans="1:29">
      <c r="A53" s="1118"/>
      <c r="B53" t="s">
        <v>293</v>
      </c>
      <c r="C53" t="s">
        <v>54</v>
      </c>
      <c r="D53" s="812">
        <v>15107</v>
      </c>
      <c r="E53" s="812">
        <v>22484</v>
      </c>
      <c r="F53" s="812">
        <v>33779</v>
      </c>
      <c r="G53" s="812">
        <v>45560</v>
      </c>
      <c r="H53" s="812">
        <v>54478</v>
      </c>
      <c r="I53" s="812">
        <v>60888</v>
      </c>
      <c r="J53" s="812">
        <v>71527</v>
      </c>
      <c r="K53" s="812">
        <v>74809</v>
      </c>
      <c r="L53" s="812">
        <v>101474</v>
      </c>
      <c r="M53" s="812">
        <v>100826</v>
      </c>
      <c r="N53" s="812">
        <v>101919</v>
      </c>
      <c r="O53" s="812">
        <v>105523</v>
      </c>
      <c r="P53" s="812">
        <v>133353</v>
      </c>
      <c r="Q53" s="812">
        <v>135643</v>
      </c>
      <c r="R53" s="812">
        <v>167878</v>
      </c>
      <c r="S53" s="812">
        <v>187002</v>
      </c>
      <c r="T53" s="812">
        <v>200142</v>
      </c>
      <c r="U53" s="1132">
        <v>217646</v>
      </c>
      <c r="V53" s="1101">
        <v>250654</v>
      </c>
      <c r="W53" s="1101">
        <v>316303</v>
      </c>
      <c r="AA53" s="812"/>
      <c r="AB53" s="812"/>
      <c r="AC53" s="812"/>
    </row>
    <row r="54" spans="1:29">
      <c r="A54" s="1118"/>
      <c r="C54" s="1119" t="s">
        <v>55</v>
      </c>
      <c r="D54" s="1120">
        <v>871</v>
      </c>
      <c r="E54" s="1120">
        <v>1177</v>
      </c>
      <c r="F54" s="1120">
        <v>1514</v>
      </c>
      <c r="G54" s="1120">
        <v>1871</v>
      </c>
      <c r="H54" s="1120">
        <v>2121</v>
      </c>
      <c r="I54" s="1120">
        <v>2035</v>
      </c>
      <c r="J54" s="1120">
        <v>1884</v>
      </c>
      <c r="K54" s="1120">
        <v>1972</v>
      </c>
      <c r="L54" s="1120">
        <v>2286</v>
      </c>
      <c r="M54" s="1120">
        <v>2364</v>
      </c>
      <c r="N54" s="1120">
        <v>2586</v>
      </c>
      <c r="O54" s="1120">
        <v>2564</v>
      </c>
      <c r="P54" s="1120">
        <v>2620</v>
      </c>
      <c r="Q54" s="1120">
        <v>2610</v>
      </c>
      <c r="R54" s="1120">
        <v>2807</v>
      </c>
      <c r="S54" s="1120">
        <v>3455</v>
      </c>
      <c r="T54" s="1120">
        <v>3629</v>
      </c>
      <c r="U54" s="1129">
        <v>3530</v>
      </c>
      <c r="V54" s="1103">
        <v>4397</v>
      </c>
      <c r="W54" s="1103">
        <v>4879</v>
      </c>
      <c r="AA54" s="812"/>
      <c r="AB54" s="812"/>
      <c r="AC54" s="812"/>
    </row>
    <row r="55" spans="1:29">
      <c r="A55" s="1118"/>
      <c r="C55" s="1119" t="s">
        <v>290</v>
      </c>
      <c r="D55" s="1120">
        <v>223</v>
      </c>
      <c r="E55" s="1120">
        <v>246</v>
      </c>
      <c r="F55" s="1120">
        <v>227</v>
      </c>
      <c r="G55" s="1120">
        <v>263</v>
      </c>
      <c r="H55" s="1120">
        <v>423</v>
      </c>
      <c r="I55" s="1120">
        <v>328</v>
      </c>
      <c r="J55" s="1120">
        <v>344</v>
      </c>
      <c r="K55" s="1120">
        <v>363</v>
      </c>
      <c r="L55" s="1120">
        <v>442</v>
      </c>
      <c r="M55" s="1120">
        <v>730</v>
      </c>
      <c r="N55" s="1120">
        <v>888</v>
      </c>
      <c r="O55" s="1120">
        <v>899</v>
      </c>
      <c r="P55" s="1120">
        <v>1127</v>
      </c>
      <c r="Q55" s="1120">
        <v>894</v>
      </c>
      <c r="R55" s="1120">
        <v>915</v>
      </c>
      <c r="S55" s="1120">
        <v>1226</v>
      </c>
      <c r="T55" s="1120">
        <v>977</v>
      </c>
      <c r="U55" s="1129">
        <v>1499</v>
      </c>
      <c r="V55" s="1103">
        <v>2243</v>
      </c>
      <c r="W55" s="1103">
        <v>1984</v>
      </c>
      <c r="AA55" s="812"/>
      <c r="AB55" s="812"/>
      <c r="AC55" s="812"/>
    </row>
    <row r="56" spans="1:29">
      <c r="A56" s="1118"/>
      <c r="C56" s="1119" t="s">
        <v>57</v>
      </c>
      <c r="D56" s="1120">
        <v>925</v>
      </c>
      <c r="E56" s="1120">
        <v>1307</v>
      </c>
      <c r="F56" s="1120">
        <v>1649</v>
      </c>
      <c r="G56" s="1120">
        <v>1996</v>
      </c>
      <c r="H56" s="1120">
        <v>2522</v>
      </c>
      <c r="I56" s="1120">
        <v>2431</v>
      </c>
      <c r="J56" s="1120">
        <v>2838</v>
      </c>
      <c r="K56" s="1120">
        <v>2850</v>
      </c>
      <c r="L56" s="1120">
        <v>3172</v>
      </c>
      <c r="M56" s="1120">
        <v>3448</v>
      </c>
      <c r="N56" s="1120">
        <v>4003</v>
      </c>
      <c r="O56" s="1120">
        <v>4493</v>
      </c>
      <c r="P56" s="1120">
        <v>4927</v>
      </c>
      <c r="Q56" s="1120">
        <v>5036</v>
      </c>
      <c r="R56" s="1120">
        <v>5328</v>
      </c>
      <c r="S56" s="1120">
        <v>6048</v>
      </c>
      <c r="T56" s="1120">
        <v>6436</v>
      </c>
      <c r="U56" s="1129">
        <v>6782</v>
      </c>
      <c r="V56" s="1103">
        <v>6567</v>
      </c>
      <c r="W56" s="1103">
        <v>7541</v>
      </c>
      <c r="AA56" s="812"/>
      <c r="AB56" s="812"/>
      <c r="AC56" s="812"/>
    </row>
    <row r="57" spans="1:29">
      <c r="A57" s="1118"/>
      <c r="C57" s="1119" t="s">
        <v>58</v>
      </c>
      <c r="D57" s="1120">
        <v>754</v>
      </c>
      <c r="E57" s="1120">
        <v>907</v>
      </c>
      <c r="F57" s="1120">
        <v>1058</v>
      </c>
      <c r="G57" s="1120">
        <v>1568</v>
      </c>
      <c r="H57" s="1120">
        <v>2410</v>
      </c>
      <c r="I57" s="1120">
        <v>3348</v>
      </c>
      <c r="J57" s="1120">
        <v>3906</v>
      </c>
      <c r="K57" s="1120">
        <v>4304</v>
      </c>
      <c r="L57" s="1120">
        <v>5292</v>
      </c>
      <c r="M57" s="1120">
        <v>6112</v>
      </c>
      <c r="N57" s="1120">
        <v>7365</v>
      </c>
      <c r="O57" s="1120">
        <v>7779</v>
      </c>
      <c r="P57" s="1120">
        <v>8948</v>
      </c>
      <c r="Q57" s="1120">
        <v>9390</v>
      </c>
      <c r="R57" s="1120">
        <v>9890</v>
      </c>
      <c r="S57" s="1120">
        <v>11096</v>
      </c>
      <c r="T57" s="1120">
        <v>11463</v>
      </c>
      <c r="U57" s="1129">
        <v>11848</v>
      </c>
      <c r="V57" s="1103">
        <v>12511</v>
      </c>
      <c r="W57" s="1103">
        <v>11765</v>
      </c>
      <c r="AA57" s="812"/>
      <c r="AB57" s="812"/>
      <c r="AC57" s="812"/>
    </row>
    <row r="58" spans="1:29">
      <c r="A58" s="1118"/>
      <c r="C58" s="1121" t="s">
        <v>59</v>
      </c>
      <c r="D58" s="1122">
        <v>868</v>
      </c>
      <c r="E58" s="1122">
        <v>1059</v>
      </c>
      <c r="F58" s="1122">
        <v>2034</v>
      </c>
      <c r="G58" s="1122">
        <v>1616</v>
      </c>
      <c r="H58" s="1122">
        <v>1538</v>
      </c>
      <c r="I58" s="1122">
        <v>1011</v>
      </c>
      <c r="J58" s="1122">
        <v>1685</v>
      </c>
      <c r="K58" s="1122">
        <v>2498</v>
      </c>
      <c r="L58" s="1122">
        <v>3271</v>
      </c>
      <c r="M58" s="1122">
        <v>3720</v>
      </c>
      <c r="N58" s="1122">
        <v>3423</v>
      </c>
      <c r="O58" s="1122">
        <v>4547</v>
      </c>
      <c r="P58" s="1122">
        <v>4061</v>
      </c>
      <c r="Q58" s="1122">
        <v>4669</v>
      </c>
      <c r="R58" s="1122">
        <v>5530</v>
      </c>
      <c r="S58" s="1122">
        <v>6902</v>
      </c>
      <c r="T58" s="1122">
        <v>6915</v>
      </c>
      <c r="U58" s="1129">
        <v>7328</v>
      </c>
      <c r="V58" s="1103">
        <v>7360</v>
      </c>
      <c r="W58" s="1103">
        <v>8765</v>
      </c>
      <c r="AA58" s="812"/>
      <c r="AB58" s="812"/>
      <c r="AC58" s="812"/>
    </row>
    <row r="59" spans="1:29">
      <c r="A59" s="1118"/>
      <c r="C59" t="s">
        <v>62</v>
      </c>
      <c r="D59" s="812">
        <v>18748</v>
      </c>
      <c r="E59" s="812">
        <v>27180</v>
      </c>
      <c r="F59" s="812">
        <v>40261</v>
      </c>
      <c r="G59" s="812">
        <v>52874</v>
      </c>
      <c r="H59" s="812">
        <v>63492</v>
      </c>
      <c r="I59" s="812">
        <v>70041</v>
      </c>
      <c r="J59" s="812">
        <v>82184</v>
      </c>
      <c r="K59" s="812">
        <v>86796</v>
      </c>
      <c r="L59" s="812">
        <v>115937</v>
      </c>
      <c r="M59" s="812">
        <v>117200</v>
      </c>
      <c r="N59" s="812">
        <v>120184</v>
      </c>
      <c r="O59" s="812">
        <v>125805</v>
      </c>
      <c r="P59" s="812">
        <v>155036</v>
      </c>
      <c r="Q59" s="812">
        <f t="shared" ref="Q59" si="22">SUM(Q53:Q58)</f>
        <v>158242</v>
      </c>
      <c r="R59" s="812">
        <f t="shared" ref="R59" si="23">SUM(R53:R58)</f>
        <v>192348</v>
      </c>
      <c r="S59" s="812">
        <f t="shared" ref="S59" si="24">SUM(S53:S58)</f>
        <v>215729</v>
      </c>
      <c r="T59" s="812">
        <v>229562</v>
      </c>
      <c r="U59" s="1130">
        <f>SUM(U53:U58)</f>
        <v>248633</v>
      </c>
      <c r="V59" s="550">
        <f>SUM(V53:V58)</f>
        <v>283732</v>
      </c>
      <c r="W59" s="550">
        <f>SUM(W53:W58)</f>
        <v>351237</v>
      </c>
      <c r="AA59" s="812"/>
      <c r="AB59" s="812"/>
      <c r="AC59" s="812"/>
    </row>
    <row r="60" spans="1:29">
      <c r="A60" s="809"/>
      <c r="B60" s="1125" t="s">
        <v>62</v>
      </c>
      <c r="C60" s="1125"/>
      <c r="D60" s="1126">
        <v>216380</v>
      </c>
      <c r="E60" s="1126">
        <v>285537</v>
      </c>
      <c r="F60" s="1126">
        <v>317298</v>
      </c>
      <c r="G60" s="1126">
        <v>328462</v>
      </c>
      <c r="H60" s="1126">
        <v>302412</v>
      </c>
      <c r="I60" s="1126">
        <v>298000</v>
      </c>
      <c r="J60" s="1126">
        <v>340552</v>
      </c>
      <c r="K60" s="1126">
        <v>364530</v>
      </c>
      <c r="L60" s="1126">
        <v>409186</v>
      </c>
      <c r="M60" s="1126">
        <v>454204</v>
      </c>
      <c r="N60" s="1126">
        <v>452053</v>
      </c>
      <c r="O60" s="1126">
        <v>469136</v>
      </c>
      <c r="P60" s="1126">
        <v>480312</v>
      </c>
      <c r="Q60" s="1126">
        <v>459727</v>
      </c>
      <c r="R60" s="1126">
        <f t="shared" ref="R60" si="25">R49+R52+R59</f>
        <v>493229</v>
      </c>
      <c r="S60" s="1126">
        <f t="shared" ref="S60" si="26">S49+S52+S59</f>
        <v>549660</v>
      </c>
      <c r="T60" s="1126">
        <v>589441</v>
      </c>
      <c r="U60" s="1135">
        <f>U49+U52+U59</f>
        <v>609127</v>
      </c>
      <c r="V60" s="125">
        <f>V49+V52+V59</f>
        <v>648750</v>
      </c>
      <c r="W60" s="125">
        <f>W49+W52+W59</f>
        <v>749273</v>
      </c>
      <c r="AA60" s="812"/>
      <c r="AB60" s="812"/>
      <c r="AC60" s="812"/>
    </row>
    <row r="61" spans="1:29">
      <c r="A61" s="1109" t="s">
        <v>57</v>
      </c>
      <c r="B61" s="1116" t="s">
        <v>275</v>
      </c>
      <c r="C61" s="1116" t="s">
        <v>54</v>
      </c>
      <c r="D61" s="1117">
        <v>105</v>
      </c>
      <c r="E61" s="1117">
        <v>93</v>
      </c>
      <c r="F61" s="1117">
        <v>219</v>
      </c>
      <c r="G61" s="1117">
        <v>245</v>
      </c>
      <c r="H61" s="1117">
        <v>271</v>
      </c>
      <c r="I61" s="1117">
        <v>237</v>
      </c>
      <c r="J61" s="1117">
        <v>208</v>
      </c>
      <c r="K61" s="1117">
        <v>206</v>
      </c>
      <c r="L61" s="1117">
        <v>249</v>
      </c>
      <c r="M61" s="1117">
        <v>400</v>
      </c>
      <c r="N61" s="1117">
        <v>733</v>
      </c>
      <c r="O61" s="1117">
        <v>1044</v>
      </c>
      <c r="P61" s="1117">
        <v>1252</v>
      </c>
      <c r="Q61" s="1117">
        <v>1850</v>
      </c>
      <c r="R61" s="1117">
        <v>1475</v>
      </c>
      <c r="S61" s="1117">
        <v>1538</v>
      </c>
      <c r="T61" s="1128">
        <v>3152</v>
      </c>
      <c r="U61" s="1132">
        <v>2752</v>
      </c>
      <c r="V61" s="1101">
        <v>3835</v>
      </c>
      <c r="W61" s="1101">
        <v>4417</v>
      </c>
      <c r="AA61" s="812"/>
      <c r="AB61" s="812"/>
      <c r="AC61" s="812"/>
    </row>
    <row r="62" spans="1:29">
      <c r="A62" s="1118"/>
      <c r="C62" s="1119" t="s">
        <v>55</v>
      </c>
      <c r="D62" s="1120">
        <v>112</v>
      </c>
      <c r="E62" s="1120">
        <v>156</v>
      </c>
      <c r="F62" s="1120">
        <v>221</v>
      </c>
      <c r="G62" s="1120">
        <v>269</v>
      </c>
      <c r="H62" s="1120">
        <v>311</v>
      </c>
      <c r="I62" s="1120">
        <v>393</v>
      </c>
      <c r="J62" s="1120">
        <v>424</v>
      </c>
      <c r="K62" s="1120">
        <v>447</v>
      </c>
      <c r="L62" s="1120">
        <v>561</v>
      </c>
      <c r="M62" s="1120">
        <v>630</v>
      </c>
      <c r="N62" s="1120">
        <v>752</v>
      </c>
      <c r="O62" s="1120">
        <v>635</v>
      </c>
      <c r="P62" s="1120">
        <v>675</v>
      </c>
      <c r="Q62" s="1120">
        <v>808</v>
      </c>
      <c r="R62" s="1120">
        <v>1736</v>
      </c>
      <c r="S62" s="1120">
        <v>3056</v>
      </c>
      <c r="T62" s="1120">
        <v>3076</v>
      </c>
      <c r="U62" s="1129">
        <v>2505</v>
      </c>
      <c r="V62" s="1103">
        <v>2340</v>
      </c>
      <c r="W62" s="1103">
        <v>2546</v>
      </c>
      <c r="AA62" s="812"/>
      <c r="AB62" s="812"/>
      <c r="AC62" s="812"/>
    </row>
    <row r="63" spans="1:29">
      <c r="A63" s="1118"/>
      <c r="C63" s="1119" t="s">
        <v>290</v>
      </c>
      <c r="D63" s="1120">
        <v>48</v>
      </c>
      <c r="E63" s="1120">
        <v>34</v>
      </c>
      <c r="F63" s="1120">
        <v>50</v>
      </c>
      <c r="G63" s="1120">
        <v>82</v>
      </c>
      <c r="H63" s="1120">
        <v>161</v>
      </c>
      <c r="I63" s="1120">
        <v>128</v>
      </c>
      <c r="J63" s="1120">
        <v>116</v>
      </c>
      <c r="K63" s="1120">
        <v>167</v>
      </c>
      <c r="L63" s="1120">
        <v>196</v>
      </c>
      <c r="M63" s="1120">
        <v>224</v>
      </c>
      <c r="N63" s="1120">
        <v>354</v>
      </c>
      <c r="O63" s="1120">
        <v>378</v>
      </c>
      <c r="P63" s="1120">
        <v>541</v>
      </c>
      <c r="Q63" s="1120">
        <v>500</v>
      </c>
      <c r="R63" s="1120">
        <v>599</v>
      </c>
      <c r="S63" s="1120">
        <v>609</v>
      </c>
      <c r="T63" s="1120">
        <v>639</v>
      </c>
      <c r="U63" s="1129">
        <v>1281</v>
      </c>
      <c r="V63" s="1103">
        <v>933</v>
      </c>
      <c r="W63" s="1103">
        <v>630</v>
      </c>
      <c r="AA63" s="812"/>
      <c r="AB63" s="812"/>
      <c r="AC63" s="812"/>
    </row>
    <row r="64" spans="1:29">
      <c r="A64" s="1118"/>
      <c r="C64" s="1119" t="s">
        <v>57</v>
      </c>
      <c r="D64" s="1120">
        <v>65586</v>
      </c>
      <c r="E64" s="1120">
        <v>93172</v>
      </c>
      <c r="F64" s="1120">
        <v>121968</v>
      </c>
      <c r="G64" s="1120">
        <v>152299</v>
      </c>
      <c r="H64" s="1120">
        <v>194005</v>
      </c>
      <c r="I64" s="1120">
        <v>228456</v>
      </c>
      <c r="J64" s="1120">
        <v>291960</v>
      </c>
      <c r="K64" s="1120">
        <v>413540</v>
      </c>
      <c r="L64" s="1120">
        <v>533245</v>
      </c>
      <c r="M64" s="1120">
        <v>702013</v>
      </c>
      <c r="N64" s="1120">
        <v>798074</v>
      </c>
      <c r="O64" s="1120">
        <v>965137</v>
      </c>
      <c r="P64" s="1120">
        <v>1200383</v>
      </c>
      <c r="Q64" s="1120">
        <v>1245128</v>
      </c>
      <c r="R64" s="1120">
        <v>1393195</v>
      </c>
      <c r="S64" s="1120">
        <v>1242826</v>
      </c>
      <c r="T64" s="1120">
        <v>1344166</v>
      </c>
      <c r="U64" s="1129">
        <v>1425749</v>
      </c>
      <c r="V64" s="1103">
        <v>1463796</v>
      </c>
      <c r="W64" s="1103">
        <v>1521441</v>
      </c>
      <c r="AA64" s="812"/>
      <c r="AB64" s="812"/>
      <c r="AC64" s="812"/>
    </row>
    <row r="65" spans="1:29">
      <c r="A65" s="1118"/>
      <c r="C65" s="1119" t="s">
        <v>58</v>
      </c>
      <c r="D65" s="1120">
        <v>1443</v>
      </c>
      <c r="E65" s="1120">
        <v>1858</v>
      </c>
      <c r="F65" s="1120">
        <v>3346</v>
      </c>
      <c r="G65" s="1120">
        <v>3333</v>
      </c>
      <c r="H65" s="1120">
        <v>3732</v>
      </c>
      <c r="I65" s="1120">
        <v>5830</v>
      </c>
      <c r="J65" s="1120">
        <v>6321</v>
      </c>
      <c r="K65" s="1120">
        <v>7090</v>
      </c>
      <c r="L65" s="1120">
        <v>8179</v>
      </c>
      <c r="M65" s="1120">
        <v>9689</v>
      </c>
      <c r="N65" s="1120">
        <v>10827</v>
      </c>
      <c r="O65" s="1120">
        <v>11852</v>
      </c>
      <c r="P65" s="1120">
        <v>15416</v>
      </c>
      <c r="Q65" s="1120">
        <v>16581</v>
      </c>
      <c r="R65" s="1120">
        <v>19874</v>
      </c>
      <c r="S65" s="1120">
        <v>22950</v>
      </c>
      <c r="T65" s="1120">
        <v>25230</v>
      </c>
      <c r="U65" s="1129">
        <v>28410</v>
      </c>
      <c r="V65" s="1103">
        <v>30354</v>
      </c>
      <c r="W65" s="1103">
        <v>33387</v>
      </c>
      <c r="AA65" s="812"/>
      <c r="AB65" s="812"/>
      <c r="AC65" s="812"/>
    </row>
    <row r="66" spans="1:29">
      <c r="A66" s="1118"/>
      <c r="C66" s="1121" t="s">
        <v>59</v>
      </c>
      <c r="D66" s="1122">
        <v>158</v>
      </c>
      <c r="E66" s="1122">
        <v>226</v>
      </c>
      <c r="F66" s="1122">
        <v>439</v>
      </c>
      <c r="G66" s="1122">
        <v>511</v>
      </c>
      <c r="H66" s="1122">
        <v>612</v>
      </c>
      <c r="I66" s="1122">
        <v>664</v>
      </c>
      <c r="J66" s="1122">
        <v>714</v>
      </c>
      <c r="K66" s="1122">
        <v>898</v>
      </c>
      <c r="L66" s="1122">
        <v>1034</v>
      </c>
      <c r="M66" s="1122">
        <v>1353</v>
      </c>
      <c r="N66" s="1122">
        <v>1874</v>
      </c>
      <c r="O66" s="1122">
        <v>1917</v>
      </c>
      <c r="P66" s="1122">
        <v>2381</v>
      </c>
      <c r="Q66" s="1122">
        <v>2772</v>
      </c>
      <c r="R66" s="1122">
        <v>4017</v>
      </c>
      <c r="S66" s="1122">
        <v>3772</v>
      </c>
      <c r="T66" s="1122">
        <v>9058</v>
      </c>
      <c r="U66" s="1129">
        <v>11353</v>
      </c>
      <c r="V66" s="1103">
        <v>11213</v>
      </c>
      <c r="W66" s="1103">
        <v>10873</v>
      </c>
      <c r="AA66" s="812"/>
      <c r="AB66" s="812"/>
      <c r="AC66" s="812"/>
    </row>
    <row r="67" spans="1:29">
      <c r="A67" s="1118"/>
      <c r="C67" t="s">
        <v>62</v>
      </c>
      <c r="D67" s="812">
        <v>67452</v>
      </c>
      <c r="E67" s="812">
        <v>95539</v>
      </c>
      <c r="F67" s="812">
        <v>126243</v>
      </c>
      <c r="G67" s="812">
        <v>156739</v>
      </c>
      <c r="H67" s="812">
        <v>199092</v>
      </c>
      <c r="I67" s="812">
        <v>235708</v>
      </c>
      <c r="J67" s="812">
        <v>299743</v>
      </c>
      <c r="K67" s="812">
        <v>422348</v>
      </c>
      <c r="L67" s="812">
        <v>543464</v>
      </c>
      <c r="M67" s="812">
        <v>714309</v>
      </c>
      <c r="N67" s="812">
        <v>812614</v>
      </c>
      <c r="O67" s="812">
        <v>980963</v>
      </c>
      <c r="P67" s="812">
        <v>1220648</v>
      </c>
      <c r="Q67" s="812">
        <f t="shared" ref="Q67" si="27">SUM(Q61:Q66)</f>
        <v>1267639</v>
      </c>
      <c r="R67" s="812">
        <f t="shared" ref="R67:S67" si="28">SUM(R61:R66)</f>
        <v>1420896</v>
      </c>
      <c r="S67" s="812">
        <f t="shared" si="28"/>
        <v>1274751</v>
      </c>
      <c r="T67" s="1106">
        <v>1385321</v>
      </c>
      <c r="U67" s="1130">
        <f>SUM(U61:U66)</f>
        <v>1472050</v>
      </c>
      <c r="V67" s="781">
        <f>SUM(V61:V66)</f>
        <v>1512471</v>
      </c>
      <c r="W67" s="781">
        <f>SUM(W61:W66)</f>
        <v>1573294</v>
      </c>
      <c r="AA67" s="812"/>
      <c r="AB67" s="812"/>
      <c r="AC67" s="812"/>
    </row>
    <row r="68" spans="1:29">
      <c r="A68" s="1118"/>
      <c r="B68" s="1116" t="s">
        <v>276</v>
      </c>
      <c r="C68" s="1116" t="s">
        <v>54</v>
      </c>
      <c r="D68" s="1117">
        <v>5090</v>
      </c>
      <c r="E68" s="1117">
        <v>6331</v>
      </c>
      <c r="F68" s="1117">
        <v>8947</v>
      </c>
      <c r="G68" s="1117">
        <v>12835</v>
      </c>
      <c r="H68" s="1117">
        <v>12934</v>
      </c>
      <c r="I68" s="1117">
        <v>12669</v>
      </c>
      <c r="J68" s="1117">
        <v>16366</v>
      </c>
      <c r="K68" s="1117">
        <v>19601</v>
      </c>
      <c r="L68" s="1117">
        <v>20199</v>
      </c>
      <c r="M68" s="1117">
        <v>32211</v>
      </c>
      <c r="N68" s="1117">
        <v>32556</v>
      </c>
      <c r="O68" s="1117">
        <v>39324</v>
      </c>
      <c r="P68" s="1117">
        <v>62439</v>
      </c>
      <c r="Q68" s="1117">
        <v>73669</v>
      </c>
      <c r="R68" s="1117">
        <v>87182</v>
      </c>
      <c r="S68" s="1117">
        <v>99912</v>
      </c>
      <c r="T68" s="1131">
        <v>100559</v>
      </c>
      <c r="U68" s="1132">
        <v>129487</v>
      </c>
      <c r="V68" s="1101">
        <v>128112</v>
      </c>
      <c r="W68">
        <v>131985</v>
      </c>
      <c r="AA68" s="812"/>
      <c r="AB68" s="812"/>
      <c r="AC68" s="812"/>
    </row>
    <row r="69" spans="1:29">
      <c r="A69" s="1118"/>
      <c r="C69" s="1121" t="s">
        <v>59</v>
      </c>
      <c r="D69" s="1122">
        <v>235</v>
      </c>
      <c r="E69" s="1122">
        <v>576</v>
      </c>
      <c r="F69" s="1122">
        <v>824</v>
      </c>
      <c r="G69" s="1122">
        <v>1159</v>
      </c>
      <c r="H69" s="1122">
        <v>379</v>
      </c>
      <c r="I69" s="1122">
        <v>570</v>
      </c>
      <c r="J69" s="1122">
        <v>566</v>
      </c>
      <c r="K69" s="1122">
        <v>678</v>
      </c>
      <c r="L69" s="1122">
        <v>687</v>
      </c>
      <c r="M69" s="1122">
        <v>1189</v>
      </c>
      <c r="N69" s="1122">
        <v>2150</v>
      </c>
      <c r="O69" s="1122">
        <v>962</v>
      </c>
      <c r="P69" s="1122">
        <v>1643</v>
      </c>
      <c r="Q69" s="1122">
        <v>1319</v>
      </c>
      <c r="R69" s="1122">
        <v>1894</v>
      </c>
      <c r="S69" s="1122">
        <v>1999</v>
      </c>
      <c r="T69" s="1133">
        <v>2420</v>
      </c>
      <c r="U69" s="1129">
        <v>1272</v>
      </c>
      <c r="V69" s="1103">
        <v>1378</v>
      </c>
      <c r="W69" s="1103">
        <v>1676</v>
      </c>
      <c r="AA69" s="812"/>
      <c r="AB69" s="812"/>
      <c r="AC69" s="812"/>
    </row>
    <row r="70" spans="1:29">
      <c r="A70" s="1118"/>
      <c r="B70" s="1123"/>
      <c r="C70" s="1123" t="s">
        <v>62</v>
      </c>
      <c r="D70" s="1124">
        <v>5325</v>
      </c>
      <c r="E70" s="1124">
        <v>6907</v>
      </c>
      <c r="F70" s="1124">
        <v>9771</v>
      </c>
      <c r="G70" s="1124">
        <v>13994</v>
      </c>
      <c r="H70" s="1124">
        <v>13313</v>
      </c>
      <c r="I70" s="1124">
        <v>13239</v>
      </c>
      <c r="J70" s="1124">
        <v>16932</v>
      </c>
      <c r="K70" s="1124">
        <v>20279</v>
      </c>
      <c r="L70" s="1124">
        <v>20886</v>
      </c>
      <c r="M70" s="1124">
        <v>33400</v>
      </c>
      <c r="N70" s="1124">
        <v>34706</v>
      </c>
      <c r="O70" s="1124">
        <v>40286</v>
      </c>
      <c r="P70" s="1124">
        <v>64082</v>
      </c>
      <c r="Q70" s="1124">
        <v>74988</v>
      </c>
      <c r="R70" s="1124">
        <f t="shared" ref="R70" si="29">SUM(R68:R69)</f>
        <v>89076</v>
      </c>
      <c r="S70" s="1124">
        <f t="shared" ref="S70" si="30">SUM(S68:S69)</f>
        <v>101911</v>
      </c>
      <c r="T70" s="1134">
        <v>102979</v>
      </c>
      <c r="U70" s="1130">
        <f>SUM(U68:U69)</f>
        <v>130759</v>
      </c>
      <c r="V70" s="781">
        <f>SUM(V68:V69)</f>
        <v>129490</v>
      </c>
      <c r="W70" s="781">
        <f>SUM(W68:W69)</f>
        <v>133661</v>
      </c>
      <c r="AA70" s="812"/>
      <c r="AB70" s="812"/>
      <c r="AC70" s="812"/>
    </row>
    <row r="71" spans="1:29">
      <c r="A71" s="1118"/>
      <c r="B71" t="s">
        <v>293</v>
      </c>
      <c r="C71" t="s">
        <v>54</v>
      </c>
      <c r="D71" s="812">
        <v>5495</v>
      </c>
      <c r="E71" s="812">
        <v>9129</v>
      </c>
      <c r="F71" s="812">
        <v>12429</v>
      </c>
      <c r="G71" s="812">
        <v>23097</v>
      </c>
      <c r="H71" s="812">
        <v>36095</v>
      </c>
      <c r="I71" s="812">
        <v>41842</v>
      </c>
      <c r="J71" s="812">
        <v>54564</v>
      </c>
      <c r="K71" s="812">
        <v>71878</v>
      </c>
      <c r="L71" s="812">
        <v>114514</v>
      </c>
      <c r="M71" s="812">
        <v>118315</v>
      </c>
      <c r="N71" s="812">
        <v>140520</v>
      </c>
      <c r="O71" s="812">
        <v>172748</v>
      </c>
      <c r="P71" s="812">
        <v>201657</v>
      </c>
      <c r="Q71" s="812">
        <v>246505</v>
      </c>
      <c r="R71" s="812">
        <v>264428</v>
      </c>
      <c r="S71" s="812">
        <v>353331</v>
      </c>
      <c r="T71" s="812">
        <v>397466</v>
      </c>
      <c r="U71" s="1132">
        <v>486384</v>
      </c>
      <c r="V71" s="1101">
        <v>594081</v>
      </c>
      <c r="W71" s="1101">
        <v>652398</v>
      </c>
      <c r="AA71" s="812"/>
      <c r="AB71" s="812"/>
      <c r="AC71" s="812"/>
    </row>
    <row r="72" spans="1:29">
      <c r="A72" s="1118"/>
      <c r="C72" s="1119" t="s">
        <v>55</v>
      </c>
      <c r="D72" s="1120">
        <v>143</v>
      </c>
      <c r="E72" s="1120">
        <v>241</v>
      </c>
      <c r="F72" s="1120">
        <v>284</v>
      </c>
      <c r="G72" s="1120">
        <v>397</v>
      </c>
      <c r="H72" s="1120">
        <v>461</v>
      </c>
      <c r="I72" s="1120">
        <v>498</v>
      </c>
      <c r="J72" s="1120">
        <v>639</v>
      </c>
      <c r="K72" s="1120">
        <v>954</v>
      </c>
      <c r="L72" s="1120">
        <v>1461</v>
      </c>
      <c r="M72" s="1120">
        <v>1434</v>
      </c>
      <c r="N72" s="1120">
        <v>1779</v>
      </c>
      <c r="O72" s="1120">
        <v>2205</v>
      </c>
      <c r="P72" s="1120">
        <v>3135</v>
      </c>
      <c r="Q72" s="1120">
        <v>3364</v>
      </c>
      <c r="R72" s="1120">
        <v>3589</v>
      </c>
      <c r="S72" s="1120">
        <v>4891</v>
      </c>
      <c r="T72" s="1120">
        <v>5330</v>
      </c>
      <c r="U72" s="1129">
        <v>6864</v>
      </c>
      <c r="V72" s="1103">
        <v>7502</v>
      </c>
      <c r="W72" s="1103">
        <v>7116</v>
      </c>
      <c r="AA72" s="812"/>
      <c r="AB72" s="812"/>
      <c r="AC72" s="812"/>
    </row>
    <row r="73" spans="1:29">
      <c r="A73" s="1118"/>
      <c r="C73" s="1119" t="s">
        <v>290</v>
      </c>
      <c r="D73" s="1120">
        <v>81</v>
      </c>
      <c r="E73" s="1120">
        <v>114</v>
      </c>
      <c r="F73" s="1120">
        <v>147</v>
      </c>
      <c r="G73" s="1120">
        <v>214</v>
      </c>
      <c r="H73" s="1120">
        <v>320</v>
      </c>
      <c r="I73" s="1120">
        <v>298</v>
      </c>
      <c r="J73" s="1120">
        <v>401</v>
      </c>
      <c r="K73" s="1120">
        <v>585</v>
      </c>
      <c r="L73" s="1120">
        <v>786</v>
      </c>
      <c r="M73" s="1120">
        <v>923</v>
      </c>
      <c r="N73" s="1120">
        <v>1218</v>
      </c>
      <c r="O73" s="1120">
        <v>1569</v>
      </c>
      <c r="P73" s="1120">
        <v>2288</v>
      </c>
      <c r="Q73" s="1120">
        <v>2515</v>
      </c>
      <c r="R73" s="1120">
        <v>2541</v>
      </c>
      <c r="S73" s="1120">
        <v>3114</v>
      </c>
      <c r="T73" s="1120">
        <v>3643</v>
      </c>
      <c r="U73" s="1129">
        <v>5019</v>
      </c>
      <c r="V73" s="1103">
        <v>5387</v>
      </c>
      <c r="W73" s="1103">
        <v>4830</v>
      </c>
      <c r="AA73" s="812"/>
      <c r="AB73" s="812"/>
      <c r="AC73" s="812"/>
    </row>
    <row r="74" spans="1:29">
      <c r="A74" s="1118"/>
      <c r="C74" s="1119" t="s">
        <v>57</v>
      </c>
      <c r="D74" s="1120">
        <v>200</v>
      </c>
      <c r="E74" s="1120">
        <v>313</v>
      </c>
      <c r="F74" s="1120">
        <v>350</v>
      </c>
      <c r="G74" s="1120">
        <v>761</v>
      </c>
      <c r="H74" s="1120">
        <v>574</v>
      </c>
      <c r="I74" s="1120">
        <v>640</v>
      </c>
      <c r="J74" s="1120">
        <v>1107</v>
      </c>
      <c r="K74" s="1120">
        <v>2289</v>
      </c>
      <c r="L74" s="1120">
        <v>2068</v>
      </c>
      <c r="M74" s="1120">
        <v>2923</v>
      </c>
      <c r="N74" s="1120">
        <v>3061</v>
      </c>
      <c r="O74" s="1120">
        <v>3115</v>
      </c>
      <c r="P74" s="1120">
        <v>4598</v>
      </c>
      <c r="Q74" s="1120">
        <v>581</v>
      </c>
      <c r="R74" s="1120">
        <v>620</v>
      </c>
      <c r="S74" s="1120">
        <v>742</v>
      </c>
      <c r="T74" s="1120">
        <v>651</v>
      </c>
      <c r="U74" s="1129">
        <v>895</v>
      </c>
      <c r="V74" s="1103">
        <v>809</v>
      </c>
      <c r="W74" s="1103">
        <v>851</v>
      </c>
      <c r="AA74" s="812"/>
      <c r="AB74" s="812"/>
      <c r="AC74" s="812"/>
    </row>
    <row r="75" spans="1:29">
      <c r="A75" s="1118"/>
      <c r="C75" s="1119" t="s">
        <v>58</v>
      </c>
      <c r="D75" s="1120">
        <v>212</v>
      </c>
      <c r="E75" s="1120">
        <v>269</v>
      </c>
      <c r="F75" s="1120">
        <v>422</v>
      </c>
      <c r="G75" s="1120">
        <v>570</v>
      </c>
      <c r="H75" s="1120">
        <v>723</v>
      </c>
      <c r="I75" s="1120">
        <v>1049</v>
      </c>
      <c r="J75" s="1120">
        <v>1841</v>
      </c>
      <c r="K75" s="1120">
        <v>3455</v>
      </c>
      <c r="L75" s="1120">
        <v>5094</v>
      </c>
      <c r="M75" s="1120">
        <v>5404</v>
      </c>
      <c r="N75" s="1120">
        <v>7213</v>
      </c>
      <c r="O75" s="1120">
        <v>9534</v>
      </c>
      <c r="P75" s="1120">
        <v>10610</v>
      </c>
      <c r="Q75" s="1120">
        <v>13093</v>
      </c>
      <c r="R75" s="1120">
        <v>12741</v>
      </c>
      <c r="S75" s="1120">
        <v>16105</v>
      </c>
      <c r="T75" s="1120">
        <v>15980</v>
      </c>
      <c r="U75" s="1129">
        <v>17432</v>
      </c>
      <c r="V75" s="1103">
        <v>18990</v>
      </c>
      <c r="W75" s="1103">
        <v>26897</v>
      </c>
      <c r="AA75" s="812"/>
      <c r="AB75" s="812"/>
      <c r="AC75" s="812"/>
    </row>
    <row r="76" spans="1:29">
      <c r="A76" s="1118"/>
      <c r="C76" s="1121" t="s">
        <v>59</v>
      </c>
      <c r="D76" s="1122">
        <v>306</v>
      </c>
      <c r="E76" s="1122">
        <v>388</v>
      </c>
      <c r="F76" s="1122">
        <v>546</v>
      </c>
      <c r="G76" s="1122">
        <v>559</v>
      </c>
      <c r="H76" s="1122">
        <v>699</v>
      </c>
      <c r="I76" s="1122">
        <v>507</v>
      </c>
      <c r="J76" s="1122">
        <v>1369</v>
      </c>
      <c r="K76" s="1122">
        <v>3430</v>
      </c>
      <c r="L76" s="1122">
        <v>4664</v>
      </c>
      <c r="M76" s="1122">
        <v>4857</v>
      </c>
      <c r="N76" s="1122">
        <v>7632</v>
      </c>
      <c r="O76" s="1122">
        <v>7310</v>
      </c>
      <c r="P76" s="1122">
        <v>8888</v>
      </c>
      <c r="Q76" s="1122">
        <v>10516</v>
      </c>
      <c r="R76" s="1122">
        <v>11080</v>
      </c>
      <c r="S76" s="1122">
        <v>17595</v>
      </c>
      <c r="T76" s="1122">
        <v>18124</v>
      </c>
      <c r="U76" s="1129">
        <v>19276</v>
      </c>
      <c r="V76" s="1103">
        <v>21974</v>
      </c>
      <c r="W76" s="1103">
        <v>21697</v>
      </c>
      <c r="AA76" s="812"/>
      <c r="AB76" s="812"/>
      <c r="AC76" s="812"/>
    </row>
    <row r="77" spans="1:29">
      <c r="A77" s="1118"/>
      <c r="C77" t="s">
        <v>62</v>
      </c>
      <c r="D77" s="812">
        <v>6437</v>
      </c>
      <c r="E77" s="812">
        <v>10454</v>
      </c>
      <c r="F77" s="812">
        <v>14178</v>
      </c>
      <c r="G77" s="812">
        <v>25598</v>
      </c>
      <c r="H77" s="812">
        <v>38872</v>
      </c>
      <c r="I77" s="812">
        <v>44834</v>
      </c>
      <c r="J77" s="812">
        <v>59921</v>
      </c>
      <c r="K77" s="812">
        <v>82591</v>
      </c>
      <c r="L77" s="812">
        <v>128587</v>
      </c>
      <c r="M77" s="812">
        <v>133856</v>
      </c>
      <c r="N77" s="812">
        <v>161423</v>
      </c>
      <c r="O77" s="812">
        <v>196481</v>
      </c>
      <c r="P77" s="812">
        <v>231176</v>
      </c>
      <c r="Q77" s="812">
        <f t="shared" ref="Q77" si="31">SUM(Q71:Q76)</f>
        <v>276574</v>
      </c>
      <c r="R77" s="812">
        <f t="shared" ref="R77" si="32">SUM(R71:R76)</f>
        <v>294999</v>
      </c>
      <c r="S77" s="812">
        <f t="shared" ref="S77" si="33">SUM(S71:S76)</f>
        <v>395778</v>
      </c>
      <c r="T77" s="812">
        <v>441194</v>
      </c>
      <c r="U77" s="1130">
        <f>SUM(U71:U76)</f>
        <v>535870</v>
      </c>
      <c r="V77" s="550">
        <f>SUM(V71:V76)</f>
        <v>648743</v>
      </c>
      <c r="W77" s="550">
        <f>SUM(W71:W76)</f>
        <v>713789</v>
      </c>
      <c r="AA77" s="812"/>
      <c r="AB77" s="812"/>
      <c r="AC77" s="812"/>
    </row>
    <row r="78" spans="1:29">
      <c r="A78" s="809"/>
      <c r="B78" s="1125" t="s">
        <v>62</v>
      </c>
      <c r="C78" s="1125"/>
      <c r="D78" s="1126">
        <v>79214</v>
      </c>
      <c r="E78" s="1126">
        <v>112900</v>
      </c>
      <c r="F78" s="1126">
        <v>150192</v>
      </c>
      <c r="G78" s="1126">
        <v>196331</v>
      </c>
      <c r="H78" s="1126">
        <v>251277</v>
      </c>
      <c r="I78" s="1126">
        <v>293781</v>
      </c>
      <c r="J78" s="1126">
        <v>376596</v>
      </c>
      <c r="K78" s="1126">
        <v>525218</v>
      </c>
      <c r="L78" s="1126">
        <v>692937</v>
      </c>
      <c r="M78" s="1126">
        <v>881565</v>
      </c>
      <c r="N78" s="1126">
        <v>1008743</v>
      </c>
      <c r="O78" s="1126">
        <v>1217730</v>
      </c>
      <c r="P78" s="1126">
        <v>1515906</v>
      </c>
      <c r="Q78" s="1126">
        <v>1619201</v>
      </c>
      <c r="R78" s="1126">
        <f t="shared" ref="R78" si="34">R67+R70+R77</f>
        <v>1804971</v>
      </c>
      <c r="S78" s="1126">
        <f t="shared" ref="S78" si="35">S67+S70+S77</f>
        <v>1772440</v>
      </c>
      <c r="T78" s="1126">
        <v>1929494</v>
      </c>
      <c r="U78" s="1135">
        <f>U67+U70+U77</f>
        <v>2138679</v>
      </c>
      <c r="V78" s="125">
        <f>V67+V70+V77</f>
        <v>2290704</v>
      </c>
      <c r="W78" s="125">
        <f>W67+W70+W77</f>
        <v>2420744</v>
      </c>
      <c r="AA78" s="812"/>
      <c r="AB78" s="812"/>
      <c r="AC78" s="812"/>
    </row>
    <row r="79" spans="1:29">
      <c r="A79" s="1109" t="s">
        <v>58</v>
      </c>
      <c r="B79" s="1116" t="s">
        <v>275</v>
      </c>
      <c r="C79" s="1116" t="s">
        <v>54</v>
      </c>
      <c r="D79" s="1117">
        <v>7043</v>
      </c>
      <c r="E79" s="1117">
        <v>7087</v>
      </c>
      <c r="F79" s="1117">
        <v>5663</v>
      </c>
      <c r="G79" s="1117">
        <v>5495</v>
      </c>
      <c r="H79" s="1117">
        <v>5623</v>
      </c>
      <c r="I79" s="1117">
        <v>4919</v>
      </c>
      <c r="J79" s="1117">
        <v>5323</v>
      </c>
      <c r="K79" s="1117">
        <v>6422</v>
      </c>
      <c r="L79" s="1117">
        <v>6956</v>
      </c>
      <c r="M79" s="1117">
        <v>6897</v>
      </c>
      <c r="N79" s="1117">
        <v>6783</v>
      </c>
      <c r="O79" s="1117">
        <v>6905</v>
      </c>
      <c r="P79" s="1117">
        <v>7363</v>
      </c>
      <c r="Q79" s="1117">
        <v>7446</v>
      </c>
      <c r="R79" s="1117">
        <v>7126</v>
      </c>
      <c r="S79" s="1117">
        <v>6319</v>
      </c>
      <c r="T79" s="1128">
        <v>6235</v>
      </c>
      <c r="U79" s="1132">
        <v>7165</v>
      </c>
      <c r="V79" s="1101">
        <v>7961</v>
      </c>
      <c r="W79" s="1101">
        <v>7444</v>
      </c>
      <c r="AA79" s="812"/>
      <c r="AB79" s="812"/>
      <c r="AC79" s="812"/>
    </row>
    <row r="80" spans="1:29">
      <c r="A80" s="1118"/>
      <c r="C80" s="1119" t="s">
        <v>55</v>
      </c>
      <c r="D80" s="1120">
        <v>8045</v>
      </c>
      <c r="E80" s="1120">
        <v>8069</v>
      </c>
      <c r="F80" s="1120">
        <v>7482</v>
      </c>
      <c r="G80" s="1120">
        <v>7689</v>
      </c>
      <c r="H80" s="1120">
        <v>7394</v>
      </c>
      <c r="I80" s="1120">
        <v>7285</v>
      </c>
      <c r="J80" s="1120">
        <v>8143</v>
      </c>
      <c r="K80" s="1120">
        <v>8787</v>
      </c>
      <c r="L80" s="1120">
        <v>9019</v>
      </c>
      <c r="M80" s="1120">
        <v>9753</v>
      </c>
      <c r="N80" s="1120">
        <v>10577</v>
      </c>
      <c r="O80" s="1120">
        <v>9598</v>
      </c>
      <c r="P80" s="1120">
        <v>9305</v>
      </c>
      <c r="Q80" s="1120">
        <v>9002</v>
      </c>
      <c r="R80" s="1120">
        <v>8713</v>
      </c>
      <c r="S80" s="1120">
        <v>8543</v>
      </c>
      <c r="T80" s="1120">
        <v>7795</v>
      </c>
      <c r="U80" s="1129">
        <v>8845</v>
      </c>
      <c r="V80" s="1103">
        <v>9748</v>
      </c>
      <c r="W80" s="1103">
        <v>10109</v>
      </c>
      <c r="AA80" s="812"/>
      <c r="AB80" s="812"/>
      <c r="AC80" s="812"/>
    </row>
    <row r="81" spans="1:29">
      <c r="A81" s="1118"/>
      <c r="C81" s="1119" t="s">
        <v>290</v>
      </c>
      <c r="D81" s="1120">
        <v>2306</v>
      </c>
      <c r="E81" s="1120">
        <v>2754</v>
      </c>
      <c r="F81" s="1120">
        <v>1922</v>
      </c>
      <c r="G81" s="1120">
        <v>1871</v>
      </c>
      <c r="H81" s="1120">
        <v>1665</v>
      </c>
      <c r="I81" s="1120">
        <v>1438</v>
      </c>
      <c r="J81" s="1120">
        <v>1556</v>
      </c>
      <c r="K81" s="1120">
        <v>1613</v>
      </c>
      <c r="L81" s="1120">
        <v>1729</v>
      </c>
      <c r="M81" s="1120">
        <v>1931</v>
      </c>
      <c r="N81" s="1120">
        <v>1853</v>
      </c>
      <c r="O81" s="1120">
        <v>1846</v>
      </c>
      <c r="P81" s="1120">
        <v>1715</v>
      </c>
      <c r="Q81" s="1120">
        <v>1563</v>
      </c>
      <c r="R81" s="1120">
        <v>1582</v>
      </c>
      <c r="S81" s="1120">
        <v>1658</v>
      </c>
      <c r="T81" s="1120">
        <v>1651</v>
      </c>
      <c r="U81" s="1129">
        <v>1664</v>
      </c>
      <c r="V81" s="1103">
        <v>1906</v>
      </c>
      <c r="W81" s="1103">
        <v>1495</v>
      </c>
      <c r="AA81" s="812"/>
      <c r="AB81" s="812"/>
      <c r="AC81" s="812"/>
    </row>
    <row r="82" spans="1:29">
      <c r="A82" s="1118"/>
      <c r="C82" s="1119" t="s">
        <v>57</v>
      </c>
      <c r="D82" s="1120">
        <v>4588</v>
      </c>
      <c r="E82" s="1120">
        <v>6469</v>
      </c>
      <c r="F82" s="1120">
        <v>6077</v>
      </c>
      <c r="G82" s="1120">
        <v>8280</v>
      </c>
      <c r="H82" s="1120">
        <v>6754</v>
      </c>
      <c r="I82" s="1120">
        <v>6125</v>
      </c>
      <c r="J82" s="1120">
        <v>7731</v>
      </c>
      <c r="K82" s="1120">
        <v>11133</v>
      </c>
      <c r="L82" s="1120">
        <v>11678</v>
      </c>
      <c r="M82" s="1120">
        <v>11973</v>
      </c>
      <c r="N82" s="1120">
        <v>12340</v>
      </c>
      <c r="O82" s="1120">
        <v>12628</v>
      </c>
      <c r="P82" s="1120">
        <v>14283</v>
      </c>
      <c r="Q82" s="1120">
        <v>13784</v>
      </c>
      <c r="R82" s="1120">
        <v>15428</v>
      </c>
      <c r="S82" s="1120">
        <v>15376</v>
      </c>
      <c r="T82" s="1120">
        <v>14587</v>
      </c>
      <c r="U82" s="1129">
        <v>16749</v>
      </c>
      <c r="V82" s="1103">
        <v>18532</v>
      </c>
      <c r="W82" s="1103">
        <v>15810</v>
      </c>
      <c r="AA82" s="812"/>
      <c r="AB82" s="812"/>
      <c r="AC82" s="812"/>
    </row>
    <row r="83" spans="1:29">
      <c r="A83" s="1118"/>
      <c r="C83" s="1119" t="s">
        <v>58</v>
      </c>
      <c r="D83" s="1120">
        <v>185008</v>
      </c>
      <c r="E83" s="1120">
        <v>202776</v>
      </c>
      <c r="F83" s="1120">
        <v>215904</v>
      </c>
      <c r="G83" s="1120">
        <v>234043</v>
      </c>
      <c r="H83" s="1120">
        <v>223045</v>
      </c>
      <c r="I83" s="1120">
        <v>213093</v>
      </c>
      <c r="J83" s="1120">
        <v>227907</v>
      </c>
      <c r="K83" s="1120">
        <v>231630</v>
      </c>
      <c r="L83" s="1120">
        <v>250617</v>
      </c>
      <c r="M83" s="1120">
        <v>264923</v>
      </c>
      <c r="N83" s="1120">
        <v>260984</v>
      </c>
      <c r="O83" s="1120">
        <v>260274</v>
      </c>
      <c r="P83" s="1120">
        <v>264685</v>
      </c>
      <c r="Q83" s="1120">
        <v>260824</v>
      </c>
      <c r="R83" s="1120">
        <v>250372</v>
      </c>
      <c r="S83" s="1120">
        <v>248498</v>
      </c>
      <c r="T83" s="1120">
        <v>232914</v>
      </c>
      <c r="U83" s="1129">
        <v>224805</v>
      </c>
      <c r="V83" s="1103">
        <v>214461</v>
      </c>
      <c r="W83" s="1103">
        <v>249472</v>
      </c>
      <c r="AA83" s="812"/>
      <c r="AB83" s="812"/>
      <c r="AC83" s="812"/>
    </row>
    <row r="84" spans="1:29">
      <c r="A84" s="1118"/>
      <c r="C84" s="1121" t="s">
        <v>59</v>
      </c>
      <c r="D84" s="1122">
        <v>11103</v>
      </c>
      <c r="E84" s="1122">
        <v>17614</v>
      </c>
      <c r="F84" s="1122">
        <v>18309</v>
      </c>
      <c r="G84" s="1122">
        <v>16228</v>
      </c>
      <c r="H84" s="1122">
        <v>17251</v>
      </c>
      <c r="I84" s="1122">
        <v>14672</v>
      </c>
      <c r="J84" s="1122">
        <v>15618</v>
      </c>
      <c r="K84" s="1122">
        <v>19668</v>
      </c>
      <c r="L84" s="1122">
        <v>22889</v>
      </c>
      <c r="M84" s="1122">
        <v>24047</v>
      </c>
      <c r="N84" s="1122">
        <v>23016</v>
      </c>
      <c r="O84" s="1122">
        <v>24568</v>
      </c>
      <c r="P84" s="1122">
        <v>27609</v>
      </c>
      <c r="Q84" s="1122">
        <v>23608</v>
      </c>
      <c r="R84" s="1122">
        <v>22581</v>
      </c>
      <c r="S84" s="1122">
        <v>23261</v>
      </c>
      <c r="T84" s="1122">
        <v>21607</v>
      </c>
      <c r="U84" s="1129">
        <v>23355</v>
      </c>
      <c r="V84" s="1103">
        <v>23504</v>
      </c>
      <c r="W84" s="1103">
        <v>26739</v>
      </c>
      <c r="AA84" s="812"/>
      <c r="AB84" s="812"/>
      <c r="AC84" s="812"/>
    </row>
    <row r="85" spans="1:29">
      <c r="A85" s="1118"/>
      <c r="C85" t="s">
        <v>62</v>
      </c>
      <c r="D85" s="812">
        <v>218093</v>
      </c>
      <c r="E85" s="812">
        <v>244769</v>
      </c>
      <c r="F85" s="812">
        <v>255357</v>
      </c>
      <c r="G85" s="812">
        <v>273606</v>
      </c>
      <c r="H85" s="812">
        <v>261732</v>
      </c>
      <c r="I85" s="812">
        <v>247532</v>
      </c>
      <c r="J85" s="812">
        <v>266278</v>
      </c>
      <c r="K85" s="812">
        <v>279253</v>
      </c>
      <c r="L85" s="812">
        <v>302888</v>
      </c>
      <c r="M85" s="812">
        <v>319524</v>
      </c>
      <c r="N85" s="812">
        <v>315553</v>
      </c>
      <c r="O85" s="812">
        <v>315819</v>
      </c>
      <c r="P85" s="812">
        <v>324960</v>
      </c>
      <c r="Q85" s="812">
        <f t="shared" ref="Q85" si="36">SUM(Q79:Q84)</f>
        <v>316227</v>
      </c>
      <c r="R85" s="812">
        <f t="shared" ref="R85" si="37">SUM(R79:R84)</f>
        <v>305802</v>
      </c>
      <c r="S85" s="812">
        <f t="shared" ref="S85" si="38">SUM(S79:S84)</f>
        <v>303655</v>
      </c>
      <c r="T85" s="812">
        <v>284789</v>
      </c>
      <c r="U85" s="1130">
        <f>SUM(U79:U84)</f>
        <v>282583</v>
      </c>
      <c r="V85" s="781">
        <f>SUM(V79:V84)</f>
        <v>276112</v>
      </c>
      <c r="W85" s="781">
        <v>311069</v>
      </c>
      <c r="AA85" s="812"/>
      <c r="AB85" s="812"/>
      <c r="AC85" s="812"/>
    </row>
    <row r="86" spans="1:29">
      <c r="A86" s="1118"/>
      <c r="B86" s="1116" t="s">
        <v>276</v>
      </c>
      <c r="C86" s="1116" t="s">
        <v>54</v>
      </c>
      <c r="D86" s="1117">
        <v>276240</v>
      </c>
      <c r="E86" s="1117">
        <v>308889</v>
      </c>
      <c r="F86" s="1117">
        <v>276641</v>
      </c>
      <c r="G86" s="1117">
        <v>272474</v>
      </c>
      <c r="H86" s="1117">
        <v>295222</v>
      </c>
      <c r="I86" s="1117">
        <v>252009</v>
      </c>
      <c r="J86" s="1117">
        <v>462711</v>
      </c>
      <c r="K86" s="1117">
        <v>375715</v>
      </c>
      <c r="L86" s="1117">
        <v>393859</v>
      </c>
      <c r="M86" s="1117">
        <v>341204</v>
      </c>
      <c r="N86" s="1117">
        <v>328903</v>
      </c>
      <c r="O86" s="1117">
        <v>356905</v>
      </c>
      <c r="P86" s="1117">
        <v>435942</v>
      </c>
      <c r="Q86" s="1117">
        <v>474577</v>
      </c>
      <c r="R86" s="1117">
        <v>534819</v>
      </c>
      <c r="S86" s="1117">
        <v>598771</v>
      </c>
      <c r="T86" s="1131">
        <v>542809</v>
      </c>
      <c r="U86" s="1132">
        <v>529776</v>
      </c>
      <c r="V86" s="1101">
        <v>505870</v>
      </c>
      <c r="W86" s="1101">
        <v>545485</v>
      </c>
      <c r="AA86" s="812"/>
      <c r="AB86" s="812"/>
      <c r="AC86" s="812"/>
    </row>
    <row r="87" spans="1:29">
      <c r="A87" s="1118"/>
      <c r="C87" s="1121" t="s">
        <v>59</v>
      </c>
      <c r="D87" s="1122">
        <v>10609</v>
      </c>
      <c r="E87" s="1122">
        <v>25498</v>
      </c>
      <c r="F87" s="1122">
        <v>22908</v>
      </c>
      <c r="G87" s="1122">
        <v>21720</v>
      </c>
      <c r="H87" s="1122">
        <v>8118</v>
      </c>
      <c r="I87" s="1122">
        <v>11441</v>
      </c>
      <c r="J87" s="1122">
        <v>9130</v>
      </c>
      <c r="K87" s="1122">
        <v>10232</v>
      </c>
      <c r="L87" s="1122">
        <v>16183</v>
      </c>
      <c r="M87" s="1122">
        <v>16285</v>
      </c>
      <c r="N87" s="1122">
        <v>13475</v>
      </c>
      <c r="O87" s="1122">
        <v>8654</v>
      </c>
      <c r="P87" s="1122">
        <v>10535</v>
      </c>
      <c r="Q87" s="1122">
        <v>10669</v>
      </c>
      <c r="R87" s="1122">
        <v>10807</v>
      </c>
      <c r="S87" s="1122">
        <v>13148</v>
      </c>
      <c r="T87" s="1133">
        <v>12186</v>
      </c>
      <c r="U87" s="1129">
        <v>5791</v>
      </c>
      <c r="V87" s="1103">
        <v>3729</v>
      </c>
      <c r="W87" s="1103">
        <v>8471</v>
      </c>
      <c r="Y87" s="1148"/>
      <c r="AA87" s="812"/>
      <c r="AB87" s="812"/>
      <c r="AC87" s="812"/>
    </row>
    <row r="88" spans="1:29">
      <c r="A88" s="1118"/>
      <c r="B88" s="1123"/>
      <c r="C88" s="1123" t="s">
        <v>62</v>
      </c>
      <c r="D88" s="1124">
        <v>286849</v>
      </c>
      <c r="E88" s="1124">
        <v>334387</v>
      </c>
      <c r="F88" s="1124">
        <v>299549</v>
      </c>
      <c r="G88" s="1124">
        <v>294194</v>
      </c>
      <c r="H88" s="1124">
        <v>303340</v>
      </c>
      <c r="I88" s="1124">
        <v>263450</v>
      </c>
      <c r="J88" s="1124">
        <v>471841</v>
      </c>
      <c r="K88" s="1124">
        <v>385947</v>
      </c>
      <c r="L88" s="1124">
        <v>410042</v>
      </c>
      <c r="M88" s="1124">
        <v>357489</v>
      </c>
      <c r="N88" s="1124">
        <v>342378</v>
      </c>
      <c r="O88" s="1124">
        <v>365559</v>
      </c>
      <c r="P88" s="1124">
        <v>446477</v>
      </c>
      <c r="Q88" s="1124">
        <v>485246</v>
      </c>
      <c r="R88" s="1124">
        <f t="shared" ref="R88" si="39">SUM(R86:R87)</f>
        <v>545626</v>
      </c>
      <c r="S88" s="1124">
        <f t="shared" ref="S88" si="40">SUM(S86:S87)</f>
        <v>611919</v>
      </c>
      <c r="T88" s="1134">
        <v>554995</v>
      </c>
      <c r="U88" s="1130">
        <f>SUM(U86:U87)</f>
        <v>535567</v>
      </c>
      <c r="V88" s="781">
        <f>SUM(V86:V87)</f>
        <v>509599</v>
      </c>
      <c r="W88" s="781">
        <f>SUM(W86:W87)</f>
        <v>553956</v>
      </c>
      <c r="AA88" s="812"/>
      <c r="AB88" s="812"/>
      <c r="AC88" s="812"/>
    </row>
    <row r="89" spans="1:29">
      <c r="A89" s="1118"/>
      <c r="B89" t="s">
        <v>293</v>
      </c>
      <c r="C89" t="s">
        <v>54</v>
      </c>
      <c r="D89" s="812">
        <v>530453</v>
      </c>
      <c r="E89" s="812">
        <v>595893</v>
      </c>
      <c r="F89" s="812">
        <v>713383</v>
      </c>
      <c r="G89" s="812">
        <v>786820</v>
      </c>
      <c r="H89" s="812">
        <v>843686</v>
      </c>
      <c r="I89" s="812">
        <v>798314</v>
      </c>
      <c r="J89" s="812">
        <v>834346</v>
      </c>
      <c r="K89" s="812">
        <v>863007</v>
      </c>
      <c r="L89" s="812">
        <v>867357</v>
      </c>
      <c r="M89" s="812">
        <v>900839</v>
      </c>
      <c r="N89" s="812">
        <v>1019446</v>
      </c>
      <c r="O89" s="812">
        <v>1209803</v>
      </c>
      <c r="P89" s="812">
        <v>1035413</v>
      </c>
      <c r="Q89" s="812">
        <v>1090876</v>
      </c>
      <c r="R89" s="812">
        <v>1080819</v>
      </c>
      <c r="S89" s="812">
        <v>1106082</v>
      </c>
      <c r="T89" s="812">
        <v>1093692</v>
      </c>
      <c r="U89" s="1132">
        <v>1205506</v>
      </c>
      <c r="V89" s="1101">
        <v>1276346</v>
      </c>
      <c r="W89" s="1101">
        <v>1248473</v>
      </c>
      <c r="AA89" s="812"/>
      <c r="AB89" s="812"/>
      <c r="AC89" s="812"/>
    </row>
    <row r="90" spans="1:29">
      <c r="A90" s="1118"/>
      <c r="C90" s="1119" t="s">
        <v>55</v>
      </c>
      <c r="D90" s="1120">
        <v>14950</v>
      </c>
      <c r="E90" s="1120">
        <v>15742</v>
      </c>
      <c r="F90" s="1120">
        <v>17479</v>
      </c>
      <c r="G90" s="1120">
        <v>18337</v>
      </c>
      <c r="H90" s="1120">
        <v>17718</v>
      </c>
      <c r="I90" s="1120">
        <v>15082</v>
      </c>
      <c r="J90" s="1120">
        <v>15040</v>
      </c>
      <c r="K90" s="1120">
        <v>14627</v>
      </c>
      <c r="L90" s="1120">
        <v>13903</v>
      </c>
      <c r="M90" s="1120">
        <v>13728</v>
      </c>
      <c r="N90" s="1120">
        <v>15421</v>
      </c>
      <c r="O90" s="1120">
        <v>16903</v>
      </c>
      <c r="P90" s="1120">
        <v>14674</v>
      </c>
      <c r="Q90" s="1120">
        <v>14947</v>
      </c>
      <c r="R90" s="1120">
        <v>14408</v>
      </c>
      <c r="S90" s="1120">
        <v>14324</v>
      </c>
      <c r="T90" s="1120">
        <v>14656</v>
      </c>
      <c r="U90" s="1129">
        <v>16154</v>
      </c>
      <c r="V90" s="1103">
        <v>17126</v>
      </c>
      <c r="W90" s="1103">
        <v>16539</v>
      </c>
      <c r="AA90" s="812"/>
      <c r="AB90" s="812"/>
      <c r="AC90" s="812"/>
    </row>
    <row r="91" spans="1:29">
      <c r="A91" s="1118"/>
      <c r="C91" s="1119" t="s">
        <v>290</v>
      </c>
      <c r="D91" s="1120">
        <v>7060</v>
      </c>
      <c r="E91" s="1120">
        <v>7753</v>
      </c>
      <c r="F91" s="1120">
        <v>8446</v>
      </c>
      <c r="G91" s="1120">
        <v>10232</v>
      </c>
      <c r="H91" s="1120">
        <v>10724</v>
      </c>
      <c r="I91" s="1120">
        <v>9290</v>
      </c>
      <c r="J91" s="1120">
        <v>9960</v>
      </c>
      <c r="K91" s="1120">
        <v>10526</v>
      </c>
      <c r="L91" s="1120">
        <v>9617</v>
      </c>
      <c r="M91" s="1120">
        <v>11060</v>
      </c>
      <c r="N91" s="1120">
        <v>12129</v>
      </c>
      <c r="O91" s="1120">
        <v>12809</v>
      </c>
      <c r="P91" s="1120">
        <v>11928</v>
      </c>
      <c r="Q91" s="1120">
        <v>11879</v>
      </c>
      <c r="R91" s="1120">
        <v>11453</v>
      </c>
      <c r="S91" s="1120">
        <v>11453</v>
      </c>
      <c r="T91" s="1120">
        <v>11675</v>
      </c>
      <c r="U91" s="1129">
        <v>13844</v>
      </c>
      <c r="V91" s="1103">
        <v>15777</v>
      </c>
      <c r="W91" s="1103">
        <v>15032</v>
      </c>
      <c r="AA91" s="812"/>
      <c r="AB91" s="812"/>
      <c r="AC91" s="812"/>
    </row>
    <row r="92" spans="1:29">
      <c r="A92" s="1118"/>
      <c r="C92" s="1119" t="s">
        <v>57</v>
      </c>
      <c r="D92" s="1120">
        <v>9974</v>
      </c>
      <c r="E92" s="1120">
        <v>11531</v>
      </c>
      <c r="F92" s="1120">
        <v>14459</v>
      </c>
      <c r="G92" s="1120">
        <v>14607</v>
      </c>
      <c r="H92" s="1120">
        <v>17773</v>
      </c>
      <c r="I92" s="1120">
        <v>15687</v>
      </c>
      <c r="J92" s="1120">
        <v>17649</v>
      </c>
      <c r="K92" s="1120">
        <v>17324</v>
      </c>
      <c r="L92" s="1120">
        <v>17832</v>
      </c>
      <c r="M92" s="1120">
        <v>18019</v>
      </c>
      <c r="N92" s="1120">
        <v>21623</v>
      </c>
      <c r="O92" s="1120">
        <v>24588</v>
      </c>
      <c r="P92" s="1120">
        <v>21612</v>
      </c>
      <c r="Q92" s="1120">
        <v>23196</v>
      </c>
      <c r="R92" s="1120">
        <v>23431</v>
      </c>
      <c r="S92" s="1120">
        <v>24074</v>
      </c>
      <c r="T92" s="1120">
        <v>23293</v>
      </c>
      <c r="U92" s="1129">
        <v>25517</v>
      </c>
      <c r="V92" s="1103">
        <v>24558</v>
      </c>
      <c r="W92" s="1103">
        <v>24568</v>
      </c>
      <c r="AA92" s="812"/>
      <c r="AB92" s="812"/>
      <c r="AC92" s="812"/>
    </row>
    <row r="93" spans="1:29">
      <c r="A93" s="1118"/>
      <c r="C93" s="1119" t="s">
        <v>58</v>
      </c>
      <c r="D93" s="1120">
        <v>4528</v>
      </c>
      <c r="E93" s="1120">
        <v>5091</v>
      </c>
      <c r="F93" s="1120">
        <v>5880</v>
      </c>
      <c r="G93" s="1120">
        <v>7304</v>
      </c>
      <c r="H93" s="1120">
        <v>8543</v>
      </c>
      <c r="I93" s="1120">
        <v>11819</v>
      </c>
      <c r="J93" s="1120">
        <v>14070</v>
      </c>
      <c r="K93" s="1120">
        <v>16120</v>
      </c>
      <c r="L93" s="1120">
        <v>18165</v>
      </c>
      <c r="M93" s="1120">
        <v>22908</v>
      </c>
      <c r="N93" s="1120">
        <v>24112</v>
      </c>
      <c r="O93" s="1120">
        <v>28061</v>
      </c>
      <c r="P93" s="1120">
        <v>30642</v>
      </c>
      <c r="Q93" s="1120">
        <v>33080</v>
      </c>
      <c r="R93" s="1120">
        <v>34723</v>
      </c>
      <c r="S93" s="1120">
        <v>36615</v>
      </c>
      <c r="T93" s="1120">
        <v>36672</v>
      </c>
      <c r="U93" s="1129">
        <v>37439</v>
      </c>
      <c r="V93" s="1103">
        <v>37855</v>
      </c>
      <c r="W93" s="1103">
        <v>24019</v>
      </c>
      <c r="AA93" s="812"/>
      <c r="AB93" s="812"/>
      <c r="AC93" s="812"/>
    </row>
    <row r="94" spans="1:29">
      <c r="A94" s="1118"/>
      <c r="C94" s="1121" t="s">
        <v>59</v>
      </c>
      <c r="D94" s="1122">
        <v>26290</v>
      </c>
      <c r="E94" s="1122">
        <v>39082</v>
      </c>
      <c r="F94" s="1122">
        <v>49701</v>
      </c>
      <c r="G94" s="1122">
        <v>44499</v>
      </c>
      <c r="H94" s="1122">
        <v>44148</v>
      </c>
      <c r="I94" s="1122">
        <v>29910</v>
      </c>
      <c r="J94" s="1122">
        <v>50135</v>
      </c>
      <c r="K94" s="1122">
        <v>66473</v>
      </c>
      <c r="L94" s="1122">
        <v>69257</v>
      </c>
      <c r="M94" s="1122">
        <v>74924</v>
      </c>
      <c r="N94" s="1122">
        <v>78659</v>
      </c>
      <c r="O94" s="1122">
        <v>89572</v>
      </c>
      <c r="P94" s="1122">
        <v>76230</v>
      </c>
      <c r="Q94" s="1122">
        <v>81973</v>
      </c>
      <c r="R94" s="1122">
        <v>78721</v>
      </c>
      <c r="S94" s="1122">
        <v>83039</v>
      </c>
      <c r="T94" s="1122">
        <v>78298</v>
      </c>
      <c r="U94" s="1129">
        <v>87347</v>
      </c>
      <c r="V94" s="1103">
        <v>97660</v>
      </c>
      <c r="W94" s="1103">
        <v>85563</v>
      </c>
      <c r="X94" s="812"/>
      <c r="AA94" s="812"/>
      <c r="AB94" s="812"/>
      <c r="AC94" s="812"/>
    </row>
    <row r="95" spans="1:29">
      <c r="A95" s="1118"/>
      <c r="C95" t="s">
        <v>62</v>
      </c>
      <c r="D95" s="812">
        <v>593255</v>
      </c>
      <c r="E95" s="812">
        <v>675092</v>
      </c>
      <c r="F95" s="812">
        <v>809348</v>
      </c>
      <c r="G95" s="812">
        <v>881799</v>
      </c>
      <c r="H95" s="812">
        <v>942592</v>
      </c>
      <c r="I95" s="812">
        <v>880102</v>
      </c>
      <c r="J95" s="812">
        <v>941200</v>
      </c>
      <c r="K95" s="812">
        <v>988077</v>
      </c>
      <c r="L95" s="812">
        <v>996131</v>
      </c>
      <c r="M95" s="812">
        <v>1041478</v>
      </c>
      <c r="N95" s="812">
        <v>1171390</v>
      </c>
      <c r="O95" s="812">
        <v>1381736</v>
      </c>
      <c r="P95" s="812">
        <v>1190499</v>
      </c>
      <c r="Q95" s="812">
        <f t="shared" ref="Q95" si="41">SUM(Q89:Q94)</f>
        <v>1255951</v>
      </c>
      <c r="R95" s="812">
        <f t="shared" ref="R95" si="42">SUM(R89:R94)</f>
        <v>1243555</v>
      </c>
      <c r="S95" s="812">
        <f t="shared" ref="S95" si="43">SUM(S89:S94)</f>
        <v>1275587</v>
      </c>
      <c r="T95" s="812">
        <v>1258286</v>
      </c>
      <c r="U95" s="1130">
        <f>SUM(U89:U94)</f>
        <v>1385807</v>
      </c>
      <c r="V95" s="550">
        <f>SUM(V89:V94)</f>
        <v>1469322</v>
      </c>
      <c r="W95" s="550">
        <f>SUM(W89:W94)</f>
        <v>1414194</v>
      </c>
      <c r="X95" s="812"/>
      <c r="AA95" s="812"/>
      <c r="AB95" s="812"/>
      <c r="AC95" s="812"/>
    </row>
    <row r="96" spans="1:29">
      <c r="A96" s="809"/>
      <c r="B96" s="1125" t="s">
        <v>62</v>
      </c>
      <c r="C96" s="1125"/>
      <c r="D96" s="1126">
        <v>1098197</v>
      </c>
      <c r="E96" s="1126">
        <v>1254248</v>
      </c>
      <c r="F96" s="1126">
        <v>1364254</v>
      </c>
      <c r="G96" s="1126">
        <v>1449599</v>
      </c>
      <c r="H96" s="1126">
        <v>1507664</v>
      </c>
      <c r="I96" s="1126">
        <v>1391084</v>
      </c>
      <c r="J96" s="1126">
        <v>1679319</v>
      </c>
      <c r="K96" s="1126">
        <v>1653277</v>
      </c>
      <c r="L96" s="1126">
        <v>1709061</v>
      </c>
      <c r="M96" s="1126">
        <v>1718491</v>
      </c>
      <c r="N96" s="1126">
        <v>1829321</v>
      </c>
      <c r="O96" s="1126">
        <v>2063114</v>
      </c>
      <c r="P96" s="1126">
        <v>1961936</v>
      </c>
      <c r="Q96" s="1126">
        <v>2057424</v>
      </c>
      <c r="R96" s="1126">
        <f t="shared" ref="R96" si="44">R85+R88+R95</f>
        <v>2094983</v>
      </c>
      <c r="S96" s="1126">
        <f t="shared" ref="S96" si="45">S85+S88+S95</f>
        <v>2191161</v>
      </c>
      <c r="T96" s="1126">
        <v>2098070</v>
      </c>
      <c r="U96" s="1135">
        <f>U85+U88+U95</f>
        <v>2203957</v>
      </c>
      <c r="V96" s="125">
        <f>V85+V88+V95</f>
        <v>2255033</v>
      </c>
      <c r="W96" s="125">
        <f>W85+W88+W95</f>
        <v>2279219</v>
      </c>
      <c r="AA96" s="812"/>
      <c r="AB96" s="812"/>
      <c r="AC96" s="812"/>
    </row>
    <row r="97" spans="1:29">
      <c r="A97" s="1118" t="s">
        <v>59</v>
      </c>
      <c r="B97" t="s">
        <v>275</v>
      </c>
      <c r="C97" t="s">
        <v>54</v>
      </c>
      <c r="D97" s="812">
        <v>3580</v>
      </c>
      <c r="E97" s="812">
        <v>4530</v>
      </c>
      <c r="F97" s="812">
        <v>4335</v>
      </c>
      <c r="G97" s="812">
        <v>3255</v>
      </c>
      <c r="H97" s="812">
        <v>2909</v>
      </c>
      <c r="I97" s="812">
        <v>2807</v>
      </c>
      <c r="J97" s="812">
        <v>2663</v>
      </c>
      <c r="K97" s="812">
        <v>2434</v>
      </c>
      <c r="L97" s="812">
        <v>2374</v>
      </c>
      <c r="M97" s="812">
        <v>2382</v>
      </c>
      <c r="N97" s="812">
        <v>2416</v>
      </c>
      <c r="O97" s="812">
        <v>12088</v>
      </c>
      <c r="P97" s="812">
        <v>2993</v>
      </c>
      <c r="Q97" s="812">
        <v>2392</v>
      </c>
      <c r="R97" s="812">
        <v>3475</v>
      </c>
      <c r="S97" s="812">
        <v>3261</v>
      </c>
      <c r="T97" s="1128">
        <v>3383</v>
      </c>
      <c r="U97" s="1132">
        <v>3117</v>
      </c>
      <c r="V97" s="1101">
        <v>2817</v>
      </c>
      <c r="W97" s="1101">
        <v>2529</v>
      </c>
      <c r="AA97" s="812"/>
      <c r="AB97" s="812"/>
      <c r="AC97" s="812"/>
    </row>
    <row r="98" spans="1:29">
      <c r="A98" s="1118"/>
      <c r="C98" s="1119" t="s">
        <v>55</v>
      </c>
      <c r="D98" s="1120">
        <v>2005</v>
      </c>
      <c r="E98" s="1120">
        <v>2324</v>
      </c>
      <c r="F98" s="1120">
        <v>2658</v>
      </c>
      <c r="G98" s="1120">
        <v>2514</v>
      </c>
      <c r="H98" s="1120">
        <v>2281</v>
      </c>
      <c r="I98" s="1120">
        <v>2006</v>
      </c>
      <c r="J98" s="1120">
        <v>2189</v>
      </c>
      <c r="K98" s="1120">
        <v>2056</v>
      </c>
      <c r="L98" s="1120">
        <v>2127</v>
      </c>
      <c r="M98" s="1120">
        <v>2207</v>
      </c>
      <c r="N98" s="1120">
        <v>2327</v>
      </c>
      <c r="O98" s="1120">
        <v>2251</v>
      </c>
      <c r="P98" s="1120">
        <v>2381</v>
      </c>
      <c r="Q98" s="1120">
        <v>2621</v>
      </c>
      <c r="R98" s="1120">
        <v>2913</v>
      </c>
      <c r="S98" s="1120">
        <v>2906</v>
      </c>
      <c r="T98" s="1120">
        <v>2460</v>
      </c>
      <c r="U98" s="1129">
        <v>2698</v>
      </c>
      <c r="V98" s="1103">
        <v>2562</v>
      </c>
      <c r="W98" s="1103">
        <v>2755</v>
      </c>
      <c r="AA98" s="812"/>
      <c r="AB98" s="812"/>
      <c r="AC98" s="812"/>
    </row>
    <row r="99" spans="1:29">
      <c r="A99" s="1118"/>
      <c r="C99" s="1119" t="s">
        <v>290</v>
      </c>
      <c r="D99" s="1120">
        <v>534</v>
      </c>
      <c r="E99" s="1120">
        <v>663</v>
      </c>
      <c r="F99" s="1120">
        <v>880</v>
      </c>
      <c r="G99" s="1120">
        <v>821</v>
      </c>
      <c r="H99" s="1120">
        <v>769</v>
      </c>
      <c r="I99" s="1120">
        <v>515</v>
      </c>
      <c r="J99" s="1120">
        <v>781</v>
      </c>
      <c r="K99" s="1120">
        <v>900</v>
      </c>
      <c r="L99" s="1120">
        <v>961</v>
      </c>
      <c r="M99" s="1120">
        <v>890</v>
      </c>
      <c r="N99" s="1120">
        <v>1085</v>
      </c>
      <c r="O99" s="1120">
        <v>1034</v>
      </c>
      <c r="P99" s="1120">
        <v>855</v>
      </c>
      <c r="Q99" s="1120">
        <v>1009</v>
      </c>
      <c r="R99" s="1120">
        <v>1259</v>
      </c>
      <c r="S99" s="1120">
        <v>1284</v>
      </c>
      <c r="T99" s="1120">
        <v>1407</v>
      </c>
      <c r="U99" s="1129">
        <v>1363</v>
      </c>
      <c r="V99" s="1103">
        <v>1112</v>
      </c>
      <c r="W99" s="1103">
        <v>1033</v>
      </c>
      <c r="AA99" s="812"/>
      <c r="AB99" s="812"/>
      <c r="AC99" s="812"/>
    </row>
    <row r="100" spans="1:29">
      <c r="A100" s="1118"/>
      <c r="C100" s="1119" t="s">
        <v>57</v>
      </c>
      <c r="D100" s="1120">
        <v>455</v>
      </c>
      <c r="E100" s="1120">
        <v>635</v>
      </c>
      <c r="F100" s="1120">
        <v>826</v>
      </c>
      <c r="G100" s="1120">
        <v>986</v>
      </c>
      <c r="H100" s="1120">
        <v>1223</v>
      </c>
      <c r="I100" s="1120">
        <v>946</v>
      </c>
      <c r="J100" s="1120">
        <v>1097</v>
      </c>
      <c r="K100" s="1120">
        <v>1267</v>
      </c>
      <c r="L100" s="1120">
        <v>1873</v>
      </c>
      <c r="M100" s="1120">
        <v>1752</v>
      </c>
      <c r="N100" s="1120">
        <v>2756</v>
      </c>
      <c r="O100" s="1120">
        <v>4438</v>
      </c>
      <c r="P100" s="1120">
        <v>4896</v>
      </c>
      <c r="Q100" s="1120">
        <v>4829</v>
      </c>
      <c r="R100" s="1120">
        <v>6831</v>
      </c>
      <c r="S100" s="1120">
        <v>7194</v>
      </c>
      <c r="T100" s="1120">
        <v>5449</v>
      </c>
      <c r="U100" s="1129">
        <v>5323</v>
      </c>
      <c r="V100" s="1103">
        <v>3123</v>
      </c>
      <c r="W100" s="1103">
        <v>3186</v>
      </c>
      <c r="AA100" s="812"/>
      <c r="AB100" s="812"/>
      <c r="AC100" s="812"/>
    </row>
    <row r="101" spans="1:29">
      <c r="A101" s="1118"/>
      <c r="C101" s="1119" t="s">
        <v>58</v>
      </c>
      <c r="D101" s="1120">
        <v>31377</v>
      </c>
      <c r="E101" s="1120">
        <v>33886</v>
      </c>
      <c r="F101" s="1120">
        <v>38756</v>
      </c>
      <c r="G101" s="1120">
        <v>40086</v>
      </c>
      <c r="H101" s="1120">
        <v>40101</v>
      </c>
      <c r="I101" s="1120">
        <v>39836</v>
      </c>
      <c r="J101" s="1120">
        <v>43719</v>
      </c>
      <c r="K101" s="1120">
        <v>44579</v>
      </c>
      <c r="L101" s="1120">
        <v>48294</v>
      </c>
      <c r="M101" s="1120">
        <v>51049</v>
      </c>
      <c r="N101" s="1120">
        <v>49762</v>
      </c>
      <c r="O101" s="1120">
        <v>50357</v>
      </c>
      <c r="P101" s="1120">
        <v>50974</v>
      </c>
      <c r="Q101" s="1120">
        <v>51365</v>
      </c>
      <c r="R101" s="1120">
        <v>51392</v>
      </c>
      <c r="S101" s="1120">
        <v>67695</v>
      </c>
      <c r="T101" s="1120">
        <v>65998</v>
      </c>
      <c r="U101" s="1129">
        <v>63000</v>
      </c>
      <c r="V101" s="1103">
        <v>62124</v>
      </c>
      <c r="W101" s="1103">
        <v>55705</v>
      </c>
      <c r="AA101" s="812"/>
      <c r="AB101" s="812"/>
      <c r="AC101" s="812"/>
    </row>
    <row r="102" spans="1:29">
      <c r="A102" s="1118"/>
      <c r="C102" s="1121" t="s">
        <v>59</v>
      </c>
      <c r="D102" s="1122">
        <v>65802</v>
      </c>
      <c r="E102" s="1122">
        <v>60758</v>
      </c>
      <c r="F102" s="1122">
        <v>67018</v>
      </c>
      <c r="G102" s="1122">
        <v>54347</v>
      </c>
      <c r="H102" s="1122">
        <v>108544</v>
      </c>
      <c r="I102" s="1122">
        <v>90607</v>
      </c>
      <c r="J102" s="1122">
        <v>75585</v>
      </c>
      <c r="K102" s="1122">
        <v>71808</v>
      </c>
      <c r="L102" s="1122">
        <v>80343</v>
      </c>
      <c r="M102" s="1122">
        <v>88645</v>
      </c>
      <c r="N102" s="1122">
        <v>84315</v>
      </c>
      <c r="O102" s="1122">
        <v>88691</v>
      </c>
      <c r="P102" s="1122">
        <v>91795</v>
      </c>
      <c r="Q102" s="1122">
        <v>89036</v>
      </c>
      <c r="R102" s="1122">
        <v>90428</v>
      </c>
      <c r="S102" s="1122">
        <v>90090</v>
      </c>
      <c r="T102" s="1122">
        <v>100585</v>
      </c>
      <c r="U102" s="1129">
        <v>89820</v>
      </c>
      <c r="V102" s="1103">
        <v>107175</v>
      </c>
      <c r="W102" s="1103">
        <v>120646</v>
      </c>
      <c r="AA102" s="812"/>
      <c r="AB102" s="812"/>
      <c r="AC102" s="812"/>
    </row>
    <row r="103" spans="1:29">
      <c r="A103" s="1118"/>
      <c r="C103" t="s">
        <v>62</v>
      </c>
      <c r="D103" s="812">
        <v>103753</v>
      </c>
      <c r="E103" s="812">
        <v>102796</v>
      </c>
      <c r="F103" s="812">
        <v>114473</v>
      </c>
      <c r="G103" s="812">
        <v>102009</v>
      </c>
      <c r="H103" s="812">
        <v>155827</v>
      </c>
      <c r="I103" s="812">
        <v>136717</v>
      </c>
      <c r="J103" s="812">
        <v>126034</v>
      </c>
      <c r="K103" s="812">
        <v>123044</v>
      </c>
      <c r="L103" s="812">
        <v>135972</v>
      </c>
      <c r="M103" s="812">
        <v>146925</v>
      </c>
      <c r="N103" s="812">
        <v>142661</v>
      </c>
      <c r="O103" s="812">
        <v>158859</v>
      </c>
      <c r="P103" s="812">
        <v>153894</v>
      </c>
      <c r="Q103" s="812">
        <f t="shared" ref="Q103" si="46">SUM(Q97:Q102)</f>
        <v>151252</v>
      </c>
      <c r="R103" s="812">
        <f t="shared" ref="R103" si="47">SUM(R97:R102)</f>
        <v>156298</v>
      </c>
      <c r="S103" s="812">
        <f t="shared" ref="S103" si="48">SUM(S97:S102)</f>
        <v>172430</v>
      </c>
      <c r="T103" s="812">
        <v>179282</v>
      </c>
      <c r="U103" s="1130">
        <f>SUM(U97:U102)</f>
        <v>165321</v>
      </c>
      <c r="V103" s="781">
        <f>SUM(V97:V102)</f>
        <v>178913</v>
      </c>
      <c r="W103" s="781">
        <f>SUM(W97:W102)</f>
        <v>185854</v>
      </c>
      <c r="AA103" s="812"/>
      <c r="AB103" s="812"/>
      <c r="AC103" s="812"/>
    </row>
    <row r="104" spans="1:29">
      <c r="A104" s="1118"/>
      <c r="B104" s="1116" t="s">
        <v>276</v>
      </c>
      <c r="C104" s="1116" t="s">
        <v>54</v>
      </c>
      <c r="D104" s="1117">
        <v>50695</v>
      </c>
      <c r="E104" s="1117">
        <v>64410</v>
      </c>
      <c r="F104" s="1117">
        <v>71989</v>
      </c>
      <c r="G104" s="1117">
        <v>74714</v>
      </c>
      <c r="H104" s="1117">
        <v>87798</v>
      </c>
      <c r="I104" s="1117">
        <v>88734</v>
      </c>
      <c r="J104" s="1117">
        <v>131860</v>
      </c>
      <c r="K104" s="1117">
        <v>120211</v>
      </c>
      <c r="L104" s="1117">
        <v>123895</v>
      </c>
      <c r="M104" s="1117">
        <v>103591</v>
      </c>
      <c r="N104" s="1117">
        <v>87879</v>
      </c>
      <c r="O104" s="1117">
        <v>96714</v>
      </c>
      <c r="P104" s="1117">
        <v>114799</v>
      </c>
      <c r="Q104" s="1117">
        <v>132154</v>
      </c>
      <c r="R104" s="1117">
        <v>149516</v>
      </c>
      <c r="S104" s="1117">
        <v>146895</v>
      </c>
      <c r="T104" s="1131">
        <v>143771</v>
      </c>
      <c r="U104" s="1132">
        <v>153257</v>
      </c>
      <c r="V104" s="1101">
        <v>136229</v>
      </c>
      <c r="W104" s="1101">
        <v>147878</v>
      </c>
      <c r="AA104" s="812"/>
      <c r="AB104" s="812"/>
      <c r="AC104" s="812"/>
    </row>
    <row r="105" spans="1:29">
      <c r="A105" s="1118"/>
      <c r="C105" s="1121" t="s">
        <v>59</v>
      </c>
      <c r="D105" s="1122">
        <v>3885</v>
      </c>
      <c r="E105" s="1122">
        <v>7690</v>
      </c>
      <c r="F105" s="1122">
        <v>8576</v>
      </c>
      <c r="G105" s="1122">
        <v>9689</v>
      </c>
      <c r="H105" s="1122">
        <v>23871</v>
      </c>
      <c r="I105" s="1122">
        <v>8194</v>
      </c>
      <c r="J105" s="1122">
        <v>7515</v>
      </c>
      <c r="K105" s="1122">
        <v>8575</v>
      </c>
      <c r="L105" s="1122">
        <v>22285</v>
      </c>
      <c r="M105" s="1122">
        <v>12215</v>
      </c>
      <c r="N105" s="1122">
        <v>10842</v>
      </c>
      <c r="O105" s="1122">
        <v>10781</v>
      </c>
      <c r="P105" s="1122">
        <v>11562</v>
      </c>
      <c r="Q105" s="1122">
        <v>12119</v>
      </c>
      <c r="R105" s="1122">
        <v>15090</v>
      </c>
      <c r="S105" s="1122">
        <v>13708</v>
      </c>
      <c r="T105" s="1133">
        <v>15728</v>
      </c>
      <c r="U105" s="1129">
        <v>10900</v>
      </c>
      <c r="V105" s="1103">
        <v>8539</v>
      </c>
      <c r="W105">
        <v>15491</v>
      </c>
      <c r="AA105" s="812"/>
      <c r="AB105" s="812"/>
      <c r="AC105" s="812"/>
    </row>
    <row r="106" spans="1:29">
      <c r="A106" s="1118"/>
      <c r="B106" s="1123"/>
      <c r="C106" s="1123" t="s">
        <v>62</v>
      </c>
      <c r="D106" s="1124">
        <v>54580</v>
      </c>
      <c r="E106" s="1124">
        <v>72100</v>
      </c>
      <c r="F106" s="1124">
        <v>80565</v>
      </c>
      <c r="G106" s="1124">
        <v>84403</v>
      </c>
      <c r="H106" s="1124">
        <v>111669</v>
      </c>
      <c r="I106" s="1124">
        <v>96928</v>
      </c>
      <c r="J106" s="1124">
        <v>139375</v>
      </c>
      <c r="K106" s="1124">
        <v>128786</v>
      </c>
      <c r="L106" s="1124">
        <v>146180</v>
      </c>
      <c r="M106" s="1124">
        <v>115806</v>
      </c>
      <c r="N106" s="1124">
        <v>98721</v>
      </c>
      <c r="O106" s="1124">
        <v>107495</v>
      </c>
      <c r="P106" s="1124">
        <v>126361</v>
      </c>
      <c r="Q106" s="1124">
        <v>144273</v>
      </c>
      <c r="R106" s="1124">
        <f t="shared" ref="R106" si="49">SUM(R104:R105)</f>
        <v>164606</v>
      </c>
      <c r="S106" s="1124">
        <f t="shared" ref="S106" si="50">SUM(S104:S105)</f>
        <v>160603</v>
      </c>
      <c r="T106" s="1134">
        <v>159499</v>
      </c>
      <c r="U106" s="1130">
        <f>SUM(U104:U105)</f>
        <v>164157</v>
      </c>
      <c r="V106" s="781">
        <f>SUM(V104:V105)</f>
        <v>144768</v>
      </c>
      <c r="W106" s="781">
        <f>SUM(W104:W105)</f>
        <v>163369</v>
      </c>
      <c r="AA106" s="812"/>
      <c r="AB106" s="812"/>
      <c r="AC106" s="812"/>
    </row>
    <row r="107" spans="1:29">
      <c r="A107" s="1118"/>
      <c r="B107" t="s">
        <v>293</v>
      </c>
      <c r="C107" t="s">
        <v>54</v>
      </c>
      <c r="D107" s="812">
        <v>99027</v>
      </c>
      <c r="E107" s="812">
        <v>116207</v>
      </c>
      <c r="F107" s="812">
        <v>137651</v>
      </c>
      <c r="G107" s="812">
        <v>152770</v>
      </c>
      <c r="H107" s="812">
        <v>199268</v>
      </c>
      <c r="I107" s="812">
        <v>156698</v>
      </c>
      <c r="J107" s="812">
        <v>161801</v>
      </c>
      <c r="K107" s="812">
        <v>162686</v>
      </c>
      <c r="L107" s="812">
        <v>171372</v>
      </c>
      <c r="M107" s="812">
        <v>176926</v>
      </c>
      <c r="N107" s="812">
        <v>187328</v>
      </c>
      <c r="O107" s="812">
        <v>185648</v>
      </c>
      <c r="P107" s="812">
        <v>188580</v>
      </c>
      <c r="Q107" s="812">
        <v>193626</v>
      </c>
      <c r="R107" s="812">
        <v>210164</v>
      </c>
      <c r="S107" s="812">
        <v>227441</v>
      </c>
      <c r="T107" s="812">
        <v>232534</v>
      </c>
      <c r="U107" s="1132">
        <v>240186</v>
      </c>
      <c r="V107" s="1101">
        <v>227626</v>
      </c>
      <c r="W107" s="1101">
        <v>226800</v>
      </c>
      <c r="AA107" s="812"/>
      <c r="AB107" s="812"/>
      <c r="AC107" s="812"/>
    </row>
    <row r="108" spans="1:29">
      <c r="A108" s="1118"/>
      <c r="C108" s="1119" t="s">
        <v>55</v>
      </c>
      <c r="D108" s="1120">
        <v>1991</v>
      </c>
      <c r="E108" s="1120">
        <v>2040</v>
      </c>
      <c r="F108" s="1120">
        <v>2315</v>
      </c>
      <c r="G108" s="1120">
        <v>2425</v>
      </c>
      <c r="H108" s="1120">
        <v>2341</v>
      </c>
      <c r="I108" s="1120">
        <v>1984</v>
      </c>
      <c r="J108" s="1120">
        <v>2088</v>
      </c>
      <c r="K108" s="1120">
        <v>2129</v>
      </c>
      <c r="L108" s="1120">
        <v>2105</v>
      </c>
      <c r="M108" s="1120">
        <v>2215</v>
      </c>
      <c r="N108" s="1120">
        <v>2342</v>
      </c>
      <c r="O108" s="1120">
        <v>2284</v>
      </c>
      <c r="P108" s="1120">
        <v>2183</v>
      </c>
      <c r="Q108" s="1120">
        <v>2153</v>
      </c>
      <c r="R108" s="1120">
        <v>2624</v>
      </c>
      <c r="S108" s="1120">
        <v>2849</v>
      </c>
      <c r="T108" s="1120">
        <v>2654</v>
      </c>
      <c r="U108" s="1129">
        <v>2822</v>
      </c>
      <c r="V108" s="1103">
        <v>2715</v>
      </c>
      <c r="W108" s="1103">
        <v>2430</v>
      </c>
      <c r="AA108" s="812"/>
      <c r="AB108" s="812"/>
      <c r="AC108" s="812"/>
    </row>
    <row r="109" spans="1:29">
      <c r="A109" s="1118"/>
      <c r="C109" s="1119" t="s">
        <v>290</v>
      </c>
      <c r="D109" s="1120">
        <v>939</v>
      </c>
      <c r="E109" s="1120">
        <v>870</v>
      </c>
      <c r="F109" s="1120">
        <v>980</v>
      </c>
      <c r="G109" s="1120">
        <v>1282</v>
      </c>
      <c r="H109" s="1120">
        <v>1295</v>
      </c>
      <c r="I109" s="1120">
        <v>1098</v>
      </c>
      <c r="J109" s="1120">
        <v>1285</v>
      </c>
      <c r="K109" s="1120">
        <v>1296</v>
      </c>
      <c r="L109" s="1120">
        <v>1292</v>
      </c>
      <c r="M109" s="1120">
        <v>1546</v>
      </c>
      <c r="N109" s="1120">
        <v>1628</v>
      </c>
      <c r="O109" s="1120">
        <v>1473</v>
      </c>
      <c r="P109" s="1120">
        <v>1455</v>
      </c>
      <c r="Q109" s="1120">
        <v>1483</v>
      </c>
      <c r="R109" s="1120">
        <v>1700</v>
      </c>
      <c r="S109" s="1120">
        <v>2022</v>
      </c>
      <c r="T109" s="1120">
        <v>1791</v>
      </c>
      <c r="U109" s="1129">
        <v>1964</v>
      </c>
      <c r="V109" s="1103">
        <v>1975</v>
      </c>
      <c r="W109" s="1103">
        <v>1945</v>
      </c>
      <c r="AA109" s="812"/>
      <c r="AB109" s="812"/>
      <c r="AC109" s="812"/>
    </row>
    <row r="110" spans="1:29">
      <c r="A110" s="1118"/>
      <c r="C110" s="1119" t="s">
        <v>57</v>
      </c>
      <c r="D110" s="1120">
        <v>1852</v>
      </c>
      <c r="E110" s="1120">
        <v>1822</v>
      </c>
      <c r="F110" s="1120">
        <v>2212</v>
      </c>
      <c r="G110" s="1120">
        <v>2236</v>
      </c>
      <c r="H110" s="1120">
        <v>2372</v>
      </c>
      <c r="I110" s="1120">
        <v>2292</v>
      </c>
      <c r="J110" s="1120">
        <v>2835</v>
      </c>
      <c r="K110" s="1120">
        <v>3300</v>
      </c>
      <c r="L110" s="1120">
        <v>2998</v>
      </c>
      <c r="M110" s="1120">
        <v>3110</v>
      </c>
      <c r="N110" s="1120">
        <v>3341</v>
      </c>
      <c r="O110" s="1120">
        <v>3320</v>
      </c>
      <c r="P110" s="1120">
        <v>3293</v>
      </c>
      <c r="Q110" s="1120">
        <v>3170</v>
      </c>
      <c r="R110" s="1120">
        <v>3528</v>
      </c>
      <c r="S110" s="1120">
        <v>3807</v>
      </c>
      <c r="T110" s="1120">
        <v>3905</v>
      </c>
      <c r="U110" s="1129">
        <v>4181</v>
      </c>
      <c r="V110" s="1103">
        <v>3693</v>
      </c>
      <c r="W110" s="1103">
        <v>3805</v>
      </c>
      <c r="AA110" s="812"/>
      <c r="AB110" s="812"/>
      <c r="AC110" s="812"/>
    </row>
    <row r="111" spans="1:29">
      <c r="A111" s="1118"/>
      <c r="C111" s="1119" t="s">
        <v>58</v>
      </c>
      <c r="D111" s="1120">
        <v>2993</v>
      </c>
      <c r="E111" s="1120">
        <v>3068</v>
      </c>
      <c r="F111" s="1120">
        <v>3572</v>
      </c>
      <c r="G111" s="1120">
        <v>4315</v>
      </c>
      <c r="H111" s="1120">
        <v>5203</v>
      </c>
      <c r="I111" s="1120">
        <v>6330</v>
      </c>
      <c r="J111" s="1120">
        <v>7487</v>
      </c>
      <c r="K111" s="1120">
        <v>7921</v>
      </c>
      <c r="L111" s="1120">
        <v>9104</v>
      </c>
      <c r="M111" s="1120">
        <v>10269</v>
      </c>
      <c r="N111" s="1120">
        <v>10790</v>
      </c>
      <c r="O111" s="1120">
        <v>11565</v>
      </c>
      <c r="P111" s="1120">
        <v>12613</v>
      </c>
      <c r="Q111" s="1120">
        <v>13340</v>
      </c>
      <c r="R111" s="1120">
        <v>13057</v>
      </c>
      <c r="S111" s="1120">
        <v>14039</v>
      </c>
      <c r="T111" s="1120">
        <v>13681</v>
      </c>
      <c r="U111" s="1129">
        <v>18001</v>
      </c>
      <c r="V111" s="1103">
        <v>22275</v>
      </c>
      <c r="W111" s="1103">
        <v>9282</v>
      </c>
      <c r="AA111" s="812"/>
      <c r="AB111" s="812"/>
      <c r="AC111" s="812"/>
    </row>
    <row r="112" spans="1:29">
      <c r="A112" s="1118"/>
      <c r="C112" s="1121" t="s">
        <v>59</v>
      </c>
      <c r="D112" s="1122">
        <v>30177</v>
      </c>
      <c r="E112" s="1122">
        <v>19684</v>
      </c>
      <c r="F112" s="1122">
        <v>24467</v>
      </c>
      <c r="G112" s="1122">
        <v>12338</v>
      </c>
      <c r="H112" s="1122">
        <v>12696</v>
      </c>
      <c r="I112" s="1122">
        <v>13686</v>
      </c>
      <c r="J112" s="1122">
        <v>13756</v>
      </c>
      <c r="K112" s="1122">
        <v>24307</v>
      </c>
      <c r="L112" s="1122">
        <v>21179</v>
      </c>
      <c r="M112" s="1122">
        <v>26975</v>
      </c>
      <c r="N112" s="1122">
        <v>29820</v>
      </c>
      <c r="O112" s="1122">
        <v>24785</v>
      </c>
      <c r="P112" s="1122">
        <v>26720</v>
      </c>
      <c r="Q112" s="1122">
        <v>24073</v>
      </c>
      <c r="R112" s="1122">
        <v>28376</v>
      </c>
      <c r="S112" s="1122">
        <v>28163</v>
      </c>
      <c r="T112" s="1122">
        <v>30145</v>
      </c>
      <c r="U112" s="1129">
        <v>29308</v>
      </c>
      <c r="V112" s="533">
        <v>30067</v>
      </c>
      <c r="W112" s="533">
        <v>29005</v>
      </c>
      <c r="AA112" s="812"/>
      <c r="AB112" s="812"/>
      <c r="AC112" s="812"/>
    </row>
    <row r="113" spans="1:29">
      <c r="A113" s="1118"/>
      <c r="C113" t="s">
        <v>62</v>
      </c>
      <c r="D113" s="812">
        <v>136979</v>
      </c>
      <c r="E113" s="812">
        <v>143691</v>
      </c>
      <c r="F113" s="812">
        <v>171197</v>
      </c>
      <c r="G113" s="812">
        <v>175366</v>
      </c>
      <c r="H113" s="812">
        <v>223175</v>
      </c>
      <c r="I113" s="812">
        <v>182088</v>
      </c>
      <c r="J113" s="812">
        <v>189252</v>
      </c>
      <c r="K113" s="812">
        <v>201639</v>
      </c>
      <c r="L113" s="812">
        <v>208050</v>
      </c>
      <c r="M113" s="812">
        <v>221041</v>
      </c>
      <c r="N113" s="812">
        <v>235249</v>
      </c>
      <c r="O113" s="812">
        <v>229075</v>
      </c>
      <c r="P113" s="812">
        <v>234844</v>
      </c>
      <c r="Q113" s="812">
        <f t="shared" ref="Q113" si="51">SUM(Q107:Q112)</f>
        <v>237845</v>
      </c>
      <c r="R113" s="812">
        <f t="shared" ref="R113:S113" si="52">SUM(R107:R112)</f>
        <v>259449</v>
      </c>
      <c r="S113" s="812">
        <f t="shared" si="52"/>
        <v>278321</v>
      </c>
      <c r="T113" s="812">
        <v>284710</v>
      </c>
      <c r="U113" s="1130">
        <f>SUM(U107:U112)</f>
        <v>296462</v>
      </c>
      <c r="V113" s="550">
        <f>SUM(V107:V112)</f>
        <v>288351</v>
      </c>
      <c r="W113" s="550">
        <f>SUM(W107:W112)</f>
        <v>273267</v>
      </c>
      <c r="AA113" s="812"/>
      <c r="AB113" s="812"/>
      <c r="AC113" s="812"/>
    </row>
    <row r="114" spans="1:29">
      <c r="A114" s="809"/>
      <c r="B114" s="1125" t="s">
        <v>62</v>
      </c>
      <c r="C114" s="1125"/>
      <c r="D114" s="1126">
        <v>295312</v>
      </c>
      <c r="E114" s="1126">
        <v>318587</v>
      </c>
      <c r="F114" s="1126">
        <v>366235</v>
      </c>
      <c r="G114" s="1126">
        <v>361778</v>
      </c>
      <c r="H114" s="1126">
        <v>490671</v>
      </c>
      <c r="I114" s="1126">
        <v>415733</v>
      </c>
      <c r="J114" s="1126">
        <v>454661</v>
      </c>
      <c r="K114" s="1126">
        <v>453469</v>
      </c>
      <c r="L114" s="1126">
        <v>490202</v>
      </c>
      <c r="M114" s="1126">
        <v>483772</v>
      </c>
      <c r="N114" s="1126">
        <v>476631</v>
      </c>
      <c r="O114" s="1126">
        <v>495429</v>
      </c>
      <c r="P114" s="1126">
        <v>515099</v>
      </c>
      <c r="Q114" s="1126">
        <v>533370</v>
      </c>
      <c r="R114" s="1126">
        <f t="shared" ref="R114:S114" si="53">R103+R106+R113</f>
        <v>580353</v>
      </c>
      <c r="S114" s="1126">
        <f t="shared" si="53"/>
        <v>611354</v>
      </c>
      <c r="T114" s="1126">
        <v>623491</v>
      </c>
      <c r="U114" s="1135">
        <f>U113+U106+U103</f>
        <v>625940</v>
      </c>
      <c r="V114" s="125">
        <f>V113+V106+V103</f>
        <v>612032</v>
      </c>
      <c r="W114" s="125">
        <f>W113+W106+W103</f>
        <v>622490</v>
      </c>
      <c r="AA114" s="812"/>
      <c r="AB114" s="812"/>
      <c r="AC114" s="812"/>
    </row>
    <row r="115" spans="1:29">
      <c r="P115" s="812"/>
      <c r="U115" s="1147"/>
    </row>
    <row r="116" spans="1:29">
      <c r="U116" s="1106"/>
    </row>
    <row r="117" spans="1:29">
      <c r="B117" s="1109" t="s">
        <v>274</v>
      </c>
      <c r="C117" s="813"/>
      <c r="D117" s="530">
        <v>2004</v>
      </c>
      <c r="E117" s="530">
        <v>2005</v>
      </c>
      <c r="F117" s="530">
        <v>2006</v>
      </c>
      <c r="G117" s="530">
        <v>2007</v>
      </c>
      <c r="H117" s="530">
        <v>2008</v>
      </c>
      <c r="I117" s="530">
        <v>2009</v>
      </c>
      <c r="J117" s="530">
        <v>2010</v>
      </c>
      <c r="K117" s="530">
        <v>2011</v>
      </c>
      <c r="L117" s="530">
        <v>2012</v>
      </c>
      <c r="M117" s="530">
        <v>2013</v>
      </c>
      <c r="N117" s="530">
        <v>2014</v>
      </c>
      <c r="O117" s="530">
        <v>2015</v>
      </c>
      <c r="P117" s="530">
        <v>2016</v>
      </c>
      <c r="Q117" s="530">
        <v>2017</v>
      </c>
      <c r="R117" s="530">
        <v>2018</v>
      </c>
      <c r="S117" s="530">
        <v>2019</v>
      </c>
      <c r="T117" s="530">
        <v>2020</v>
      </c>
      <c r="U117" s="552">
        <v>2021</v>
      </c>
      <c r="V117" s="553">
        <v>2022</v>
      </c>
      <c r="W117" s="553">
        <v>2023</v>
      </c>
    </row>
    <row r="118" spans="1:29">
      <c r="B118" s="1137" t="s">
        <v>275</v>
      </c>
      <c r="C118" s="1138"/>
      <c r="D118" s="1139">
        <f>D13+D31+D49+D67+D85+D103</f>
        <v>1149981</v>
      </c>
      <c r="E118" s="1139">
        <f t="shared" ref="E118:T118" si="54">E13+E31+E49+E67+E85+E103</f>
        <v>1237028</v>
      </c>
      <c r="F118" s="1139">
        <f t="shared" si="54"/>
        <v>1282384</v>
      </c>
      <c r="G118" s="1139">
        <f t="shared" si="54"/>
        <v>1307377</v>
      </c>
      <c r="H118" s="1139">
        <f t="shared" si="54"/>
        <v>1382985</v>
      </c>
      <c r="I118" s="1139">
        <f t="shared" si="54"/>
        <v>1331777</v>
      </c>
      <c r="J118" s="1139">
        <f t="shared" si="54"/>
        <v>1389232</v>
      </c>
      <c r="K118" s="1139">
        <f t="shared" si="54"/>
        <v>1555711</v>
      </c>
      <c r="L118" s="1139">
        <f t="shared" si="54"/>
        <v>1728578</v>
      </c>
      <c r="M118" s="1139">
        <f t="shared" si="54"/>
        <v>1921441</v>
      </c>
      <c r="N118" s="1139">
        <f t="shared" si="54"/>
        <v>2008933</v>
      </c>
      <c r="O118" s="1139">
        <f t="shared" si="54"/>
        <v>2188932</v>
      </c>
      <c r="P118" s="1139">
        <f t="shared" si="54"/>
        <v>2436257</v>
      </c>
      <c r="Q118" s="1139">
        <f t="shared" si="54"/>
        <v>2456411</v>
      </c>
      <c r="R118" s="1139">
        <f t="shared" si="54"/>
        <v>2600036</v>
      </c>
      <c r="S118" s="1139">
        <f t="shared" si="54"/>
        <v>2465543</v>
      </c>
      <c r="T118" s="1139">
        <f t="shared" si="54"/>
        <v>2538782</v>
      </c>
      <c r="U118" s="1139">
        <v>2598438</v>
      </c>
      <c r="V118" s="532">
        <v>2642997</v>
      </c>
      <c r="W118" s="532">
        <f>W13+W31+W49+W67+W85+W103</f>
        <v>2783286</v>
      </c>
      <c r="X118" s="812"/>
      <c r="Y118" s="812"/>
      <c r="AA118" s="812"/>
      <c r="AB118" s="812"/>
      <c r="AC118" s="812"/>
    </row>
    <row r="119" spans="1:29">
      <c r="B119" s="1140" t="s">
        <v>276</v>
      </c>
      <c r="C119" s="1141"/>
      <c r="D119" s="1142">
        <f>D16+D34+D52+D70+D88+D106</f>
        <v>1773822</v>
      </c>
      <c r="E119" s="1142">
        <f t="shared" ref="E119:T119" si="55">E16+E34+E52+E70+E88+E106</f>
        <v>2072805</v>
      </c>
      <c r="F119" s="1142">
        <f t="shared" si="55"/>
        <v>2022731</v>
      </c>
      <c r="G119" s="1142">
        <f t="shared" si="55"/>
        <v>2107125</v>
      </c>
      <c r="H119" s="1142">
        <f t="shared" si="55"/>
        <v>2149428</v>
      </c>
      <c r="I119" s="1142">
        <f t="shared" si="55"/>
        <v>1934661</v>
      </c>
      <c r="J119" s="1142">
        <f t="shared" si="55"/>
        <v>2461004</v>
      </c>
      <c r="K119" s="1142">
        <f t="shared" si="55"/>
        <v>2358797</v>
      </c>
      <c r="L119" s="1142">
        <f t="shared" si="55"/>
        <v>2368478</v>
      </c>
      <c r="M119" s="1142">
        <f t="shared" si="55"/>
        <v>2309520</v>
      </c>
      <c r="N119" s="1142">
        <f t="shared" si="55"/>
        <v>2281077</v>
      </c>
      <c r="O119" s="1142">
        <f t="shared" si="55"/>
        <v>2339557</v>
      </c>
      <c r="P119" s="1142">
        <f t="shared" si="55"/>
        <v>2456492</v>
      </c>
      <c r="Q119" s="1142">
        <f t="shared" si="55"/>
        <v>2587653</v>
      </c>
      <c r="R119" s="1142">
        <f t="shared" si="55"/>
        <v>2743126</v>
      </c>
      <c r="S119" s="1142">
        <f t="shared" si="55"/>
        <v>2882282</v>
      </c>
      <c r="T119" s="1142">
        <f t="shared" si="55"/>
        <v>2809184</v>
      </c>
      <c r="U119" s="1142">
        <v>2811808</v>
      </c>
      <c r="V119" s="540">
        <v>2780513</v>
      </c>
      <c r="W119" s="540">
        <f>W16+W34+W52+W70+W88+W106</f>
        <v>2964247</v>
      </c>
      <c r="X119" s="812"/>
      <c r="Y119" s="812"/>
      <c r="AA119" s="812"/>
      <c r="AB119" s="812"/>
      <c r="AC119" s="812"/>
    </row>
    <row r="120" spans="1:29">
      <c r="B120" s="1143" t="s">
        <v>293</v>
      </c>
      <c r="C120" s="1144"/>
      <c r="D120" s="810">
        <f>D23+D41+D59+D77+D95+D113</f>
        <v>1705252</v>
      </c>
      <c r="E120" s="810">
        <f t="shared" ref="E120:T120" si="56">E23+E41+E59+E77+E95+E113</f>
        <v>2008969</v>
      </c>
      <c r="F120" s="810">
        <f t="shared" si="56"/>
        <v>2358326</v>
      </c>
      <c r="G120" s="810">
        <f t="shared" si="56"/>
        <v>2577681</v>
      </c>
      <c r="H120" s="810">
        <f t="shared" si="56"/>
        <v>2838620</v>
      </c>
      <c r="I120" s="810">
        <f t="shared" si="56"/>
        <v>2815629</v>
      </c>
      <c r="J120" s="810">
        <f t="shared" si="56"/>
        <v>3149889</v>
      </c>
      <c r="K120" s="810">
        <f t="shared" si="56"/>
        <v>3328711</v>
      </c>
      <c r="L120" s="810">
        <f t="shared" si="56"/>
        <v>3592359</v>
      </c>
      <c r="M120" s="810">
        <f t="shared" si="56"/>
        <v>3744584</v>
      </c>
      <c r="N120" s="810">
        <f t="shared" si="56"/>
        <v>3974560</v>
      </c>
      <c r="O120" s="810">
        <f t="shared" si="56"/>
        <v>4194233</v>
      </c>
      <c r="P120" s="810">
        <f t="shared" si="56"/>
        <v>4054312</v>
      </c>
      <c r="Q120" s="810">
        <f t="shared" si="56"/>
        <v>4214917</v>
      </c>
      <c r="R120" s="810">
        <f t="shared" si="56"/>
        <v>4372022</v>
      </c>
      <c r="S120" s="810">
        <f t="shared" si="56"/>
        <v>4526180</v>
      </c>
      <c r="T120" s="810">
        <f t="shared" si="56"/>
        <v>4554971</v>
      </c>
      <c r="U120" s="810">
        <v>4907160</v>
      </c>
      <c r="V120" s="539">
        <v>5128093</v>
      </c>
      <c r="W120" s="539">
        <f>W23+W41+W59+W77+W95+W113</f>
        <v>5154480</v>
      </c>
      <c r="X120" s="812"/>
      <c r="Y120" s="812"/>
      <c r="AA120" s="812"/>
      <c r="AB120" s="812"/>
      <c r="AC120" s="812"/>
    </row>
    <row r="121" spans="1:29">
      <c r="B121" s="809" t="s">
        <v>62</v>
      </c>
      <c r="C121" s="1096"/>
      <c r="D121" s="539">
        <f>SUM(D118:D120)</f>
        <v>4629055</v>
      </c>
      <c r="E121" s="539">
        <f t="shared" ref="E121:W121" si="57">SUM(E118:E120)</f>
        <v>5318802</v>
      </c>
      <c r="F121" s="539">
        <f t="shared" si="57"/>
        <v>5663441</v>
      </c>
      <c r="G121" s="539">
        <f t="shared" si="57"/>
        <v>5992183</v>
      </c>
      <c r="H121" s="539">
        <f t="shared" si="57"/>
        <v>6371033</v>
      </c>
      <c r="I121" s="539">
        <f t="shared" si="57"/>
        <v>6082067</v>
      </c>
      <c r="J121" s="539">
        <f t="shared" si="57"/>
        <v>7000125</v>
      </c>
      <c r="K121" s="539">
        <f t="shared" si="57"/>
        <v>7243219</v>
      </c>
      <c r="L121" s="539">
        <f t="shared" si="57"/>
        <v>7689415</v>
      </c>
      <c r="M121" s="539">
        <f t="shared" si="57"/>
        <v>7975545</v>
      </c>
      <c r="N121" s="539">
        <f t="shared" si="57"/>
        <v>8264570</v>
      </c>
      <c r="O121" s="539">
        <f t="shared" si="57"/>
        <v>8722722</v>
      </c>
      <c r="P121" s="539">
        <f t="shared" si="57"/>
        <v>8947061</v>
      </c>
      <c r="Q121" s="539">
        <f t="shared" si="57"/>
        <v>9258981</v>
      </c>
      <c r="R121" s="539">
        <f t="shared" si="57"/>
        <v>9715184</v>
      </c>
      <c r="S121" s="539">
        <f t="shared" si="57"/>
        <v>9874005</v>
      </c>
      <c r="T121" s="539">
        <f t="shared" si="57"/>
        <v>9902937</v>
      </c>
      <c r="U121" s="780">
        <f t="shared" si="57"/>
        <v>10317406</v>
      </c>
      <c r="V121" s="780">
        <f t="shared" si="57"/>
        <v>10551603</v>
      </c>
      <c r="W121" s="780">
        <f t="shared" si="57"/>
        <v>10902013</v>
      </c>
      <c r="X121" s="812"/>
      <c r="Y121" s="812"/>
      <c r="AA121" s="812"/>
      <c r="AB121" s="812"/>
      <c r="AC121" s="812"/>
    </row>
    <row r="122" spans="1:29">
      <c r="U122" s="1106"/>
    </row>
    <row r="123" spans="1:29">
      <c r="B123" s="1145" t="s">
        <v>61</v>
      </c>
      <c r="C123" s="1146"/>
      <c r="D123" s="553">
        <v>2004</v>
      </c>
      <c r="E123" s="553">
        <v>2005</v>
      </c>
      <c r="F123" s="553">
        <v>2006</v>
      </c>
      <c r="G123" s="553">
        <v>2007</v>
      </c>
      <c r="H123" s="553">
        <v>2008</v>
      </c>
      <c r="I123" s="553">
        <v>2009</v>
      </c>
      <c r="J123" s="553">
        <v>2010</v>
      </c>
      <c r="K123" s="553">
        <v>2011</v>
      </c>
      <c r="L123" s="553">
        <v>2012</v>
      </c>
      <c r="M123" s="553">
        <v>2013</v>
      </c>
      <c r="N123" s="553">
        <v>2014</v>
      </c>
      <c r="O123" s="553">
        <v>2015</v>
      </c>
      <c r="P123" s="553">
        <v>2016</v>
      </c>
      <c r="Q123" s="553">
        <v>2017</v>
      </c>
      <c r="R123" s="553">
        <v>2018</v>
      </c>
      <c r="S123" s="553">
        <v>2019</v>
      </c>
      <c r="T123" s="530">
        <v>2020</v>
      </c>
      <c r="U123" s="552">
        <v>2021</v>
      </c>
      <c r="V123" s="553">
        <v>2022</v>
      </c>
      <c r="W123" s="553">
        <v>2023</v>
      </c>
    </row>
    <row r="124" spans="1:29">
      <c r="B124" s="1109" t="s">
        <v>54</v>
      </c>
      <c r="C124" s="813"/>
      <c r="D124" s="532">
        <f>D24</f>
        <v>1955254</v>
      </c>
      <c r="E124" s="532">
        <f t="shared" ref="E124:T124" si="58">E24</f>
        <v>2264910</v>
      </c>
      <c r="F124" s="532">
        <f t="shared" si="58"/>
        <v>2380192</v>
      </c>
      <c r="G124" s="532">
        <f t="shared" si="58"/>
        <v>2560592</v>
      </c>
      <c r="H124" s="532">
        <f t="shared" si="58"/>
        <v>2737287</v>
      </c>
      <c r="I124" s="532">
        <f t="shared" si="58"/>
        <v>2685260</v>
      </c>
      <c r="J124" s="532">
        <f t="shared" si="58"/>
        <v>3003765</v>
      </c>
      <c r="K124" s="532">
        <f t="shared" si="58"/>
        <v>3060397</v>
      </c>
      <c r="L124" s="532">
        <f t="shared" si="58"/>
        <v>3107006</v>
      </c>
      <c r="M124" s="532">
        <f t="shared" si="58"/>
        <v>3161888</v>
      </c>
      <c r="N124" s="532">
        <f t="shared" si="58"/>
        <v>3238940</v>
      </c>
      <c r="O124" s="532">
        <f t="shared" si="58"/>
        <v>3251956</v>
      </c>
      <c r="P124" s="532">
        <f t="shared" si="58"/>
        <v>3262666</v>
      </c>
      <c r="Q124" s="532">
        <f t="shared" si="58"/>
        <v>3344724</v>
      </c>
      <c r="R124" s="532">
        <f t="shared" si="58"/>
        <v>3467876</v>
      </c>
      <c r="S124" s="532">
        <f t="shared" si="58"/>
        <v>3497960</v>
      </c>
      <c r="T124" s="532">
        <f t="shared" si="58"/>
        <v>3445318</v>
      </c>
      <c r="U124" s="532">
        <v>3542848</v>
      </c>
      <c r="V124" s="532">
        <v>3557396</v>
      </c>
      <c r="W124" s="532">
        <f>W24</f>
        <v>3626930</v>
      </c>
      <c r="X124" s="812"/>
      <c r="Y124" s="812"/>
      <c r="AA124" s="812"/>
      <c r="AB124" s="812"/>
      <c r="AC124" s="812"/>
    </row>
    <row r="125" spans="1:29">
      <c r="B125" s="1111" t="s">
        <v>55</v>
      </c>
      <c r="C125" s="1093"/>
      <c r="D125" s="792">
        <f>D42</f>
        <v>984698</v>
      </c>
      <c r="E125" s="792">
        <f t="shared" ref="E125:T125" si="59">E42</f>
        <v>1082620</v>
      </c>
      <c r="F125" s="792">
        <f t="shared" si="59"/>
        <v>1085270</v>
      </c>
      <c r="G125" s="792">
        <f t="shared" si="59"/>
        <v>1095421</v>
      </c>
      <c r="H125" s="792">
        <f t="shared" si="59"/>
        <v>1081722</v>
      </c>
      <c r="I125" s="792">
        <f t="shared" si="59"/>
        <v>998209</v>
      </c>
      <c r="J125" s="792">
        <f t="shared" si="59"/>
        <v>1145232</v>
      </c>
      <c r="K125" s="792">
        <f t="shared" si="59"/>
        <v>1186328</v>
      </c>
      <c r="L125" s="792">
        <f t="shared" si="59"/>
        <v>1281023</v>
      </c>
      <c r="M125" s="792">
        <f t="shared" si="59"/>
        <v>1275625</v>
      </c>
      <c r="N125" s="792">
        <f t="shared" si="59"/>
        <v>1258882</v>
      </c>
      <c r="O125" s="792">
        <f t="shared" si="59"/>
        <v>1225357</v>
      </c>
      <c r="P125" s="792">
        <f t="shared" si="59"/>
        <v>1211142</v>
      </c>
      <c r="Q125" s="792">
        <f t="shared" si="59"/>
        <v>1244535</v>
      </c>
      <c r="R125" s="792">
        <f t="shared" si="59"/>
        <v>1273772</v>
      </c>
      <c r="S125" s="792">
        <f t="shared" si="59"/>
        <v>1251430</v>
      </c>
      <c r="T125" s="792">
        <f t="shared" si="59"/>
        <v>1217123</v>
      </c>
      <c r="U125" s="792">
        <v>1196855</v>
      </c>
      <c r="V125" s="540">
        <v>1187688</v>
      </c>
      <c r="W125" s="540">
        <f>W42</f>
        <v>1203357</v>
      </c>
      <c r="X125" s="812"/>
      <c r="Y125" s="812"/>
      <c r="AA125" s="812"/>
      <c r="AB125" s="812"/>
      <c r="AC125" s="812"/>
    </row>
    <row r="126" spans="1:29">
      <c r="B126" s="1111" t="s">
        <v>290</v>
      </c>
      <c r="C126" s="1093"/>
      <c r="D126" s="792">
        <f>D60</f>
        <v>216380</v>
      </c>
      <c r="E126" s="792">
        <f t="shared" ref="E126:T126" si="60">E60</f>
        <v>285537</v>
      </c>
      <c r="F126" s="792">
        <f t="shared" si="60"/>
        <v>317298</v>
      </c>
      <c r="G126" s="792">
        <f t="shared" si="60"/>
        <v>328462</v>
      </c>
      <c r="H126" s="792">
        <f t="shared" si="60"/>
        <v>302412</v>
      </c>
      <c r="I126" s="792">
        <f t="shared" si="60"/>
        <v>298000</v>
      </c>
      <c r="J126" s="792">
        <f t="shared" si="60"/>
        <v>340552</v>
      </c>
      <c r="K126" s="792">
        <f t="shared" si="60"/>
        <v>364530</v>
      </c>
      <c r="L126" s="792">
        <f t="shared" si="60"/>
        <v>409186</v>
      </c>
      <c r="M126" s="792">
        <f t="shared" si="60"/>
        <v>454204</v>
      </c>
      <c r="N126" s="792">
        <f t="shared" si="60"/>
        <v>452053</v>
      </c>
      <c r="O126" s="792">
        <f t="shared" si="60"/>
        <v>469136</v>
      </c>
      <c r="P126" s="792">
        <f t="shared" si="60"/>
        <v>480312</v>
      </c>
      <c r="Q126" s="792">
        <f t="shared" si="60"/>
        <v>459727</v>
      </c>
      <c r="R126" s="792">
        <f t="shared" si="60"/>
        <v>493229</v>
      </c>
      <c r="S126" s="792">
        <f t="shared" si="60"/>
        <v>549660</v>
      </c>
      <c r="T126" s="792">
        <f t="shared" si="60"/>
        <v>589441</v>
      </c>
      <c r="U126" s="792">
        <v>609127</v>
      </c>
      <c r="V126" s="540">
        <v>648750</v>
      </c>
      <c r="W126" s="792">
        <f>W60</f>
        <v>749273</v>
      </c>
      <c r="X126" s="812"/>
      <c r="Y126" s="812"/>
      <c r="AA126" s="812"/>
      <c r="AB126" s="812"/>
      <c r="AC126" s="812"/>
    </row>
    <row r="127" spans="1:29">
      <c r="B127" s="1111" t="s">
        <v>57</v>
      </c>
      <c r="C127" s="1093"/>
      <c r="D127" s="792">
        <f>D78</f>
        <v>79214</v>
      </c>
      <c r="E127" s="792">
        <f t="shared" ref="E127:T127" si="61">E78</f>
        <v>112900</v>
      </c>
      <c r="F127" s="792">
        <f t="shared" si="61"/>
        <v>150192</v>
      </c>
      <c r="G127" s="792">
        <f t="shared" si="61"/>
        <v>196331</v>
      </c>
      <c r="H127" s="792">
        <f t="shared" si="61"/>
        <v>251277</v>
      </c>
      <c r="I127" s="792">
        <f t="shared" si="61"/>
        <v>293781</v>
      </c>
      <c r="J127" s="792">
        <f t="shared" si="61"/>
        <v>376596</v>
      </c>
      <c r="K127" s="792">
        <f t="shared" si="61"/>
        <v>525218</v>
      </c>
      <c r="L127" s="792">
        <f t="shared" si="61"/>
        <v>692937</v>
      </c>
      <c r="M127" s="792">
        <f t="shared" si="61"/>
        <v>881565</v>
      </c>
      <c r="N127" s="792">
        <f t="shared" si="61"/>
        <v>1008743</v>
      </c>
      <c r="O127" s="792">
        <f t="shared" si="61"/>
        <v>1217730</v>
      </c>
      <c r="P127" s="792">
        <f t="shared" si="61"/>
        <v>1515906</v>
      </c>
      <c r="Q127" s="792">
        <f t="shared" si="61"/>
        <v>1619201</v>
      </c>
      <c r="R127" s="792">
        <f t="shared" si="61"/>
        <v>1804971</v>
      </c>
      <c r="S127" s="792">
        <f t="shared" si="61"/>
        <v>1772440</v>
      </c>
      <c r="T127" s="792">
        <f t="shared" si="61"/>
        <v>1929494</v>
      </c>
      <c r="U127" s="792">
        <v>2138679</v>
      </c>
      <c r="V127" s="540">
        <v>2290704</v>
      </c>
      <c r="W127" s="792">
        <f>W78</f>
        <v>2420744</v>
      </c>
      <c r="X127" s="812"/>
      <c r="Y127" s="812"/>
      <c r="AA127" s="812"/>
      <c r="AB127" s="812"/>
      <c r="AC127" s="812"/>
    </row>
    <row r="128" spans="1:29">
      <c r="B128" s="1111" t="s">
        <v>58</v>
      </c>
      <c r="C128" s="1093"/>
      <c r="D128" s="792">
        <f>D96</f>
        <v>1098197</v>
      </c>
      <c r="E128" s="792">
        <f t="shared" ref="E128:T128" si="62">E96</f>
        <v>1254248</v>
      </c>
      <c r="F128" s="792">
        <f t="shared" si="62"/>
        <v>1364254</v>
      </c>
      <c r="G128" s="792">
        <f t="shared" si="62"/>
        <v>1449599</v>
      </c>
      <c r="H128" s="792">
        <f t="shared" si="62"/>
        <v>1507664</v>
      </c>
      <c r="I128" s="792">
        <f t="shared" si="62"/>
        <v>1391084</v>
      </c>
      <c r="J128" s="792">
        <f t="shared" si="62"/>
        <v>1679319</v>
      </c>
      <c r="K128" s="792">
        <f t="shared" si="62"/>
        <v>1653277</v>
      </c>
      <c r="L128" s="792">
        <f t="shared" si="62"/>
        <v>1709061</v>
      </c>
      <c r="M128" s="792">
        <f t="shared" si="62"/>
        <v>1718491</v>
      </c>
      <c r="N128" s="792">
        <f t="shared" si="62"/>
        <v>1829321</v>
      </c>
      <c r="O128" s="792">
        <f t="shared" si="62"/>
        <v>2063114</v>
      </c>
      <c r="P128" s="792">
        <f t="shared" si="62"/>
        <v>1961936</v>
      </c>
      <c r="Q128" s="792">
        <f t="shared" si="62"/>
        <v>2057424</v>
      </c>
      <c r="R128" s="792">
        <f t="shared" si="62"/>
        <v>2094983</v>
      </c>
      <c r="S128" s="792">
        <f t="shared" si="62"/>
        <v>2191161</v>
      </c>
      <c r="T128" s="792">
        <f t="shared" si="62"/>
        <v>2098070</v>
      </c>
      <c r="U128" s="792">
        <v>2203957</v>
      </c>
      <c r="V128" s="540">
        <v>2255033</v>
      </c>
      <c r="W128" s="792">
        <f>W96</f>
        <v>2279219</v>
      </c>
      <c r="X128" s="812"/>
      <c r="Y128" s="812"/>
      <c r="AA128" s="812"/>
      <c r="AB128" s="812"/>
      <c r="AC128" s="812"/>
    </row>
    <row r="129" spans="2:29">
      <c r="B129" s="809" t="s">
        <v>59</v>
      </c>
      <c r="C129" s="1096"/>
      <c r="D129" s="539">
        <f>D114</f>
        <v>295312</v>
      </c>
      <c r="E129" s="539">
        <f t="shared" ref="E129:T129" si="63">E114</f>
        <v>318587</v>
      </c>
      <c r="F129" s="539">
        <f t="shared" si="63"/>
        <v>366235</v>
      </c>
      <c r="G129" s="539">
        <f t="shared" si="63"/>
        <v>361778</v>
      </c>
      <c r="H129" s="539">
        <f t="shared" si="63"/>
        <v>490671</v>
      </c>
      <c r="I129" s="539">
        <f t="shared" si="63"/>
        <v>415733</v>
      </c>
      <c r="J129" s="539">
        <f t="shared" si="63"/>
        <v>454661</v>
      </c>
      <c r="K129" s="539">
        <f t="shared" si="63"/>
        <v>453469</v>
      </c>
      <c r="L129" s="539">
        <f t="shared" si="63"/>
        <v>490202</v>
      </c>
      <c r="M129" s="539">
        <f t="shared" si="63"/>
        <v>483772</v>
      </c>
      <c r="N129" s="539">
        <f t="shared" si="63"/>
        <v>476631</v>
      </c>
      <c r="O129" s="539">
        <f t="shared" si="63"/>
        <v>495429</v>
      </c>
      <c r="P129" s="539">
        <f t="shared" si="63"/>
        <v>515099</v>
      </c>
      <c r="Q129" s="539">
        <f t="shared" si="63"/>
        <v>533370</v>
      </c>
      <c r="R129" s="539">
        <f t="shared" si="63"/>
        <v>580353</v>
      </c>
      <c r="S129" s="539">
        <f t="shared" si="63"/>
        <v>611354</v>
      </c>
      <c r="T129" s="539">
        <f t="shared" si="63"/>
        <v>623491</v>
      </c>
      <c r="U129" s="539">
        <v>625940</v>
      </c>
      <c r="V129" s="539">
        <v>612032</v>
      </c>
      <c r="W129" s="539">
        <f>W114</f>
        <v>622490</v>
      </c>
      <c r="X129" s="812"/>
      <c r="Y129" s="812"/>
      <c r="AA129" s="812"/>
      <c r="AB129" s="812"/>
      <c r="AC129" s="812"/>
    </row>
    <row r="130" spans="2:29">
      <c r="B130" s="1145" t="s">
        <v>62</v>
      </c>
      <c r="C130" s="1146"/>
      <c r="D130" s="1149">
        <f>SUM(D124:D129)</f>
        <v>4629055</v>
      </c>
      <c r="E130" s="1149">
        <f t="shared" ref="E130:W130" si="64">SUM(E124:E129)</f>
        <v>5318802</v>
      </c>
      <c r="F130" s="1149">
        <f t="shared" si="64"/>
        <v>5663441</v>
      </c>
      <c r="G130" s="1149">
        <f t="shared" si="64"/>
        <v>5992183</v>
      </c>
      <c r="H130" s="1149">
        <f t="shared" si="64"/>
        <v>6371033</v>
      </c>
      <c r="I130" s="1149">
        <f t="shared" si="64"/>
        <v>6082067</v>
      </c>
      <c r="J130" s="1149">
        <f t="shared" si="64"/>
        <v>7000125</v>
      </c>
      <c r="K130" s="1149">
        <f t="shared" si="64"/>
        <v>7243219</v>
      </c>
      <c r="L130" s="1149">
        <f t="shared" si="64"/>
        <v>7689415</v>
      </c>
      <c r="M130" s="1149">
        <f t="shared" si="64"/>
        <v>7975545</v>
      </c>
      <c r="N130" s="1149">
        <f t="shared" si="64"/>
        <v>8264570</v>
      </c>
      <c r="O130" s="1149">
        <f t="shared" si="64"/>
        <v>8722722</v>
      </c>
      <c r="P130" s="1149">
        <f t="shared" si="64"/>
        <v>8947061</v>
      </c>
      <c r="Q130" s="1149">
        <f t="shared" si="64"/>
        <v>9258981</v>
      </c>
      <c r="R130" s="1149">
        <f t="shared" si="64"/>
        <v>9715184</v>
      </c>
      <c r="S130" s="1149">
        <f t="shared" si="64"/>
        <v>9874005</v>
      </c>
      <c r="T130" s="1149">
        <f t="shared" si="64"/>
        <v>9902937</v>
      </c>
      <c r="U130" s="780">
        <f t="shared" si="64"/>
        <v>10317406</v>
      </c>
      <c r="V130" s="780">
        <f t="shared" si="64"/>
        <v>10551603</v>
      </c>
      <c r="W130" s="780">
        <f t="shared" si="64"/>
        <v>10902013</v>
      </c>
      <c r="X130" s="812"/>
      <c r="Y130" s="812"/>
      <c r="AA130" s="812"/>
      <c r="AB130" s="812"/>
      <c r="AC130" s="812"/>
    </row>
    <row r="131" spans="2:29">
      <c r="U131" s="1106"/>
      <c r="X131" s="812"/>
    </row>
    <row r="132" spans="2:29">
      <c r="B132" s="1145" t="s">
        <v>289</v>
      </c>
      <c r="C132" s="1146"/>
      <c r="D132" s="553">
        <v>2004</v>
      </c>
      <c r="E132" s="553">
        <v>2005</v>
      </c>
      <c r="F132" s="553">
        <v>2006</v>
      </c>
      <c r="G132" s="553">
        <v>2007</v>
      </c>
      <c r="H132" s="553">
        <v>2008</v>
      </c>
      <c r="I132" s="553">
        <v>2009</v>
      </c>
      <c r="J132" s="553">
        <v>2010</v>
      </c>
      <c r="K132" s="553">
        <v>2011</v>
      </c>
      <c r="L132" s="553">
        <v>2012</v>
      </c>
      <c r="M132" s="553">
        <v>2013</v>
      </c>
      <c r="N132" s="553">
        <v>2014</v>
      </c>
      <c r="O132" s="553">
        <v>2015</v>
      </c>
      <c r="P132" s="553">
        <v>2016</v>
      </c>
      <c r="Q132" s="553">
        <v>2017</v>
      </c>
      <c r="R132" s="553">
        <v>2018</v>
      </c>
      <c r="S132" s="553">
        <v>2019</v>
      </c>
      <c r="T132" s="530">
        <v>2020</v>
      </c>
      <c r="U132" s="552">
        <v>2021</v>
      </c>
      <c r="V132" s="553">
        <v>2022</v>
      </c>
      <c r="W132" s="553">
        <v>2023</v>
      </c>
      <c r="X132" s="812"/>
    </row>
    <row r="133" spans="2:29">
      <c r="B133" s="1109" t="s">
        <v>54</v>
      </c>
      <c r="C133" s="813"/>
      <c r="D133" s="532">
        <v>3333834</v>
      </c>
      <c r="E133" s="532">
        <v>3806771</v>
      </c>
      <c r="F133" s="532">
        <v>4055596</v>
      </c>
      <c r="G133" s="532">
        <v>4365942</v>
      </c>
      <c r="H133" s="532">
        <v>4695731</v>
      </c>
      <c r="I133" s="532">
        <v>4495138</v>
      </c>
      <c r="J133" s="532">
        <v>5292028</v>
      </c>
      <c r="K133" s="532">
        <v>5292322</v>
      </c>
      <c r="L133" s="532">
        <v>5517748</v>
      </c>
      <c r="M133" s="532">
        <v>5577737</v>
      </c>
      <c r="N133" s="532">
        <v>5764991</v>
      </c>
      <c r="O133" s="532">
        <v>6042750</v>
      </c>
      <c r="P133" s="532">
        <v>6020808</v>
      </c>
      <c r="Q133" s="532">
        <v>6294311</v>
      </c>
      <c r="R133" s="532">
        <v>6586184</v>
      </c>
      <c r="S133" s="532">
        <v>6850874</v>
      </c>
      <c r="T133" s="532">
        <v>6811733</v>
      </c>
      <c r="U133" s="551">
        <v>7162661</v>
      </c>
      <c r="V133" s="532">
        <v>7341698</v>
      </c>
      <c r="W133" s="532">
        <v>7587456</v>
      </c>
      <c r="X133" s="812"/>
      <c r="Y133" s="812"/>
      <c r="AA133" s="812"/>
      <c r="AB133" s="812"/>
      <c r="AC133" s="812"/>
    </row>
    <row r="134" spans="2:29">
      <c r="B134" s="1111" t="s">
        <v>55</v>
      </c>
      <c r="C134" s="1093"/>
      <c r="D134" s="792">
        <v>423081</v>
      </c>
      <c r="E134" s="792">
        <v>427078</v>
      </c>
      <c r="F134" s="792">
        <v>408674</v>
      </c>
      <c r="G134" s="792">
        <v>396291</v>
      </c>
      <c r="H134" s="792">
        <v>391002</v>
      </c>
      <c r="I134" s="792">
        <v>348596</v>
      </c>
      <c r="J134" s="792">
        <v>344598</v>
      </c>
      <c r="K134" s="792">
        <v>342610</v>
      </c>
      <c r="L134" s="792">
        <v>342796</v>
      </c>
      <c r="M134" s="792">
        <v>328436</v>
      </c>
      <c r="N134" s="792">
        <v>325989</v>
      </c>
      <c r="O134" s="792">
        <v>318721</v>
      </c>
      <c r="P134" s="792">
        <v>318381</v>
      </c>
      <c r="Q134" s="792">
        <v>318479</v>
      </c>
      <c r="R134" s="792">
        <v>313567</v>
      </c>
      <c r="S134" s="792">
        <v>307969</v>
      </c>
      <c r="T134" s="792">
        <v>288472</v>
      </c>
      <c r="U134" s="548">
        <v>289200</v>
      </c>
      <c r="V134" s="540">
        <v>289530</v>
      </c>
      <c r="W134" s="540">
        <v>300133</v>
      </c>
      <c r="X134" s="812"/>
      <c r="Y134" s="812"/>
      <c r="AA134" s="812"/>
      <c r="AB134" s="812"/>
      <c r="AC134" s="812"/>
    </row>
    <row r="135" spans="2:29">
      <c r="B135" s="1111" t="s">
        <v>290</v>
      </c>
      <c r="C135" s="1093"/>
      <c r="D135" s="792">
        <v>140115</v>
      </c>
      <c r="E135" s="792">
        <v>160921</v>
      </c>
      <c r="F135" s="792">
        <v>166189</v>
      </c>
      <c r="G135" s="792">
        <v>172469</v>
      </c>
      <c r="H135" s="792">
        <v>170632</v>
      </c>
      <c r="I135" s="792">
        <v>163523</v>
      </c>
      <c r="J135" s="792">
        <v>170101</v>
      </c>
      <c r="K135" s="792">
        <v>178924</v>
      </c>
      <c r="L135" s="792">
        <v>188915</v>
      </c>
      <c r="M135" s="792">
        <v>204589</v>
      </c>
      <c r="N135" s="792">
        <v>210292</v>
      </c>
      <c r="O135" s="792">
        <v>213694</v>
      </c>
      <c r="P135" s="792">
        <v>208830</v>
      </c>
      <c r="Q135" s="792">
        <v>204775</v>
      </c>
      <c r="R135" s="792">
        <v>209992</v>
      </c>
      <c r="S135" s="792">
        <v>218975</v>
      </c>
      <c r="T135" s="792">
        <v>226759</v>
      </c>
      <c r="U135" s="548">
        <v>237998</v>
      </c>
      <c r="V135" s="540">
        <v>237633</v>
      </c>
      <c r="W135" s="540">
        <v>243310</v>
      </c>
      <c r="X135" s="812"/>
      <c r="Y135" s="812"/>
      <c r="AA135" s="812"/>
      <c r="AB135" s="812"/>
      <c r="AC135" s="812"/>
    </row>
    <row r="136" spans="2:29">
      <c r="B136" s="1111" t="s">
        <v>57</v>
      </c>
      <c r="C136" s="1093"/>
      <c r="D136" s="792">
        <v>130384</v>
      </c>
      <c r="E136" s="792">
        <v>173327</v>
      </c>
      <c r="F136" s="792">
        <v>210501</v>
      </c>
      <c r="G136" s="792">
        <v>245161</v>
      </c>
      <c r="H136" s="792">
        <v>289838</v>
      </c>
      <c r="I136" s="792">
        <v>314604</v>
      </c>
      <c r="J136" s="792">
        <v>391178</v>
      </c>
      <c r="K136" s="792">
        <v>526412</v>
      </c>
      <c r="L136" s="792">
        <v>652777</v>
      </c>
      <c r="M136" s="792">
        <v>825136</v>
      </c>
      <c r="N136" s="792">
        <v>928177</v>
      </c>
      <c r="O136" s="792">
        <v>1101864</v>
      </c>
      <c r="P136" s="792">
        <v>1338503</v>
      </c>
      <c r="Q136" s="792">
        <v>1381594</v>
      </c>
      <c r="R136" s="792">
        <v>1542002</v>
      </c>
      <c r="S136" s="792">
        <v>1400661</v>
      </c>
      <c r="T136" s="792">
        <v>1497159</v>
      </c>
      <c r="U136" s="548">
        <v>1585663</v>
      </c>
      <c r="V136" s="540">
        <v>1619268</v>
      </c>
      <c r="W136" s="540">
        <v>1677701</v>
      </c>
      <c r="X136" s="812"/>
      <c r="Y136" s="812"/>
      <c r="AA136" s="812"/>
      <c r="AB136" s="812"/>
      <c r="AC136" s="812"/>
    </row>
    <row r="137" spans="2:29">
      <c r="B137" s="1111" t="s">
        <v>58</v>
      </c>
      <c r="C137" s="1093"/>
      <c r="D137" s="792">
        <v>356943</v>
      </c>
      <c r="E137" s="792">
        <v>390733</v>
      </c>
      <c r="F137" s="792">
        <v>425967</v>
      </c>
      <c r="G137" s="792">
        <v>456154</v>
      </c>
      <c r="H137" s="792">
        <v>456321</v>
      </c>
      <c r="I137" s="792">
        <v>456106</v>
      </c>
      <c r="J137" s="792">
        <v>490226</v>
      </c>
      <c r="K137" s="792">
        <v>503582</v>
      </c>
      <c r="L137" s="792">
        <v>542815</v>
      </c>
      <c r="M137" s="792">
        <v>571612</v>
      </c>
      <c r="N137" s="792">
        <v>578802</v>
      </c>
      <c r="O137" s="792">
        <v>589410</v>
      </c>
      <c r="P137" s="792">
        <v>605571</v>
      </c>
      <c r="Q137" s="792">
        <v>606956</v>
      </c>
      <c r="R137" s="792">
        <v>597141</v>
      </c>
      <c r="S137" s="792">
        <v>621453</v>
      </c>
      <c r="T137" s="792">
        <v>597172</v>
      </c>
      <c r="U137" s="548">
        <v>591473</v>
      </c>
      <c r="V137" s="540">
        <v>594340</v>
      </c>
      <c r="W137" s="540">
        <v>602498</v>
      </c>
      <c r="X137" s="812"/>
      <c r="Y137" s="812"/>
      <c r="AA137" s="812"/>
      <c r="AB137" s="812"/>
      <c r="AC137" s="812"/>
    </row>
    <row r="138" spans="2:29">
      <c r="B138" s="809" t="s">
        <v>59</v>
      </c>
      <c r="C138" s="1096"/>
      <c r="D138" s="539">
        <v>244698</v>
      </c>
      <c r="E138" s="539">
        <v>359972</v>
      </c>
      <c r="F138" s="539">
        <v>396514</v>
      </c>
      <c r="G138" s="539">
        <v>356166</v>
      </c>
      <c r="H138" s="539">
        <v>367509</v>
      </c>
      <c r="I138" s="539">
        <v>304100</v>
      </c>
      <c r="J138" s="539">
        <v>311994</v>
      </c>
      <c r="K138" s="539">
        <v>399369</v>
      </c>
      <c r="L138" s="539">
        <v>444364</v>
      </c>
      <c r="M138" s="539">
        <v>468035</v>
      </c>
      <c r="N138" s="539">
        <v>456319</v>
      </c>
      <c r="O138" s="539">
        <v>456283</v>
      </c>
      <c r="P138" s="539">
        <v>454968</v>
      </c>
      <c r="Q138" s="539">
        <v>452866</v>
      </c>
      <c r="R138" s="539">
        <v>466298</v>
      </c>
      <c r="S138" s="539">
        <v>474073</v>
      </c>
      <c r="T138" s="539">
        <v>481642</v>
      </c>
      <c r="U138" s="780">
        <v>450411</v>
      </c>
      <c r="V138" s="539">
        <v>469134</v>
      </c>
      <c r="W138" s="539">
        <v>490915</v>
      </c>
      <c r="X138" s="812"/>
      <c r="Y138" s="812"/>
      <c r="AA138" s="812"/>
      <c r="AB138" s="812"/>
      <c r="AC138" s="812"/>
    </row>
    <row r="139" spans="2:29">
      <c r="B139" s="1145" t="s">
        <v>62</v>
      </c>
      <c r="C139" s="1146"/>
      <c r="D139" s="1149">
        <f>SUM(D133:D138)</f>
        <v>4629055</v>
      </c>
      <c r="E139" s="1149">
        <f t="shared" ref="E139:W139" si="65">SUM(E133:E138)</f>
        <v>5318802</v>
      </c>
      <c r="F139" s="1149">
        <f t="shared" si="65"/>
        <v>5663441</v>
      </c>
      <c r="G139" s="1149">
        <f t="shared" si="65"/>
        <v>5992183</v>
      </c>
      <c r="H139" s="1149">
        <f t="shared" si="65"/>
        <v>6371033</v>
      </c>
      <c r="I139" s="1149">
        <f t="shared" si="65"/>
        <v>6082067</v>
      </c>
      <c r="J139" s="1149">
        <f t="shared" si="65"/>
        <v>7000125</v>
      </c>
      <c r="K139" s="1149">
        <f t="shared" si="65"/>
        <v>7243219</v>
      </c>
      <c r="L139" s="1149">
        <f t="shared" si="65"/>
        <v>7689415</v>
      </c>
      <c r="M139" s="1149">
        <f t="shared" si="65"/>
        <v>7975545</v>
      </c>
      <c r="N139" s="1149">
        <f t="shared" si="65"/>
        <v>8264570</v>
      </c>
      <c r="O139" s="1149">
        <f t="shared" si="65"/>
        <v>8722722</v>
      </c>
      <c r="P139" s="1149">
        <f t="shared" si="65"/>
        <v>8947061</v>
      </c>
      <c r="Q139" s="1149">
        <f t="shared" si="65"/>
        <v>9258981</v>
      </c>
      <c r="R139" s="1149">
        <f t="shared" si="65"/>
        <v>9715184</v>
      </c>
      <c r="S139" s="1149">
        <f t="shared" si="65"/>
        <v>9874005</v>
      </c>
      <c r="T139" s="1149">
        <f t="shared" si="65"/>
        <v>9902937</v>
      </c>
      <c r="U139" s="125">
        <f t="shared" si="65"/>
        <v>10317406</v>
      </c>
      <c r="V139" s="780">
        <f t="shared" si="65"/>
        <v>10551603</v>
      </c>
      <c r="W139" s="780">
        <f t="shared" si="65"/>
        <v>10902013</v>
      </c>
      <c r="X139" s="812"/>
      <c r="Y139" s="812"/>
      <c r="AA139" s="812"/>
      <c r="AB139" s="812"/>
      <c r="AC139" s="812"/>
    </row>
    <row r="140" spans="2:29">
      <c r="X140" s="812"/>
    </row>
    <row r="141" spans="2:29">
      <c r="Q141" s="812"/>
      <c r="R141" s="812"/>
      <c r="S141" s="812"/>
    </row>
    <row r="144" spans="2:29">
      <c r="N144" s="812"/>
      <c r="O144" s="812"/>
      <c r="P144" s="812"/>
      <c r="Q144" s="812"/>
      <c r="R144" s="812"/>
      <c r="S144" s="812"/>
    </row>
    <row r="145" spans="14:19">
      <c r="N145" s="812"/>
      <c r="O145" s="812"/>
      <c r="P145" s="812"/>
      <c r="Q145" s="812"/>
      <c r="R145" s="812"/>
      <c r="S145" s="812"/>
    </row>
    <row r="146" spans="14:19">
      <c r="N146" s="812"/>
      <c r="O146" s="812"/>
      <c r="P146" s="812"/>
      <c r="Q146" s="812"/>
      <c r="R146" s="812"/>
      <c r="S146" s="812"/>
    </row>
    <row r="147" spans="14:19">
      <c r="N147" s="812"/>
      <c r="O147" s="812"/>
      <c r="P147" s="812"/>
      <c r="Q147" s="812"/>
      <c r="R147" s="812"/>
      <c r="S147" s="812"/>
    </row>
    <row r="149" spans="14:19">
      <c r="P149" s="812"/>
      <c r="Q149" s="812"/>
      <c r="R149" s="812"/>
      <c r="S149" s="812"/>
    </row>
    <row r="150" spans="14:19">
      <c r="P150" s="812"/>
      <c r="Q150" s="812"/>
      <c r="R150" s="812"/>
      <c r="S150" s="812"/>
    </row>
    <row r="151" spans="14:19">
      <c r="P151" s="812"/>
      <c r="Q151" s="812"/>
      <c r="R151" s="812"/>
      <c r="S151" s="812"/>
    </row>
    <row r="152" spans="14:19">
      <c r="P152" s="812"/>
      <c r="Q152" s="812"/>
      <c r="R152" s="812"/>
      <c r="S152" s="812"/>
    </row>
    <row r="156" spans="14:19">
      <c r="N156" s="812"/>
      <c r="O156" s="812"/>
      <c r="P156" s="812"/>
      <c r="Q156" s="812"/>
      <c r="R156" s="812"/>
      <c r="S156" s="812"/>
    </row>
    <row r="157" spans="14:19">
      <c r="N157" s="812"/>
      <c r="O157" s="812"/>
      <c r="P157" s="812"/>
      <c r="Q157" s="812"/>
      <c r="R157" s="812"/>
      <c r="S157" s="812"/>
    </row>
    <row r="158" spans="14:19">
      <c r="N158" s="812"/>
      <c r="O158" s="812"/>
      <c r="P158" s="812"/>
      <c r="Q158" s="812"/>
      <c r="R158" s="812"/>
      <c r="S158" s="812"/>
    </row>
    <row r="159" spans="14:19">
      <c r="N159" s="812"/>
      <c r="O159" s="812"/>
      <c r="P159" s="812"/>
      <c r="Q159" s="812"/>
      <c r="R159" s="812"/>
      <c r="S159" s="812"/>
    </row>
    <row r="160" spans="14:19">
      <c r="N160" s="812"/>
      <c r="O160" s="812"/>
      <c r="P160" s="812"/>
      <c r="Q160" s="812"/>
      <c r="R160" s="812"/>
      <c r="S160" s="812"/>
    </row>
    <row r="161" spans="14:19">
      <c r="N161" s="812"/>
      <c r="O161" s="812"/>
      <c r="P161" s="812"/>
      <c r="Q161" s="812"/>
      <c r="R161" s="812"/>
      <c r="S161" s="812"/>
    </row>
    <row r="162" spans="14:19">
      <c r="N162" s="812"/>
      <c r="O162" s="812"/>
      <c r="P162" s="812"/>
      <c r="Q162" s="812"/>
      <c r="R162" s="812"/>
      <c r="S162" s="812"/>
    </row>
    <row r="164" spans="14:19">
      <c r="P164" s="812"/>
      <c r="Q164" s="812"/>
      <c r="R164" s="812"/>
      <c r="S164" s="812"/>
    </row>
    <row r="165" spans="14:19">
      <c r="P165" s="812"/>
      <c r="Q165" s="812"/>
      <c r="R165" s="812"/>
      <c r="S165" s="812"/>
    </row>
    <row r="166" spans="14:19">
      <c r="P166" s="812"/>
      <c r="Q166" s="812"/>
      <c r="R166" s="812"/>
      <c r="S166" s="812"/>
    </row>
    <row r="167" spans="14:19">
      <c r="P167" s="812"/>
      <c r="Q167" s="812"/>
      <c r="R167" s="812"/>
      <c r="S167" s="812"/>
    </row>
    <row r="168" spans="14:19">
      <c r="P168" s="812"/>
      <c r="Q168" s="812"/>
      <c r="R168" s="812"/>
      <c r="S168" s="812"/>
    </row>
    <row r="169" spans="14:19">
      <c r="P169" s="812"/>
      <c r="Q169" s="812"/>
      <c r="R169" s="812"/>
      <c r="S169" s="812"/>
    </row>
    <row r="170" spans="14:19">
      <c r="P170" s="812"/>
      <c r="Q170" s="812"/>
      <c r="R170" s="812"/>
      <c r="S170" s="812"/>
    </row>
    <row r="174" spans="14:19">
      <c r="P174" s="812"/>
      <c r="Q174" s="812"/>
      <c r="R174" s="812"/>
      <c r="S174" s="812"/>
    </row>
    <row r="175" spans="14:19">
      <c r="P175" s="812"/>
      <c r="Q175" s="812"/>
      <c r="R175" s="812"/>
      <c r="S175" s="812"/>
    </row>
    <row r="176" spans="14:19">
      <c r="P176" s="812"/>
      <c r="Q176" s="812"/>
      <c r="R176" s="812"/>
      <c r="S176" s="812"/>
    </row>
    <row r="177" spans="16:19">
      <c r="P177" s="812"/>
      <c r="Q177" s="812"/>
      <c r="R177" s="812"/>
      <c r="S177" s="812"/>
    </row>
    <row r="178" spans="16:19">
      <c r="P178" s="812"/>
      <c r="Q178" s="812"/>
      <c r="R178" s="812"/>
      <c r="S178" s="812"/>
    </row>
    <row r="179" spans="16:19">
      <c r="P179" s="812"/>
      <c r="Q179" s="812"/>
      <c r="R179" s="812"/>
      <c r="S179" s="812"/>
    </row>
    <row r="180" spans="16:19">
      <c r="P180" s="812"/>
      <c r="Q180" s="812"/>
      <c r="R180" s="812"/>
      <c r="S180" s="812"/>
    </row>
    <row r="182" spans="16:19">
      <c r="P182" s="812"/>
      <c r="Q182" s="812"/>
      <c r="R182" s="812"/>
      <c r="S182" s="812"/>
    </row>
    <row r="183" spans="16:19">
      <c r="P183" s="812"/>
      <c r="Q183" s="812"/>
      <c r="R183" s="812"/>
      <c r="S183" s="812"/>
    </row>
    <row r="184" spans="16:19">
      <c r="P184" s="812"/>
      <c r="Q184" s="812"/>
      <c r="R184" s="812"/>
      <c r="S184" s="812"/>
    </row>
    <row r="185" spans="16:19">
      <c r="P185" s="812"/>
      <c r="Q185" s="812"/>
      <c r="R185" s="812"/>
      <c r="S185" s="812"/>
    </row>
    <row r="186" spans="16:19">
      <c r="P186" s="812"/>
      <c r="Q186" s="812"/>
      <c r="R186" s="812"/>
      <c r="S186" s="812"/>
    </row>
    <row r="187" spans="16:19">
      <c r="P187" s="812"/>
      <c r="Q187" s="812"/>
      <c r="R187" s="812"/>
      <c r="S187" s="812"/>
    </row>
    <row r="188" spans="16:19">
      <c r="P188" s="812"/>
      <c r="Q188" s="812"/>
      <c r="R188" s="812"/>
      <c r="S188" s="812"/>
    </row>
  </sheetData>
  <phoneticPr fontId="93" type="noConversion"/>
  <hyperlinks>
    <hyperlink ref="U1" location="Content!A1" display="content" xr:uid="{00000000-0004-0000-0900-000000000000}"/>
  </hyperlinks>
  <pageMargins left="0.7" right="0.7" top="0.75" bottom="0.75" header="0.3" footer="0.3"/>
  <pageSetup orientation="portrait"/>
  <ignoredErrors>
    <ignoredError sqref="U121 U130 U139 U67 U49" formulaRange="1"/>
  </ignoredErrors>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D97"/>
  <sheetViews>
    <sheetView zoomScale="75" zoomScaleNormal="75" workbookViewId="0">
      <pane xSplit="2" ySplit="7" topLeftCell="AQ120" activePane="bottomRight" state="frozenSplit"/>
      <selection pane="topRight"/>
      <selection pane="bottomLeft"/>
      <selection pane="bottomRight" activeCell="BI80" sqref="BI80"/>
    </sheetView>
  </sheetViews>
  <sheetFormatPr defaultColWidth="9" defaultRowHeight="14.4"/>
  <cols>
    <col min="1" max="1" width="15.5546875" customWidth="1"/>
    <col min="2" max="2" width="14.5546875" customWidth="1"/>
    <col min="3" max="27" width="9.77734375" customWidth="1"/>
    <col min="28" max="28" width="10" customWidth="1"/>
    <col min="29" max="30" width="11.5546875" customWidth="1"/>
  </cols>
  <sheetData>
    <row r="1" spans="1:30" ht="21">
      <c r="A1" s="528" t="s">
        <v>47</v>
      </c>
      <c r="AB1" s="57" t="s">
        <v>48</v>
      </c>
    </row>
    <row r="2" spans="1:30" ht="18">
      <c r="A2" s="529" t="s">
        <v>271</v>
      </c>
    </row>
    <row r="3" spans="1:30" ht="18">
      <c r="A3" s="529" t="s">
        <v>296</v>
      </c>
    </row>
    <row r="4" spans="1:30" ht="18">
      <c r="A4" s="529" t="s">
        <v>297</v>
      </c>
      <c r="AA4" s="123"/>
      <c r="AB4" s="123"/>
    </row>
    <row r="5" spans="1:30">
      <c r="AA5" s="123"/>
      <c r="AB5" s="123"/>
    </row>
    <row r="6" spans="1:30" ht="18">
      <c r="A6" s="529" t="s">
        <v>298</v>
      </c>
      <c r="AA6" s="123"/>
      <c r="AB6" s="123"/>
    </row>
    <row r="7" spans="1:30" ht="15.6">
      <c r="A7" s="1090" t="s">
        <v>61</v>
      </c>
      <c r="B7" s="813" t="s">
        <v>299</v>
      </c>
      <c r="C7" s="813">
        <v>1996</v>
      </c>
      <c r="D7" s="530">
        <f>C7+1</f>
        <v>1997</v>
      </c>
      <c r="E7" s="530">
        <f>D7+1</f>
        <v>1998</v>
      </c>
      <c r="F7" s="530">
        <f t="shared" ref="F7:AC7" si="0">E7+1</f>
        <v>1999</v>
      </c>
      <c r="G7" s="530">
        <f t="shared" si="0"/>
        <v>2000</v>
      </c>
      <c r="H7" s="530">
        <f t="shared" si="0"/>
        <v>2001</v>
      </c>
      <c r="I7" s="530">
        <f t="shared" si="0"/>
        <v>2002</v>
      </c>
      <c r="J7" s="530">
        <f t="shared" si="0"/>
        <v>2003</v>
      </c>
      <c r="K7" s="530">
        <f t="shared" si="0"/>
        <v>2004</v>
      </c>
      <c r="L7" s="530">
        <f t="shared" si="0"/>
        <v>2005</v>
      </c>
      <c r="M7" s="530">
        <f t="shared" si="0"/>
        <v>2006</v>
      </c>
      <c r="N7" s="530">
        <f t="shared" si="0"/>
        <v>2007</v>
      </c>
      <c r="O7" s="530">
        <f t="shared" si="0"/>
        <v>2008</v>
      </c>
      <c r="P7" s="530">
        <f t="shared" si="0"/>
        <v>2009</v>
      </c>
      <c r="Q7" s="530">
        <f t="shared" si="0"/>
        <v>2010</v>
      </c>
      <c r="R7" s="530">
        <f t="shared" si="0"/>
        <v>2011</v>
      </c>
      <c r="S7" s="530">
        <f t="shared" si="0"/>
        <v>2012</v>
      </c>
      <c r="T7" s="530">
        <f t="shared" si="0"/>
        <v>2013</v>
      </c>
      <c r="U7" s="530">
        <f t="shared" si="0"/>
        <v>2014</v>
      </c>
      <c r="V7" s="530">
        <f t="shared" si="0"/>
        <v>2015</v>
      </c>
      <c r="W7" s="530">
        <f t="shared" si="0"/>
        <v>2016</v>
      </c>
      <c r="X7" s="530">
        <f t="shared" si="0"/>
        <v>2017</v>
      </c>
      <c r="Y7" s="530">
        <f t="shared" si="0"/>
        <v>2018</v>
      </c>
      <c r="Z7" s="530">
        <f t="shared" si="0"/>
        <v>2019</v>
      </c>
      <c r="AA7" s="547">
        <f t="shared" si="0"/>
        <v>2020</v>
      </c>
      <c r="AB7" s="547">
        <f t="shared" si="0"/>
        <v>2021</v>
      </c>
      <c r="AC7" s="547">
        <f t="shared" si="0"/>
        <v>2022</v>
      </c>
      <c r="AD7" s="547">
        <v>2023</v>
      </c>
    </row>
    <row r="8" spans="1:30" ht="15.6">
      <c r="A8" s="1090" t="s">
        <v>66</v>
      </c>
      <c r="B8" s="1091" t="s">
        <v>66</v>
      </c>
      <c r="C8" s="1091"/>
      <c r="D8" s="803"/>
      <c r="E8" s="803"/>
      <c r="F8" s="803"/>
      <c r="G8" s="803"/>
      <c r="H8" s="803"/>
      <c r="I8" s="803">
        <v>70730</v>
      </c>
      <c r="J8" s="803">
        <v>81662</v>
      </c>
      <c r="K8" s="803">
        <v>78906</v>
      </c>
      <c r="L8" s="803">
        <v>78643</v>
      </c>
      <c r="M8" s="803">
        <v>81983</v>
      </c>
      <c r="N8" s="803">
        <v>82281</v>
      </c>
      <c r="O8" s="803">
        <v>74440</v>
      </c>
      <c r="P8" s="803">
        <v>87736</v>
      </c>
      <c r="Q8" s="803">
        <v>68264</v>
      </c>
      <c r="R8" s="803">
        <v>76940</v>
      </c>
      <c r="S8" s="803">
        <v>78608</v>
      </c>
      <c r="T8" s="803">
        <v>82827</v>
      </c>
      <c r="U8" s="803">
        <v>81792</v>
      </c>
      <c r="V8" s="803">
        <v>85705</v>
      </c>
      <c r="W8" s="803">
        <v>99909</v>
      </c>
      <c r="X8" s="803">
        <v>98946</v>
      </c>
      <c r="Y8" s="803">
        <v>107881</v>
      </c>
      <c r="Z8" s="803">
        <v>113082</v>
      </c>
      <c r="AA8" s="1100">
        <v>111744</v>
      </c>
      <c r="AB8" s="551">
        <v>105336</v>
      </c>
      <c r="AC8" s="1101">
        <v>92013</v>
      </c>
      <c r="AD8" s="1101">
        <v>97449</v>
      </c>
    </row>
    <row r="9" spans="1:30" ht="15.6">
      <c r="A9" s="1092"/>
      <c r="B9" s="1093" t="s">
        <v>55</v>
      </c>
      <c r="C9" s="1093"/>
      <c r="D9" s="792"/>
      <c r="E9" s="792"/>
      <c r="F9" s="792"/>
      <c r="G9" s="792"/>
      <c r="H9" s="792"/>
      <c r="I9" s="792">
        <v>4466</v>
      </c>
      <c r="J9" s="792">
        <v>4770</v>
      </c>
      <c r="K9" s="792">
        <v>4711</v>
      </c>
      <c r="L9" s="792">
        <v>4580</v>
      </c>
      <c r="M9" s="792">
        <v>5780</v>
      </c>
      <c r="N9" s="792">
        <v>8243</v>
      </c>
      <c r="O9" s="792">
        <v>10856</v>
      </c>
      <c r="P9" s="792">
        <v>13177</v>
      </c>
      <c r="Q9" s="792">
        <v>15626</v>
      </c>
      <c r="R9" s="792">
        <v>17292</v>
      </c>
      <c r="S9" s="792">
        <v>20329</v>
      </c>
      <c r="T9" s="792">
        <v>20679</v>
      </c>
      <c r="U9" s="792">
        <v>19917</v>
      </c>
      <c r="V9" s="792">
        <v>16321</v>
      </c>
      <c r="W9" s="792">
        <v>16086</v>
      </c>
      <c r="X9" s="792">
        <v>15584</v>
      </c>
      <c r="Y9" s="792">
        <v>14653</v>
      </c>
      <c r="Z9" s="792">
        <v>13485</v>
      </c>
      <c r="AA9" s="1102">
        <v>13268</v>
      </c>
      <c r="AB9" s="548">
        <v>14334</v>
      </c>
      <c r="AC9" s="1103">
        <v>14805</v>
      </c>
      <c r="AD9" s="1103">
        <v>15291</v>
      </c>
    </row>
    <row r="10" spans="1:30" ht="15.6">
      <c r="A10" s="1092"/>
      <c r="B10" s="1093" t="s">
        <v>56</v>
      </c>
      <c r="C10" s="1093"/>
      <c r="D10" s="792"/>
      <c r="E10" s="792"/>
      <c r="F10" s="792"/>
      <c r="G10" s="792"/>
      <c r="H10" s="792"/>
      <c r="I10" s="792">
        <v>2766</v>
      </c>
      <c r="J10" s="792">
        <v>2848</v>
      </c>
      <c r="K10" s="792">
        <v>3168</v>
      </c>
      <c r="L10" s="792">
        <v>4431</v>
      </c>
      <c r="M10" s="792">
        <v>7266</v>
      </c>
      <c r="N10" s="792">
        <v>6791</v>
      </c>
      <c r="O10" s="792">
        <v>4773</v>
      </c>
      <c r="P10" s="792">
        <v>3113</v>
      </c>
      <c r="Q10" s="792">
        <v>3533</v>
      </c>
      <c r="R10" s="792">
        <v>4344</v>
      </c>
      <c r="S10" s="792">
        <v>6272</v>
      </c>
      <c r="T10" s="792">
        <v>7314</v>
      </c>
      <c r="U10" s="792">
        <v>7741</v>
      </c>
      <c r="V10" s="792">
        <v>6432</v>
      </c>
      <c r="W10" s="792">
        <v>6541</v>
      </c>
      <c r="X10" s="792">
        <v>7458</v>
      </c>
      <c r="Y10" s="792">
        <v>7467</v>
      </c>
      <c r="Z10" s="792">
        <v>7706</v>
      </c>
      <c r="AA10" s="1102">
        <v>7478</v>
      </c>
      <c r="AB10" s="548">
        <v>8342</v>
      </c>
      <c r="AC10" s="1103">
        <v>8606</v>
      </c>
      <c r="AD10" s="1103">
        <v>9058</v>
      </c>
    </row>
    <row r="11" spans="1:30" ht="15.6">
      <c r="A11" s="1092"/>
      <c r="B11" s="1093" t="s">
        <v>57</v>
      </c>
      <c r="C11" s="1093"/>
      <c r="D11" s="792"/>
      <c r="E11" s="792"/>
      <c r="F11" s="792"/>
      <c r="G11" s="792"/>
      <c r="H11" s="792"/>
      <c r="I11" s="792">
        <v>4534</v>
      </c>
      <c r="J11" s="792">
        <v>13517</v>
      </c>
      <c r="K11" s="792">
        <v>9031</v>
      </c>
      <c r="L11" s="792">
        <v>9097</v>
      </c>
      <c r="M11" s="792">
        <v>8151</v>
      </c>
      <c r="N11" s="792">
        <v>8844</v>
      </c>
      <c r="O11" s="792">
        <v>10003</v>
      </c>
      <c r="P11" s="792">
        <v>0</v>
      </c>
      <c r="Q11" s="792">
        <v>13628</v>
      </c>
      <c r="R11" s="792">
        <v>15414</v>
      </c>
      <c r="S11" s="792">
        <v>19975</v>
      </c>
      <c r="T11" s="792">
        <v>18321</v>
      </c>
      <c r="U11" s="792">
        <v>19615</v>
      </c>
      <c r="V11" s="792">
        <v>26726</v>
      </c>
      <c r="W11" s="792">
        <v>30301</v>
      </c>
      <c r="X11" s="792">
        <v>27091</v>
      </c>
      <c r="Y11" s="792">
        <v>22978</v>
      </c>
      <c r="Z11" s="792">
        <v>24717</v>
      </c>
      <c r="AA11" s="1102">
        <v>24144</v>
      </c>
      <c r="AB11" s="548">
        <v>30248</v>
      </c>
      <c r="AC11" s="1103">
        <v>28384</v>
      </c>
      <c r="AD11" s="1103">
        <v>25175</v>
      </c>
    </row>
    <row r="12" spans="1:30" ht="15.6">
      <c r="A12" s="1092"/>
      <c r="B12" s="1093" t="s">
        <v>58</v>
      </c>
      <c r="C12" s="1093"/>
      <c r="D12" s="792"/>
      <c r="E12" s="792"/>
      <c r="F12" s="792"/>
      <c r="G12" s="792"/>
      <c r="H12" s="792"/>
      <c r="I12" s="792">
        <v>29349</v>
      </c>
      <c r="J12" s="792">
        <v>29009</v>
      </c>
      <c r="K12" s="792">
        <v>27008</v>
      </c>
      <c r="L12" s="792">
        <v>22777</v>
      </c>
      <c r="M12" s="792">
        <v>26459</v>
      </c>
      <c r="N12" s="792">
        <v>23884</v>
      </c>
      <c r="O12" s="792">
        <v>21939</v>
      </c>
      <c r="P12" s="792">
        <v>23677</v>
      </c>
      <c r="Q12" s="792">
        <v>32479</v>
      </c>
      <c r="R12" s="792">
        <v>32766</v>
      </c>
      <c r="S12" s="792">
        <v>38198</v>
      </c>
      <c r="T12" s="792">
        <v>43450</v>
      </c>
      <c r="U12" s="792">
        <v>47733</v>
      </c>
      <c r="V12" s="792">
        <v>47529</v>
      </c>
      <c r="W12" s="792">
        <v>47910</v>
      </c>
      <c r="X12" s="792">
        <v>50660</v>
      </c>
      <c r="Y12" s="792">
        <v>48963</v>
      </c>
      <c r="Z12" s="792">
        <v>55638</v>
      </c>
      <c r="AA12" s="1102">
        <v>54378</v>
      </c>
      <c r="AB12" s="548">
        <v>50571</v>
      </c>
      <c r="AC12" s="1103">
        <v>49865</v>
      </c>
      <c r="AD12" s="1103">
        <v>44984</v>
      </c>
    </row>
    <row r="13" spans="1:30" ht="15.6">
      <c r="A13" s="1092"/>
      <c r="B13" s="1094" t="s">
        <v>59</v>
      </c>
      <c r="C13" s="1094"/>
      <c r="D13" s="831"/>
      <c r="E13" s="831"/>
      <c r="F13" s="831"/>
      <c r="G13" s="831"/>
      <c r="H13" s="831"/>
      <c r="I13" s="831">
        <v>19018</v>
      </c>
      <c r="J13" s="831">
        <v>20482</v>
      </c>
      <c r="K13" s="831">
        <v>19198</v>
      </c>
      <c r="L13" s="831">
        <v>19158</v>
      </c>
      <c r="M13" s="831">
        <v>21793</v>
      </c>
      <c r="N13" s="831">
        <v>22492</v>
      </c>
      <c r="O13" s="831">
        <v>24572</v>
      </c>
      <c r="P13" s="831">
        <v>24340</v>
      </c>
      <c r="Q13" s="831">
        <v>30449</v>
      </c>
      <c r="R13" s="831">
        <v>39874</v>
      </c>
      <c r="S13" s="831">
        <v>40541</v>
      </c>
      <c r="T13" s="831">
        <v>45415</v>
      </c>
      <c r="U13" s="831">
        <v>42433</v>
      </c>
      <c r="V13" s="831">
        <v>42092</v>
      </c>
      <c r="W13" s="831">
        <v>47491</v>
      </c>
      <c r="X13" s="831">
        <v>46371</v>
      </c>
      <c r="Y13" s="831">
        <v>51588</v>
      </c>
      <c r="Z13" s="831">
        <v>53112</v>
      </c>
      <c r="AA13" s="1104">
        <v>57303</v>
      </c>
      <c r="AB13" s="780">
        <v>60416</v>
      </c>
      <c r="AC13" s="1103">
        <v>53875</v>
      </c>
      <c r="AD13" s="1103">
        <v>62540</v>
      </c>
    </row>
    <row r="14" spans="1:30" ht="15.6">
      <c r="A14" s="1095"/>
      <c r="B14" s="1096" t="s">
        <v>62</v>
      </c>
      <c r="C14" s="539">
        <v>0</v>
      </c>
      <c r="D14" s="539">
        <v>0</v>
      </c>
      <c r="E14" s="539">
        <v>0</v>
      </c>
      <c r="F14" s="539">
        <v>0</v>
      </c>
      <c r="G14" s="539">
        <v>0</v>
      </c>
      <c r="H14" s="539">
        <v>0</v>
      </c>
      <c r="I14" s="539">
        <v>130863</v>
      </c>
      <c r="J14" s="539">
        <v>152288</v>
      </c>
      <c r="K14" s="539">
        <v>142022</v>
      </c>
      <c r="L14" s="539">
        <v>138686</v>
      </c>
      <c r="M14" s="539">
        <v>151432</v>
      </c>
      <c r="N14" s="539">
        <v>152535</v>
      </c>
      <c r="O14" s="539">
        <v>146583</v>
      </c>
      <c r="P14" s="539">
        <v>152043</v>
      </c>
      <c r="Q14" s="539">
        <v>163979</v>
      </c>
      <c r="R14" s="539">
        <v>186630</v>
      </c>
      <c r="S14" s="539">
        <v>203923</v>
      </c>
      <c r="T14" s="539">
        <v>218006</v>
      </c>
      <c r="U14" s="539">
        <v>219231</v>
      </c>
      <c r="V14" s="539">
        <v>224805</v>
      </c>
      <c r="W14" s="539">
        <v>248238</v>
      </c>
      <c r="X14" s="539">
        <v>246110</v>
      </c>
      <c r="Y14" s="539">
        <v>253530</v>
      </c>
      <c r="Z14" s="539">
        <v>267740</v>
      </c>
      <c r="AA14" s="780">
        <v>268315</v>
      </c>
      <c r="AB14" s="125">
        <f>SUM(AB8:AB13)</f>
        <v>269247</v>
      </c>
      <c r="AC14" s="1105">
        <f>SUM(AC8:AC13)</f>
        <v>247548</v>
      </c>
      <c r="AD14" s="1105">
        <f>SUM(AD8:AD13)</f>
        <v>254497</v>
      </c>
    </row>
    <row r="15" spans="1:30" ht="15.6">
      <c r="A15" s="1090" t="s">
        <v>55</v>
      </c>
      <c r="B15" s="1091" t="s">
        <v>66</v>
      </c>
      <c r="C15" s="803"/>
      <c r="D15" s="803"/>
      <c r="E15" s="803"/>
      <c r="F15" s="803"/>
      <c r="G15" s="803"/>
      <c r="H15" s="803"/>
      <c r="I15" s="803">
        <v>11144</v>
      </c>
      <c r="J15" s="803">
        <v>11901</v>
      </c>
      <c r="K15" s="803">
        <v>14037</v>
      </c>
      <c r="L15" s="803">
        <v>13324</v>
      </c>
      <c r="M15" s="803">
        <v>16150</v>
      </c>
      <c r="N15" s="803">
        <v>14309</v>
      </c>
      <c r="O15" s="803">
        <v>13793</v>
      </c>
      <c r="P15" s="803">
        <v>12351</v>
      </c>
      <c r="Q15" s="803">
        <v>13028</v>
      </c>
      <c r="R15" s="803">
        <v>13913</v>
      </c>
      <c r="S15" s="803">
        <v>14902</v>
      </c>
      <c r="T15" s="803">
        <v>14588</v>
      </c>
      <c r="U15" s="803">
        <v>13544</v>
      </c>
      <c r="V15" s="803">
        <v>13231</v>
      </c>
      <c r="W15" s="803">
        <v>18271</v>
      </c>
      <c r="X15" s="803">
        <v>20506</v>
      </c>
      <c r="Y15" s="803">
        <v>24230</v>
      </c>
      <c r="Z15" s="803">
        <v>25908</v>
      </c>
      <c r="AA15" s="1100">
        <v>23940</v>
      </c>
      <c r="AB15" s="551">
        <v>19980</v>
      </c>
      <c r="AC15" s="1103">
        <v>15975</v>
      </c>
      <c r="AD15" s="1103">
        <v>17684</v>
      </c>
    </row>
    <row r="16" spans="1:30" ht="15.6">
      <c r="A16" s="1092"/>
      <c r="B16" s="1093" t="s">
        <v>55</v>
      </c>
      <c r="C16" s="792"/>
      <c r="D16" s="792"/>
      <c r="E16" s="792"/>
      <c r="F16" s="792"/>
      <c r="G16" s="792"/>
      <c r="H16" s="792"/>
      <c r="I16" s="792">
        <v>108515</v>
      </c>
      <c r="J16" s="792">
        <v>110835</v>
      </c>
      <c r="K16" s="792">
        <v>112527</v>
      </c>
      <c r="L16" s="792">
        <v>111088</v>
      </c>
      <c r="M16" s="792">
        <v>126804</v>
      </c>
      <c r="N16" s="792">
        <v>145040</v>
      </c>
      <c r="O16" s="792">
        <v>151765</v>
      </c>
      <c r="P16" s="792">
        <v>164459</v>
      </c>
      <c r="Q16" s="792">
        <v>187237</v>
      </c>
      <c r="R16" s="792">
        <v>197594</v>
      </c>
      <c r="S16" s="792">
        <v>224917</v>
      </c>
      <c r="T16" s="792">
        <v>225571</v>
      </c>
      <c r="U16" s="792">
        <v>177750</v>
      </c>
      <c r="V16" s="792">
        <v>146749</v>
      </c>
      <c r="W16" s="792">
        <v>160643</v>
      </c>
      <c r="X16" s="792">
        <v>156844</v>
      </c>
      <c r="Y16" s="792">
        <v>152440</v>
      </c>
      <c r="Z16" s="792">
        <v>140865</v>
      </c>
      <c r="AA16" s="1102">
        <v>140329</v>
      </c>
      <c r="AB16" s="548">
        <v>141853</v>
      </c>
      <c r="AC16" s="1103">
        <v>155117</v>
      </c>
      <c r="AD16" s="1103">
        <v>158587</v>
      </c>
    </row>
    <row r="17" spans="1:30" ht="15.6">
      <c r="A17" s="1092"/>
      <c r="B17" s="1093" t="s">
        <v>56</v>
      </c>
      <c r="C17" s="792"/>
      <c r="D17" s="792"/>
      <c r="E17" s="792"/>
      <c r="F17" s="792"/>
      <c r="G17" s="792"/>
      <c r="H17" s="792"/>
      <c r="I17" s="792">
        <v>7868</v>
      </c>
      <c r="J17" s="792">
        <v>7267</v>
      </c>
      <c r="K17" s="792">
        <v>7325</v>
      </c>
      <c r="L17" s="792">
        <v>11000</v>
      </c>
      <c r="M17" s="792">
        <v>16406</v>
      </c>
      <c r="N17" s="792">
        <v>17275</v>
      </c>
      <c r="O17" s="792">
        <v>11312</v>
      </c>
      <c r="P17" s="792">
        <v>7141</v>
      </c>
      <c r="Q17" s="792">
        <v>8332</v>
      </c>
      <c r="R17" s="792">
        <v>11083</v>
      </c>
      <c r="S17" s="792">
        <v>12980</v>
      </c>
      <c r="T17" s="792">
        <v>13514</v>
      </c>
      <c r="U17" s="792">
        <v>13499</v>
      </c>
      <c r="V17" s="792">
        <v>9615</v>
      </c>
      <c r="W17" s="792">
        <v>9962</v>
      </c>
      <c r="X17" s="792">
        <v>11081</v>
      </c>
      <c r="Y17" s="792">
        <v>11239</v>
      </c>
      <c r="Z17" s="792">
        <v>11351</v>
      </c>
      <c r="AA17" s="1102">
        <v>10819</v>
      </c>
      <c r="AB17" s="548">
        <v>11905</v>
      </c>
      <c r="AC17" s="1103">
        <v>11617</v>
      </c>
      <c r="AD17" s="1103">
        <v>10805</v>
      </c>
    </row>
    <row r="18" spans="1:30" ht="15.6">
      <c r="A18" s="1092"/>
      <c r="B18" s="1093" t="s">
        <v>57</v>
      </c>
      <c r="C18" s="792"/>
      <c r="D18" s="792"/>
      <c r="E18" s="792"/>
      <c r="F18" s="792"/>
      <c r="G18" s="792"/>
      <c r="H18" s="792"/>
      <c r="I18" s="792">
        <v>5871</v>
      </c>
      <c r="J18" s="792">
        <v>11538</v>
      </c>
      <c r="K18" s="792">
        <v>12490</v>
      </c>
      <c r="L18" s="792">
        <v>13883</v>
      </c>
      <c r="M18" s="792">
        <v>15099</v>
      </c>
      <c r="N18" s="792">
        <v>16174</v>
      </c>
      <c r="O18" s="792">
        <v>21999</v>
      </c>
      <c r="P18" s="792">
        <v>0</v>
      </c>
      <c r="Q18" s="792">
        <v>23890</v>
      </c>
      <c r="R18" s="792">
        <v>25387</v>
      </c>
      <c r="S18" s="792">
        <v>28863</v>
      </c>
      <c r="T18" s="792">
        <v>22609</v>
      </c>
      <c r="U18" s="792">
        <v>26501</v>
      </c>
      <c r="V18" s="792">
        <v>36418</v>
      </c>
      <c r="W18" s="792">
        <v>34967</v>
      </c>
      <c r="X18" s="792">
        <v>31090</v>
      </c>
      <c r="Y18" s="792">
        <v>28094</v>
      </c>
      <c r="Z18" s="792">
        <v>30401</v>
      </c>
      <c r="AA18" s="1102">
        <v>28955</v>
      </c>
      <c r="AB18" s="548">
        <v>34853</v>
      </c>
      <c r="AC18" s="1103">
        <v>33301</v>
      </c>
      <c r="AD18" s="1103">
        <v>32929</v>
      </c>
    </row>
    <row r="19" spans="1:30" ht="15.6">
      <c r="A19" s="1092"/>
      <c r="B19" s="1093" t="s">
        <v>58</v>
      </c>
      <c r="C19" s="792"/>
      <c r="D19" s="792"/>
      <c r="E19" s="792"/>
      <c r="F19" s="792"/>
      <c r="G19" s="792"/>
      <c r="H19" s="792"/>
      <c r="I19" s="792">
        <v>34976</v>
      </c>
      <c r="J19" s="792">
        <v>35683</v>
      </c>
      <c r="K19" s="792">
        <v>35466</v>
      </c>
      <c r="L19" s="792">
        <v>30450</v>
      </c>
      <c r="M19" s="792">
        <v>37006</v>
      </c>
      <c r="N19" s="792">
        <v>33525</v>
      </c>
      <c r="O19" s="792">
        <v>33682</v>
      </c>
      <c r="P19" s="792">
        <v>35501</v>
      </c>
      <c r="Q19" s="792">
        <v>44814</v>
      </c>
      <c r="R19" s="792">
        <v>46139</v>
      </c>
      <c r="S19" s="792">
        <v>50677</v>
      </c>
      <c r="T19" s="792">
        <v>51919</v>
      </c>
      <c r="U19" s="792">
        <v>53849</v>
      </c>
      <c r="V19" s="792">
        <v>52409</v>
      </c>
      <c r="W19" s="792">
        <v>49800</v>
      </c>
      <c r="X19" s="792">
        <v>49677</v>
      </c>
      <c r="Y19" s="792">
        <v>47566</v>
      </c>
      <c r="Z19" s="792">
        <v>53542</v>
      </c>
      <c r="AA19" s="1102">
        <v>51618</v>
      </c>
      <c r="AB19" s="548">
        <v>46339</v>
      </c>
      <c r="AC19" s="1103">
        <v>45656</v>
      </c>
      <c r="AD19" s="1103">
        <v>38490</v>
      </c>
    </row>
    <row r="20" spans="1:30" ht="15.6">
      <c r="A20" s="1092"/>
      <c r="B20" s="1094" t="s">
        <v>59</v>
      </c>
      <c r="C20" s="831"/>
      <c r="D20" s="831"/>
      <c r="E20" s="831"/>
      <c r="F20" s="831"/>
      <c r="G20" s="831"/>
      <c r="H20" s="831"/>
      <c r="I20" s="831">
        <v>6037</v>
      </c>
      <c r="J20" s="831">
        <v>5552</v>
      </c>
      <c r="K20" s="831">
        <v>5852</v>
      </c>
      <c r="L20" s="831">
        <v>5264</v>
      </c>
      <c r="M20" s="831">
        <v>6098</v>
      </c>
      <c r="N20" s="831">
        <v>6297</v>
      </c>
      <c r="O20" s="831">
        <v>6755</v>
      </c>
      <c r="P20" s="831">
        <v>6454</v>
      </c>
      <c r="Q20" s="831">
        <v>7695</v>
      </c>
      <c r="R20" s="831">
        <v>10468</v>
      </c>
      <c r="S20" s="831">
        <v>10673</v>
      </c>
      <c r="T20" s="831">
        <v>11475</v>
      </c>
      <c r="U20" s="831">
        <v>11216</v>
      </c>
      <c r="V20" s="831">
        <v>11529</v>
      </c>
      <c r="W20" s="831">
        <v>14127</v>
      </c>
      <c r="X20" s="831">
        <v>14651</v>
      </c>
      <c r="Y20" s="831">
        <v>18481</v>
      </c>
      <c r="Z20" s="831">
        <v>20468</v>
      </c>
      <c r="AA20" s="1104">
        <v>22320</v>
      </c>
      <c r="AB20" s="780">
        <v>22214</v>
      </c>
      <c r="AC20" s="1103">
        <v>18864</v>
      </c>
      <c r="AD20" s="1103">
        <v>25883</v>
      </c>
    </row>
    <row r="21" spans="1:30" ht="15.6">
      <c r="A21" s="1095"/>
      <c r="B21" s="1096" t="s">
        <v>62</v>
      </c>
      <c r="C21" s="539">
        <v>0</v>
      </c>
      <c r="D21" s="539">
        <v>0</v>
      </c>
      <c r="E21" s="539">
        <v>0</v>
      </c>
      <c r="F21" s="539">
        <v>0</v>
      </c>
      <c r="G21" s="539">
        <v>0</v>
      </c>
      <c r="H21" s="539">
        <v>0</v>
      </c>
      <c r="I21" s="539">
        <v>174411</v>
      </c>
      <c r="J21" s="539">
        <v>182776</v>
      </c>
      <c r="K21" s="539">
        <v>187697</v>
      </c>
      <c r="L21" s="539">
        <v>185009</v>
      </c>
      <c r="M21" s="539">
        <v>217563</v>
      </c>
      <c r="N21" s="539">
        <v>232620</v>
      </c>
      <c r="O21" s="539">
        <v>239306</v>
      </c>
      <c r="P21" s="539">
        <v>225906</v>
      </c>
      <c r="Q21" s="539">
        <v>284996</v>
      </c>
      <c r="R21" s="539">
        <v>304584</v>
      </c>
      <c r="S21" s="539">
        <v>343012</v>
      </c>
      <c r="T21" s="539">
        <v>339676</v>
      </c>
      <c r="U21" s="539">
        <v>296359</v>
      </c>
      <c r="V21" s="539">
        <v>269951</v>
      </c>
      <c r="W21" s="539">
        <v>287770</v>
      </c>
      <c r="X21" s="539">
        <v>283849</v>
      </c>
      <c r="Y21" s="539">
        <v>282050</v>
      </c>
      <c r="Z21" s="539">
        <v>282535</v>
      </c>
      <c r="AA21" s="780">
        <v>277981</v>
      </c>
      <c r="AB21" s="125">
        <f>SUM(AB15:AB20)</f>
        <v>277144</v>
      </c>
      <c r="AC21" s="1105">
        <f>SUM(AC15:AC20)</f>
        <v>280530</v>
      </c>
      <c r="AD21" s="1105">
        <f>SUM(AD15:AD20)</f>
        <v>284378</v>
      </c>
    </row>
    <row r="22" spans="1:30" ht="15.6">
      <c r="A22" s="1090" t="s">
        <v>56</v>
      </c>
      <c r="B22" s="1091" t="s">
        <v>66</v>
      </c>
      <c r="C22" s="803"/>
      <c r="D22" s="803"/>
      <c r="E22" s="803"/>
      <c r="F22" s="803"/>
      <c r="G22" s="803"/>
      <c r="H22" s="803"/>
      <c r="I22" s="803">
        <v>956</v>
      </c>
      <c r="J22" s="803">
        <v>1058</v>
      </c>
      <c r="K22" s="803">
        <v>1316</v>
      </c>
      <c r="L22" s="803">
        <v>1213</v>
      </c>
      <c r="M22" s="803">
        <v>1805</v>
      </c>
      <c r="N22" s="803">
        <v>1825</v>
      </c>
      <c r="O22" s="803">
        <v>2009</v>
      </c>
      <c r="P22" s="803">
        <v>1864</v>
      </c>
      <c r="Q22" s="803">
        <v>1972</v>
      </c>
      <c r="R22" s="803">
        <v>2075</v>
      </c>
      <c r="S22" s="803">
        <v>2203</v>
      </c>
      <c r="T22" s="803">
        <v>2441</v>
      </c>
      <c r="U22" s="803">
        <v>2338</v>
      </c>
      <c r="V22" s="803">
        <v>2393</v>
      </c>
      <c r="W22" s="803">
        <v>3662</v>
      </c>
      <c r="X22" s="803">
        <v>4910</v>
      </c>
      <c r="Y22" s="803">
        <v>6786</v>
      </c>
      <c r="Z22" s="803">
        <v>7759</v>
      </c>
      <c r="AA22" s="1100">
        <v>7705</v>
      </c>
      <c r="AB22" s="551">
        <v>6702</v>
      </c>
      <c r="AC22" s="1103">
        <v>5546</v>
      </c>
      <c r="AD22" s="1103">
        <v>6695</v>
      </c>
    </row>
    <row r="23" spans="1:30" ht="15.6">
      <c r="A23" s="1092"/>
      <c r="B23" s="1093" t="s">
        <v>55</v>
      </c>
      <c r="C23" s="792"/>
      <c r="D23" s="792"/>
      <c r="E23" s="792"/>
      <c r="F23" s="792"/>
      <c r="G23" s="792"/>
      <c r="H23" s="792"/>
      <c r="I23" s="792">
        <v>136</v>
      </c>
      <c r="J23" s="792">
        <v>897</v>
      </c>
      <c r="K23" s="792">
        <v>1122</v>
      </c>
      <c r="L23" s="792">
        <v>1470</v>
      </c>
      <c r="M23" s="792">
        <v>2002</v>
      </c>
      <c r="N23" s="792">
        <v>2538</v>
      </c>
      <c r="O23" s="792">
        <v>2596</v>
      </c>
      <c r="P23" s="792">
        <v>2777</v>
      </c>
      <c r="Q23" s="792">
        <v>3505</v>
      </c>
      <c r="R23" s="792">
        <v>4048</v>
      </c>
      <c r="S23" s="792">
        <v>5165</v>
      </c>
      <c r="T23" s="792">
        <v>4984</v>
      </c>
      <c r="U23" s="792">
        <v>4336</v>
      </c>
      <c r="V23" s="792">
        <v>3886</v>
      </c>
      <c r="W23" s="792">
        <v>4292</v>
      </c>
      <c r="X23" s="792">
        <v>4232</v>
      </c>
      <c r="Y23" s="792">
        <v>4199</v>
      </c>
      <c r="Z23" s="792">
        <v>3938</v>
      </c>
      <c r="AA23" s="1102">
        <v>3960</v>
      </c>
      <c r="AB23" s="548">
        <v>4325</v>
      </c>
      <c r="AC23" s="1103">
        <v>5088</v>
      </c>
      <c r="AD23" s="1103">
        <v>5717</v>
      </c>
    </row>
    <row r="24" spans="1:30" ht="15.6">
      <c r="A24" s="1092"/>
      <c r="B24" s="1093" t="s">
        <v>56</v>
      </c>
      <c r="C24" s="792"/>
      <c r="D24" s="792"/>
      <c r="E24" s="792"/>
      <c r="F24" s="792"/>
      <c r="G24" s="792"/>
      <c r="H24" s="792"/>
      <c r="I24" s="792">
        <v>30175</v>
      </c>
      <c r="J24" s="792">
        <v>30525</v>
      </c>
      <c r="K24" s="792">
        <v>35284</v>
      </c>
      <c r="L24" s="792">
        <v>53419</v>
      </c>
      <c r="M24" s="792">
        <v>89303</v>
      </c>
      <c r="N24" s="792">
        <v>91645</v>
      </c>
      <c r="O24" s="792">
        <v>61115</v>
      </c>
      <c r="P24" s="792">
        <v>42129</v>
      </c>
      <c r="Q24" s="792">
        <v>51404</v>
      </c>
      <c r="R24" s="792">
        <v>72258</v>
      </c>
      <c r="S24" s="792">
        <v>84061</v>
      </c>
      <c r="T24" s="792">
        <v>95667</v>
      </c>
      <c r="U24" s="792">
        <v>97294</v>
      </c>
      <c r="V24" s="792">
        <v>76319</v>
      </c>
      <c r="W24" s="792">
        <v>82400</v>
      </c>
      <c r="X24" s="792">
        <v>90847</v>
      </c>
      <c r="Y24" s="792">
        <v>89227</v>
      </c>
      <c r="Z24" s="792">
        <v>94852</v>
      </c>
      <c r="AA24" s="1102">
        <v>103881</v>
      </c>
      <c r="AB24" s="548">
        <v>110351</v>
      </c>
      <c r="AC24" s="1103">
        <v>99202</v>
      </c>
      <c r="AD24" s="1103">
        <v>99315</v>
      </c>
    </row>
    <row r="25" spans="1:30" ht="15.6">
      <c r="A25" s="1092"/>
      <c r="B25" s="1093" t="s">
        <v>57</v>
      </c>
      <c r="C25" s="792"/>
      <c r="D25" s="792"/>
      <c r="E25" s="792"/>
      <c r="F25" s="792"/>
      <c r="G25" s="792"/>
      <c r="H25" s="792"/>
      <c r="I25" s="792">
        <v>1200</v>
      </c>
      <c r="J25" s="792">
        <v>2290</v>
      </c>
      <c r="K25" s="792">
        <v>2248</v>
      </c>
      <c r="L25" s="792">
        <v>2509</v>
      </c>
      <c r="M25" s="792">
        <v>2752</v>
      </c>
      <c r="N25" s="792">
        <v>3127</v>
      </c>
      <c r="O25" s="792">
        <v>4675</v>
      </c>
      <c r="P25" s="792">
        <v>0</v>
      </c>
      <c r="Q25" s="792">
        <v>5168</v>
      </c>
      <c r="R25" s="792">
        <v>4882</v>
      </c>
      <c r="S25" s="792">
        <v>5319</v>
      </c>
      <c r="T25" s="792">
        <v>4271</v>
      </c>
      <c r="U25" s="792">
        <v>4627</v>
      </c>
      <c r="V25" s="792">
        <v>6262</v>
      </c>
      <c r="W25" s="792">
        <v>7410</v>
      </c>
      <c r="X25" s="792">
        <v>7857</v>
      </c>
      <c r="Y25" s="792">
        <v>8623</v>
      </c>
      <c r="Z25" s="792">
        <v>9437</v>
      </c>
      <c r="AA25" s="1102">
        <v>9311</v>
      </c>
      <c r="AB25" s="548">
        <v>11086</v>
      </c>
      <c r="AC25" s="1103">
        <v>10464</v>
      </c>
      <c r="AD25" s="1103">
        <v>12623</v>
      </c>
    </row>
    <row r="26" spans="1:30" ht="15.6">
      <c r="A26" s="1092"/>
      <c r="B26" s="1093" t="s">
        <v>58</v>
      </c>
      <c r="C26" s="792"/>
      <c r="D26" s="792"/>
      <c r="E26" s="792"/>
      <c r="F26" s="792"/>
      <c r="G26" s="792"/>
      <c r="H26" s="792"/>
      <c r="I26" s="792">
        <v>3798</v>
      </c>
      <c r="J26" s="792">
        <v>3946</v>
      </c>
      <c r="K26" s="792">
        <v>4433</v>
      </c>
      <c r="L26" s="792">
        <v>4358</v>
      </c>
      <c r="M26" s="792">
        <v>5920</v>
      </c>
      <c r="N26" s="792">
        <v>6307</v>
      </c>
      <c r="O26" s="792">
        <v>7549</v>
      </c>
      <c r="P26" s="792">
        <v>8762</v>
      </c>
      <c r="Q26" s="792">
        <v>11671</v>
      </c>
      <c r="R26" s="792">
        <v>12262</v>
      </c>
      <c r="S26" s="792">
        <v>13233</v>
      </c>
      <c r="T26" s="792">
        <v>14548</v>
      </c>
      <c r="U26" s="792">
        <v>16469</v>
      </c>
      <c r="V26" s="792">
        <v>17924</v>
      </c>
      <c r="W26" s="792">
        <v>19494</v>
      </c>
      <c r="X26" s="792">
        <v>20717</v>
      </c>
      <c r="Y26" s="792">
        <v>19780</v>
      </c>
      <c r="Z26" s="792">
        <v>21684</v>
      </c>
      <c r="AA26" s="1102">
        <v>21974</v>
      </c>
      <c r="AB26" s="548">
        <v>20703</v>
      </c>
      <c r="AC26" s="1103">
        <v>22031</v>
      </c>
      <c r="AD26" s="1103">
        <v>22081</v>
      </c>
    </row>
    <row r="27" spans="1:30" ht="15.6">
      <c r="A27" s="1092"/>
      <c r="B27" s="1094" t="s">
        <v>59</v>
      </c>
      <c r="C27" s="831"/>
      <c r="D27" s="831"/>
      <c r="E27" s="831"/>
      <c r="F27" s="831"/>
      <c r="G27" s="831"/>
      <c r="H27" s="831"/>
      <c r="I27" s="831">
        <v>664</v>
      </c>
      <c r="J27" s="831">
        <v>848</v>
      </c>
      <c r="K27" s="831">
        <v>951</v>
      </c>
      <c r="L27" s="831">
        <v>794</v>
      </c>
      <c r="M27" s="831">
        <v>863</v>
      </c>
      <c r="N27" s="831">
        <v>1181</v>
      </c>
      <c r="O27" s="831">
        <v>1623</v>
      </c>
      <c r="P27" s="831">
        <v>1592</v>
      </c>
      <c r="Q27" s="831">
        <v>1805</v>
      </c>
      <c r="R27" s="831">
        <v>2186</v>
      </c>
      <c r="S27" s="831">
        <v>2077</v>
      </c>
      <c r="T27" s="831">
        <v>1860</v>
      </c>
      <c r="U27" s="831">
        <v>2199</v>
      </c>
      <c r="V27" s="831">
        <v>2223</v>
      </c>
      <c r="W27" s="831">
        <v>3076</v>
      </c>
      <c r="X27" s="831">
        <v>2879</v>
      </c>
      <c r="Y27" s="831">
        <v>3096</v>
      </c>
      <c r="Z27" s="831">
        <v>3723</v>
      </c>
      <c r="AA27" s="1104">
        <v>4132</v>
      </c>
      <c r="AB27" s="780">
        <v>5040</v>
      </c>
      <c r="AC27" s="1103">
        <v>5162</v>
      </c>
      <c r="AD27" s="1103">
        <v>8230</v>
      </c>
    </row>
    <row r="28" spans="1:30" ht="15.6">
      <c r="A28" s="1095"/>
      <c r="B28" s="1096" t="s">
        <v>62</v>
      </c>
      <c r="C28" s="539">
        <v>0</v>
      </c>
      <c r="D28" s="539">
        <v>0</v>
      </c>
      <c r="E28" s="539">
        <v>0</v>
      </c>
      <c r="F28" s="539">
        <v>0</v>
      </c>
      <c r="G28" s="539">
        <v>0</v>
      </c>
      <c r="H28" s="539">
        <v>0</v>
      </c>
      <c r="I28" s="539">
        <v>36929</v>
      </c>
      <c r="J28" s="539">
        <v>39564</v>
      </c>
      <c r="K28" s="539">
        <v>45354</v>
      </c>
      <c r="L28" s="539">
        <v>63763</v>
      </c>
      <c r="M28" s="539">
        <v>102645</v>
      </c>
      <c r="N28" s="539">
        <v>106623</v>
      </c>
      <c r="O28" s="539">
        <v>79567</v>
      </c>
      <c r="P28" s="539">
        <v>57124</v>
      </c>
      <c r="Q28" s="539">
        <v>75525</v>
      </c>
      <c r="R28" s="539">
        <v>97711</v>
      </c>
      <c r="S28" s="539">
        <v>112058</v>
      </c>
      <c r="T28" s="539">
        <v>123771</v>
      </c>
      <c r="U28" s="539">
        <v>127263</v>
      </c>
      <c r="V28" s="539">
        <v>109007</v>
      </c>
      <c r="W28" s="539">
        <v>120334</v>
      </c>
      <c r="X28" s="539">
        <v>131442</v>
      </c>
      <c r="Y28" s="539">
        <v>131711</v>
      </c>
      <c r="Z28" s="539">
        <v>141393</v>
      </c>
      <c r="AA28" s="780">
        <v>150963</v>
      </c>
      <c r="AB28" s="125">
        <f>SUM(AB22:AB27)</f>
        <v>158207</v>
      </c>
      <c r="AC28" s="1105">
        <f>SUM(AC22:AC27)</f>
        <v>147493</v>
      </c>
      <c r="AD28" s="1105">
        <f>SUM(AD22:AD27)</f>
        <v>154661</v>
      </c>
    </row>
    <row r="29" spans="1:30" ht="15.6">
      <c r="A29" s="1090" t="s">
        <v>57</v>
      </c>
      <c r="B29" s="1091" t="s">
        <v>66</v>
      </c>
      <c r="C29" s="803"/>
      <c r="D29" s="803"/>
      <c r="E29" s="803"/>
      <c r="F29" s="803"/>
      <c r="G29" s="803"/>
      <c r="H29" s="803"/>
      <c r="I29" s="803">
        <v>47</v>
      </c>
      <c r="J29" s="803">
        <v>62</v>
      </c>
      <c r="K29" s="803">
        <v>120</v>
      </c>
      <c r="L29" s="803">
        <v>143</v>
      </c>
      <c r="M29" s="803">
        <v>177</v>
      </c>
      <c r="N29" s="803">
        <v>218</v>
      </c>
      <c r="O29" s="803">
        <v>362</v>
      </c>
      <c r="P29" s="803">
        <v>512</v>
      </c>
      <c r="Q29" s="803">
        <v>570</v>
      </c>
      <c r="R29" s="803">
        <v>726</v>
      </c>
      <c r="S29" s="803">
        <v>1022</v>
      </c>
      <c r="T29" s="803">
        <v>1130</v>
      </c>
      <c r="U29" s="803">
        <v>1481</v>
      </c>
      <c r="V29" s="803">
        <v>1757</v>
      </c>
      <c r="W29" s="803">
        <v>2999</v>
      </c>
      <c r="X29" s="803">
        <v>3702</v>
      </c>
      <c r="Y29" s="803">
        <v>5401</v>
      </c>
      <c r="Z29" s="803">
        <v>6850</v>
      </c>
      <c r="AA29" s="1100">
        <v>8015</v>
      </c>
      <c r="AB29" s="551">
        <v>9144</v>
      </c>
      <c r="AC29" s="1103">
        <v>9171</v>
      </c>
      <c r="AD29" s="1103">
        <v>13412</v>
      </c>
    </row>
    <row r="30" spans="1:30" ht="15.6">
      <c r="A30" s="1092"/>
      <c r="B30" s="1093" t="s">
        <v>55</v>
      </c>
      <c r="C30" s="792"/>
      <c r="D30" s="792"/>
      <c r="E30" s="792"/>
      <c r="F30" s="792"/>
      <c r="G30" s="792"/>
      <c r="H30" s="792"/>
      <c r="I30" s="792">
        <v>6</v>
      </c>
      <c r="J30" s="792">
        <v>23</v>
      </c>
      <c r="K30" s="792">
        <v>18</v>
      </c>
      <c r="L30" s="792">
        <v>19</v>
      </c>
      <c r="M30" s="792">
        <v>47</v>
      </c>
      <c r="N30" s="792">
        <v>67</v>
      </c>
      <c r="O30" s="792">
        <v>91</v>
      </c>
      <c r="P30" s="792">
        <v>156</v>
      </c>
      <c r="Q30" s="792">
        <v>255</v>
      </c>
      <c r="R30" s="792">
        <v>416</v>
      </c>
      <c r="S30" s="792">
        <v>822</v>
      </c>
      <c r="T30" s="792">
        <v>1243</v>
      </c>
      <c r="U30" s="792">
        <v>1560</v>
      </c>
      <c r="V30" s="792">
        <v>1535</v>
      </c>
      <c r="W30" s="792">
        <v>1832</v>
      </c>
      <c r="X30" s="792">
        <v>2415</v>
      </c>
      <c r="Y30" s="792">
        <v>3152</v>
      </c>
      <c r="Z30" s="792">
        <v>3738</v>
      </c>
      <c r="AA30" s="1102">
        <v>4331</v>
      </c>
      <c r="AB30" s="548">
        <v>4902</v>
      </c>
      <c r="AC30" s="1103">
        <v>6465</v>
      </c>
      <c r="AD30" s="1103">
        <v>8227</v>
      </c>
    </row>
    <row r="31" spans="1:30" ht="15.6">
      <c r="A31" s="1092"/>
      <c r="B31" s="1093" t="s">
        <v>56</v>
      </c>
      <c r="C31" s="792"/>
      <c r="D31" s="792"/>
      <c r="E31" s="792"/>
      <c r="F31" s="792"/>
      <c r="G31" s="792"/>
      <c r="H31" s="792"/>
      <c r="I31" s="792">
        <v>6</v>
      </c>
      <c r="J31" s="792">
        <v>16</v>
      </c>
      <c r="K31" s="792">
        <v>12</v>
      </c>
      <c r="L31" s="792">
        <v>36</v>
      </c>
      <c r="M31" s="792">
        <v>105</v>
      </c>
      <c r="N31" s="792">
        <v>137</v>
      </c>
      <c r="O31" s="792">
        <v>110</v>
      </c>
      <c r="P31" s="792">
        <v>123</v>
      </c>
      <c r="Q31" s="792">
        <v>203</v>
      </c>
      <c r="R31" s="792">
        <v>326</v>
      </c>
      <c r="S31" s="792">
        <v>437</v>
      </c>
      <c r="T31" s="792">
        <v>565</v>
      </c>
      <c r="U31" s="792">
        <v>810</v>
      </c>
      <c r="V31" s="792">
        <v>853</v>
      </c>
      <c r="W31" s="792">
        <v>1102</v>
      </c>
      <c r="X31" s="792">
        <v>1556</v>
      </c>
      <c r="Y31" s="792">
        <v>1801</v>
      </c>
      <c r="Z31" s="792">
        <v>2032</v>
      </c>
      <c r="AA31" s="1102">
        <v>2041</v>
      </c>
      <c r="AB31" s="548">
        <v>2999</v>
      </c>
      <c r="AC31" s="1103">
        <v>3069</v>
      </c>
      <c r="AD31" s="1103">
        <v>3275</v>
      </c>
    </row>
    <row r="32" spans="1:30" ht="15.6">
      <c r="A32" s="1092"/>
      <c r="B32" s="1093" t="s">
        <v>57</v>
      </c>
      <c r="C32" s="792"/>
      <c r="D32" s="792"/>
      <c r="E32" s="792"/>
      <c r="F32" s="792"/>
      <c r="G32" s="792"/>
      <c r="H32" s="792"/>
      <c r="I32" s="792">
        <v>5868</v>
      </c>
      <c r="J32" s="792">
        <v>11474</v>
      </c>
      <c r="K32" s="792">
        <v>18241</v>
      </c>
      <c r="L32" s="792">
        <v>20705</v>
      </c>
      <c r="M32" s="792">
        <v>25077</v>
      </c>
      <c r="N32" s="792">
        <v>31945</v>
      </c>
      <c r="O32" s="792">
        <v>46590</v>
      </c>
      <c r="P32" s="792">
        <v>65391</v>
      </c>
      <c r="Q32" s="792">
        <v>79767</v>
      </c>
      <c r="R32" s="792">
        <v>112347</v>
      </c>
      <c r="S32" s="792">
        <v>143808</v>
      </c>
      <c r="T32" s="792">
        <v>143535</v>
      </c>
      <c r="U32" s="792">
        <v>162680</v>
      </c>
      <c r="V32" s="792">
        <v>263436</v>
      </c>
      <c r="W32" s="792">
        <v>302136</v>
      </c>
      <c r="X32" s="792">
        <v>326970</v>
      </c>
      <c r="Y32" s="792">
        <v>345959</v>
      </c>
      <c r="Z32" s="792">
        <v>360919</v>
      </c>
      <c r="AA32" s="1102">
        <v>440691</v>
      </c>
      <c r="AB32" s="548">
        <v>584891</v>
      </c>
      <c r="AC32" s="1103">
        <v>695591</v>
      </c>
      <c r="AD32" s="1103">
        <v>819234</v>
      </c>
    </row>
    <row r="33" spans="1:30" ht="15.6">
      <c r="A33" s="1092"/>
      <c r="B33" s="1093" t="s">
        <v>58</v>
      </c>
      <c r="C33" s="792"/>
      <c r="D33" s="792"/>
      <c r="E33" s="792"/>
      <c r="F33" s="792"/>
      <c r="G33" s="792"/>
      <c r="H33" s="792"/>
      <c r="I33" s="792">
        <v>289</v>
      </c>
      <c r="J33" s="792">
        <v>297</v>
      </c>
      <c r="K33" s="792">
        <v>405</v>
      </c>
      <c r="L33" s="792">
        <v>402</v>
      </c>
      <c r="M33" s="792">
        <v>661</v>
      </c>
      <c r="N33" s="792">
        <v>773</v>
      </c>
      <c r="O33" s="792">
        <v>1225</v>
      </c>
      <c r="P33" s="792">
        <v>1655</v>
      </c>
      <c r="Q33" s="792">
        <v>2657</v>
      </c>
      <c r="R33" s="792">
        <v>3174</v>
      </c>
      <c r="S33" s="792">
        <v>4637</v>
      </c>
      <c r="T33" s="792">
        <v>5928</v>
      </c>
      <c r="U33" s="792">
        <v>7236</v>
      </c>
      <c r="V33" s="792">
        <v>8116</v>
      </c>
      <c r="W33" s="792">
        <v>10462</v>
      </c>
      <c r="X33" s="792">
        <v>13243</v>
      </c>
      <c r="Y33" s="792">
        <v>14488</v>
      </c>
      <c r="Z33" s="792">
        <v>19209</v>
      </c>
      <c r="AA33" s="1102">
        <v>21476</v>
      </c>
      <c r="AB33" s="548">
        <v>23705</v>
      </c>
      <c r="AC33" s="1103">
        <v>27100</v>
      </c>
      <c r="AD33" s="1103">
        <v>24410</v>
      </c>
    </row>
    <row r="34" spans="1:30" ht="15.6">
      <c r="A34" s="1092"/>
      <c r="B34" s="1094" t="s">
        <v>59</v>
      </c>
      <c r="C34" s="831"/>
      <c r="D34" s="831"/>
      <c r="E34" s="831"/>
      <c r="F34" s="831"/>
      <c r="G34" s="831"/>
      <c r="H34" s="831"/>
      <c r="I34" s="831">
        <v>84</v>
      </c>
      <c r="J34" s="831">
        <v>131</v>
      </c>
      <c r="K34" s="831">
        <v>146</v>
      </c>
      <c r="L34" s="831">
        <v>144</v>
      </c>
      <c r="M34" s="831">
        <v>225</v>
      </c>
      <c r="N34" s="831">
        <v>271</v>
      </c>
      <c r="O34" s="831">
        <v>437</v>
      </c>
      <c r="P34" s="831">
        <v>555</v>
      </c>
      <c r="Q34" s="831">
        <v>1086</v>
      </c>
      <c r="R34" s="831">
        <v>1127</v>
      </c>
      <c r="S34" s="831">
        <v>1296</v>
      </c>
      <c r="T34" s="831">
        <v>1923</v>
      </c>
      <c r="U34" s="831">
        <v>2237</v>
      </c>
      <c r="V34" s="831">
        <v>2536</v>
      </c>
      <c r="W34" s="831">
        <v>3341</v>
      </c>
      <c r="X34" s="831">
        <v>4118</v>
      </c>
      <c r="Y34" s="831">
        <v>5707</v>
      </c>
      <c r="Z34" s="831">
        <v>6257</v>
      </c>
      <c r="AA34" s="1104">
        <v>7394</v>
      </c>
      <c r="AB34" s="780">
        <v>13020</v>
      </c>
      <c r="AC34" s="1103">
        <v>18779</v>
      </c>
      <c r="AD34" s="1103">
        <v>21407</v>
      </c>
    </row>
    <row r="35" spans="1:30" ht="15.6">
      <c r="A35" s="1095"/>
      <c r="B35" s="1096" t="s">
        <v>62</v>
      </c>
      <c r="C35" s="539">
        <v>0</v>
      </c>
      <c r="D35" s="539">
        <v>0</v>
      </c>
      <c r="E35" s="539">
        <v>0</v>
      </c>
      <c r="F35" s="539">
        <v>0</v>
      </c>
      <c r="G35" s="539">
        <v>0</v>
      </c>
      <c r="H35" s="539">
        <v>0</v>
      </c>
      <c r="I35" s="539">
        <v>6300</v>
      </c>
      <c r="J35" s="539">
        <v>12003</v>
      </c>
      <c r="K35" s="539">
        <v>18942</v>
      </c>
      <c r="L35" s="539">
        <v>21449</v>
      </c>
      <c r="M35" s="539">
        <v>26292</v>
      </c>
      <c r="N35" s="539">
        <v>33411</v>
      </c>
      <c r="O35" s="539">
        <v>48815</v>
      </c>
      <c r="P35" s="539">
        <v>68392</v>
      </c>
      <c r="Q35" s="539">
        <v>84538</v>
      </c>
      <c r="R35" s="539">
        <v>118116</v>
      </c>
      <c r="S35" s="539">
        <v>152022</v>
      </c>
      <c r="T35" s="539">
        <v>154324</v>
      </c>
      <c r="U35" s="539">
        <v>176004</v>
      </c>
      <c r="V35" s="539">
        <v>278233</v>
      </c>
      <c r="W35" s="539">
        <v>321872</v>
      </c>
      <c r="X35" s="539">
        <v>352004</v>
      </c>
      <c r="Y35" s="539">
        <v>376508</v>
      </c>
      <c r="Z35" s="539">
        <v>399005</v>
      </c>
      <c r="AA35" s="780">
        <v>483948</v>
      </c>
      <c r="AB35" s="125">
        <f>SUM(AB29:AB34)</f>
        <v>638661</v>
      </c>
      <c r="AC35" s="1105">
        <f>SUM(AC29:AC34)</f>
        <v>760175</v>
      </c>
      <c r="AD35" s="1105">
        <f>SUM(AD29:AD34)</f>
        <v>889965</v>
      </c>
    </row>
    <row r="36" spans="1:30" ht="15.6">
      <c r="A36" s="1090" t="s">
        <v>58</v>
      </c>
      <c r="B36" s="1091" t="s">
        <v>66</v>
      </c>
      <c r="C36" s="803"/>
      <c r="D36" s="803"/>
      <c r="E36" s="803"/>
      <c r="F36" s="803"/>
      <c r="G36" s="803"/>
      <c r="H36" s="803"/>
      <c r="I36" s="803">
        <v>16696</v>
      </c>
      <c r="J36" s="803">
        <v>17659</v>
      </c>
      <c r="K36" s="803">
        <v>20269</v>
      </c>
      <c r="L36" s="803">
        <v>18763</v>
      </c>
      <c r="M36" s="803">
        <v>20290</v>
      </c>
      <c r="N36" s="803">
        <v>18560</v>
      </c>
      <c r="O36" s="803">
        <v>17510</v>
      </c>
      <c r="P36" s="803">
        <v>15866</v>
      </c>
      <c r="Q36" s="803">
        <v>16146</v>
      </c>
      <c r="R36" s="803">
        <v>17522</v>
      </c>
      <c r="S36" s="803">
        <v>18549</v>
      </c>
      <c r="T36" s="803">
        <v>18520</v>
      </c>
      <c r="U36" s="803">
        <v>18041</v>
      </c>
      <c r="V36" s="803">
        <v>18577</v>
      </c>
      <c r="W36" s="803">
        <v>25870</v>
      </c>
      <c r="X36" s="803">
        <v>29077</v>
      </c>
      <c r="Y36" s="803">
        <v>35272</v>
      </c>
      <c r="Z36" s="803">
        <v>38799</v>
      </c>
      <c r="AA36" s="1100">
        <v>38761</v>
      </c>
      <c r="AB36" s="551">
        <v>33010</v>
      </c>
      <c r="AC36" s="1103">
        <v>26039</v>
      </c>
      <c r="AD36" s="1103">
        <v>30366</v>
      </c>
    </row>
    <row r="37" spans="1:30" ht="15.6">
      <c r="A37" s="1092"/>
      <c r="B37" s="1093" t="s">
        <v>55</v>
      </c>
      <c r="C37" s="792"/>
      <c r="D37" s="792"/>
      <c r="E37" s="792"/>
      <c r="F37" s="792"/>
      <c r="G37" s="792"/>
      <c r="H37" s="792"/>
      <c r="I37" s="792">
        <v>5588</v>
      </c>
      <c r="J37" s="792">
        <v>5476</v>
      </c>
      <c r="K37" s="792">
        <v>5256</v>
      </c>
      <c r="L37" s="792">
        <v>5168</v>
      </c>
      <c r="M37" s="792">
        <v>5993</v>
      </c>
      <c r="N37" s="792">
        <v>8023</v>
      </c>
      <c r="O37" s="792">
        <v>9873</v>
      </c>
      <c r="P37" s="792">
        <v>11033</v>
      </c>
      <c r="Q37" s="792">
        <v>13824</v>
      </c>
      <c r="R37" s="792">
        <v>16262</v>
      </c>
      <c r="S37" s="792">
        <v>20103</v>
      </c>
      <c r="T37" s="792">
        <v>21131</v>
      </c>
      <c r="U37" s="792">
        <v>20229</v>
      </c>
      <c r="V37" s="792">
        <v>17995</v>
      </c>
      <c r="W37" s="792">
        <v>17248</v>
      </c>
      <c r="X37" s="792">
        <v>17451</v>
      </c>
      <c r="Y37" s="792">
        <v>17080</v>
      </c>
      <c r="Z37" s="792">
        <v>14789</v>
      </c>
      <c r="AA37" s="1102">
        <v>14165</v>
      </c>
      <c r="AB37" s="548">
        <v>15347</v>
      </c>
      <c r="AC37" s="1103">
        <v>16379</v>
      </c>
      <c r="AD37" s="1103">
        <v>17822</v>
      </c>
    </row>
    <row r="38" spans="1:30" ht="15.6">
      <c r="A38" s="1092"/>
      <c r="B38" s="1093" t="s">
        <v>56</v>
      </c>
      <c r="C38" s="792"/>
      <c r="D38" s="792"/>
      <c r="E38" s="792"/>
      <c r="F38" s="792"/>
      <c r="G38" s="792"/>
      <c r="H38" s="792"/>
      <c r="I38" s="792">
        <v>3983</v>
      </c>
      <c r="J38" s="792">
        <v>3248</v>
      </c>
      <c r="K38" s="792">
        <v>2978</v>
      </c>
      <c r="L38" s="792">
        <v>4123</v>
      </c>
      <c r="M38" s="792">
        <v>6784</v>
      </c>
      <c r="N38" s="792">
        <v>6683</v>
      </c>
      <c r="O38" s="792">
        <v>5135</v>
      </c>
      <c r="P38" s="792">
        <v>3674</v>
      </c>
      <c r="Q38" s="792">
        <v>4711</v>
      </c>
      <c r="R38" s="792">
        <v>5874</v>
      </c>
      <c r="S38" s="792">
        <v>8404</v>
      </c>
      <c r="T38" s="792">
        <v>8835</v>
      </c>
      <c r="U38" s="792">
        <v>8804</v>
      </c>
      <c r="V38" s="792">
        <v>7337</v>
      </c>
      <c r="W38" s="792">
        <v>7495</v>
      </c>
      <c r="X38" s="792">
        <v>8096</v>
      </c>
      <c r="Y38" s="792">
        <v>7912</v>
      </c>
      <c r="Z38" s="792">
        <v>8171</v>
      </c>
      <c r="AA38" s="1102">
        <v>8504</v>
      </c>
      <c r="AB38" s="548">
        <v>10041</v>
      </c>
      <c r="AC38" s="1103">
        <v>10566</v>
      </c>
      <c r="AD38" s="1103">
        <v>10236</v>
      </c>
    </row>
    <row r="39" spans="1:30" ht="15.6">
      <c r="A39" s="1092"/>
      <c r="B39" s="1093" t="s">
        <v>57</v>
      </c>
      <c r="C39" s="792"/>
      <c r="D39" s="792"/>
      <c r="E39" s="792"/>
      <c r="F39" s="792"/>
      <c r="G39" s="792"/>
      <c r="H39" s="792"/>
      <c r="I39" s="792">
        <v>3414</v>
      </c>
      <c r="J39" s="792">
        <v>9407</v>
      </c>
      <c r="K39" s="792">
        <v>6538</v>
      </c>
      <c r="L39" s="792">
        <v>6160</v>
      </c>
      <c r="M39" s="792">
        <v>5870</v>
      </c>
      <c r="N39" s="792">
        <v>6891</v>
      </c>
      <c r="O39" s="792">
        <v>8661</v>
      </c>
      <c r="P39" s="792">
        <v>0</v>
      </c>
      <c r="Q39" s="792">
        <v>10985</v>
      </c>
      <c r="R39" s="792">
        <v>12334</v>
      </c>
      <c r="S39" s="792">
        <v>16908</v>
      </c>
      <c r="T39" s="792">
        <v>16674</v>
      </c>
      <c r="U39" s="792">
        <v>17401</v>
      </c>
      <c r="V39" s="792">
        <v>23157</v>
      </c>
      <c r="W39" s="792">
        <v>25637</v>
      </c>
      <c r="X39" s="792">
        <v>23673</v>
      </c>
      <c r="Y39" s="792">
        <v>22915</v>
      </c>
      <c r="Z39" s="792">
        <v>23114</v>
      </c>
      <c r="AA39" s="1102">
        <v>21084</v>
      </c>
      <c r="AB39" s="548">
        <v>27843</v>
      </c>
      <c r="AC39" s="1103">
        <v>25497</v>
      </c>
      <c r="AD39" s="1103">
        <v>24005</v>
      </c>
    </row>
    <row r="40" spans="1:30" ht="15.6">
      <c r="A40" s="1092"/>
      <c r="B40" s="1093" t="s">
        <v>58</v>
      </c>
      <c r="C40" s="792"/>
      <c r="D40" s="792"/>
      <c r="E40" s="792"/>
      <c r="F40" s="792"/>
      <c r="G40" s="792"/>
      <c r="H40" s="792"/>
      <c r="I40" s="792">
        <v>87761</v>
      </c>
      <c r="J40" s="792">
        <v>88518</v>
      </c>
      <c r="K40" s="792">
        <v>84858</v>
      </c>
      <c r="L40" s="792">
        <v>75009</v>
      </c>
      <c r="M40" s="792">
        <v>90548</v>
      </c>
      <c r="N40" s="792">
        <v>80171</v>
      </c>
      <c r="O40" s="792">
        <v>77501</v>
      </c>
      <c r="P40" s="792">
        <v>82382</v>
      </c>
      <c r="Q40" s="792">
        <v>107792</v>
      </c>
      <c r="R40" s="792">
        <v>108626</v>
      </c>
      <c r="S40" s="792">
        <v>121026</v>
      </c>
      <c r="T40" s="792">
        <v>133593</v>
      </c>
      <c r="U40" s="792">
        <v>144621</v>
      </c>
      <c r="V40" s="792">
        <v>140969</v>
      </c>
      <c r="W40" s="792">
        <v>143723</v>
      </c>
      <c r="X40" s="792">
        <v>150949</v>
      </c>
      <c r="Y40" s="792">
        <v>144413</v>
      </c>
      <c r="Z40" s="792">
        <v>167115</v>
      </c>
      <c r="AA40" s="1102">
        <v>164562</v>
      </c>
      <c r="AB40" s="548">
        <v>149538</v>
      </c>
      <c r="AC40" s="1103">
        <v>141938</v>
      </c>
      <c r="AD40" s="1103">
        <v>148071</v>
      </c>
    </row>
    <row r="41" spans="1:30" ht="15.6">
      <c r="A41" s="1092"/>
      <c r="B41" s="1094" t="s">
        <v>59</v>
      </c>
      <c r="C41" s="831"/>
      <c r="D41" s="831"/>
      <c r="E41" s="831"/>
      <c r="F41" s="831"/>
      <c r="G41" s="831"/>
      <c r="H41" s="831"/>
      <c r="I41" s="831">
        <v>22375</v>
      </c>
      <c r="J41" s="831">
        <v>24259</v>
      </c>
      <c r="K41" s="831">
        <v>23585</v>
      </c>
      <c r="L41" s="831">
        <v>23593</v>
      </c>
      <c r="M41" s="831">
        <v>25869</v>
      </c>
      <c r="N41" s="831">
        <v>26381</v>
      </c>
      <c r="O41" s="831">
        <v>28474</v>
      </c>
      <c r="P41" s="831">
        <v>27676</v>
      </c>
      <c r="Q41" s="831">
        <v>32415</v>
      </c>
      <c r="R41" s="831">
        <v>39885</v>
      </c>
      <c r="S41" s="831">
        <v>41592</v>
      </c>
      <c r="T41" s="831">
        <v>42498</v>
      </c>
      <c r="U41" s="831">
        <v>42030</v>
      </c>
      <c r="V41" s="831">
        <v>44173</v>
      </c>
      <c r="W41" s="831">
        <v>50134</v>
      </c>
      <c r="X41" s="831">
        <v>48024</v>
      </c>
      <c r="Y41" s="831">
        <v>50674</v>
      </c>
      <c r="Z41" s="831">
        <v>50779</v>
      </c>
      <c r="AA41" s="1104">
        <v>52755</v>
      </c>
      <c r="AB41" s="780">
        <v>58207</v>
      </c>
      <c r="AC41" s="1103">
        <v>51857</v>
      </c>
      <c r="AD41" s="1103">
        <v>64394</v>
      </c>
    </row>
    <row r="42" spans="1:30" ht="15.6">
      <c r="A42" s="1095"/>
      <c r="B42" s="1096" t="s">
        <v>62</v>
      </c>
      <c r="C42" s="539">
        <v>0</v>
      </c>
      <c r="D42" s="539">
        <v>0</v>
      </c>
      <c r="E42" s="539">
        <v>0</v>
      </c>
      <c r="F42" s="539">
        <v>0</v>
      </c>
      <c r="G42" s="539">
        <v>0</v>
      </c>
      <c r="H42" s="539">
        <v>0</v>
      </c>
      <c r="I42" s="539">
        <v>139817</v>
      </c>
      <c r="J42" s="539">
        <v>148567</v>
      </c>
      <c r="K42" s="539">
        <v>143484</v>
      </c>
      <c r="L42" s="539">
        <v>132816</v>
      </c>
      <c r="M42" s="539">
        <v>155354</v>
      </c>
      <c r="N42" s="539">
        <v>146709</v>
      </c>
      <c r="O42" s="539">
        <v>147154</v>
      </c>
      <c r="P42" s="539">
        <v>140631</v>
      </c>
      <c r="Q42" s="539">
        <v>185873</v>
      </c>
      <c r="R42" s="539">
        <v>200503</v>
      </c>
      <c r="S42" s="539">
        <v>226582</v>
      </c>
      <c r="T42" s="539">
        <v>241251</v>
      </c>
      <c r="U42" s="539">
        <v>251126</v>
      </c>
      <c r="V42" s="539">
        <v>252208</v>
      </c>
      <c r="W42" s="539">
        <v>270107</v>
      </c>
      <c r="X42" s="539">
        <v>277270</v>
      </c>
      <c r="Y42" s="539">
        <v>278266</v>
      </c>
      <c r="Z42" s="539">
        <v>302767</v>
      </c>
      <c r="AA42" s="780">
        <v>299831</v>
      </c>
      <c r="AB42" s="125">
        <f>SUM(AB36:AB41)</f>
        <v>293986</v>
      </c>
      <c r="AC42" s="1105">
        <f>SUM(AC36:AC41)</f>
        <v>272276</v>
      </c>
      <c r="AD42" s="1105">
        <f>SUM(AD36:AD41)</f>
        <v>294894</v>
      </c>
    </row>
    <row r="43" spans="1:30" ht="15.6">
      <c r="A43" s="1090" t="s">
        <v>59</v>
      </c>
      <c r="B43" s="1091" t="s">
        <v>66</v>
      </c>
      <c r="C43" s="803"/>
      <c r="D43" s="803"/>
      <c r="E43" s="803"/>
      <c r="F43" s="803"/>
      <c r="G43" s="803"/>
      <c r="H43" s="803"/>
      <c r="I43" s="803">
        <v>3118</v>
      </c>
      <c r="J43" s="803">
        <v>11040</v>
      </c>
      <c r="K43" s="803">
        <v>5704</v>
      </c>
      <c r="L43" s="803">
        <v>6165</v>
      </c>
      <c r="M43" s="803">
        <v>4733</v>
      </c>
      <c r="N43" s="803">
        <v>4299</v>
      </c>
      <c r="O43" s="803">
        <v>7500</v>
      </c>
      <c r="P43" s="803">
        <v>4095</v>
      </c>
      <c r="Q43" s="803">
        <v>4230</v>
      </c>
      <c r="R43" s="803">
        <v>4481</v>
      </c>
      <c r="S43" s="803">
        <v>4491</v>
      </c>
      <c r="T43" s="803">
        <v>4852</v>
      </c>
      <c r="U43" s="803">
        <v>4150</v>
      </c>
      <c r="V43" s="803">
        <v>4053</v>
      </c>
      <c r="W43" s="803">
        <v>5829</v>
      </c>
      <c r="X43" s="803">
        <v>6138</v>
      </c>
      <c r="Y43" s="803">
        <v>8238</v>
      </c>
      <c r="Z43" s="803">
        <v>8879</v>
      </c>
      <c r="AA43" s="1100">
        <v>8862</v>
      </c>
      <c r="AB43" s="551">
        <v>7880</v>
      </c>
      <c r="AC43" s="1103">
        <v>5410</v>
      </c>
      <c r="AD43" s="1103">
        <v>6943</v>
      </c>
    </row>
    <row r="44" spans="1:30" ht="15.6">
      <c r="A44" s="1092"/>
      <c r="B44" s="1093" t="s">
        <v>55</v>
      </c>
      <c r="C44" s="792"/>
      <c r="D44" s="792"/>
      <c r="E44" s="792"/>
      <c r="F44" s="792"/>
      <c r="G44" s="792"/>
      <c r="H44" s="792"/>
      <c r="I44" s="792">
        <v>481</v>
      </c>
      <c r="J44" s="792">
        <v>521</v>
      </c>
      <c r="K44" s="792">
        <v>558</v>
      </c>
      <c r="L44" s="792">
        <v>619</v>
      </c>
      <c r="M44" s="792">
        <v>773</v>
      </c>
      <c r="N44" s="792">
        <v>1043</v>
      </c>
      <c r="O44" s="792">
        <v>1769</v>
      </c>
      <c r="P44" s="792">
        <v>1747</v>
      </c>
      <c r="Q44" s="792">
        <v>2246</v>
      </c>
      <c r="R44" s="792">
        <v>2711</v>
      </c>
      <c r="S44" s="792">
        <v>3455</v>
      </c>
      <c r="T44" s="792">
        <v>3471</v>
      </c>
      <c r="U44" s="792">
        <v>3350</v>
      </c>
      <c r="V44" s="792">
        <v>2872</v>
      </c>
      <c r="W44" s="792">
        <v>2986</v>
      </c>
      <c r="X44" s="792">
        <v>3051</v>
      </c>
      <c r="Y44" s="792">
        <v>3001</v>
      </c>
      <c r="Z44" s="792">
        <v>3095</v>
      </c>
      <c r="AA44" s="1102">
        <v>3330</v>
      </c>
      <c r="AB44" s="548">
        <v>3611</v>
      </c>
      <c r="AC44" s="1103">
        <v>3566</v>
      </c>
      <c r="AD44" s="1103">
        <v>3724</v>
      </c>
    </row>
    <row r="45" spans="1:30" ht="15.6">
      <c r="A45" s="1092"/>
      <c r="B45" s="1093" t="s">
        <v>56</v>
      </c>
      <c r="C45" s="792"/>
      <c r="D45" s="792"/>
      <c r="E45" s="792"/>
      <c r="F45" s="792"/>
      <c r="G45" s="792"/>
      <c r="H45" s="792"/>
      <c r="I45" s="792">
        <v>248</v>
      </c>
      <c r="J45" s="792">
        <v>274</v>
      </c>
      <c r="K45" s="792">
        <v>301</v>
      </c>
      <c r="L45" s="792">
        <v>503</v>
      </c>
      <c r="M45" s="792">
        <v>926</v>
      </c>
      <c r="N45" s="792">
        <v>1174</v>
      </c>
      <c r="O45" s="792">
        <v>1078</v>
      </c>
      <c r="P45" s="792">
        <v>552</v>
      </c>
      <c r="Q45" s="792">
        <v>660</v>
      </c>
      <c r="R45" s="792">
        <v>835</v>
      </c>
      <c r="S45" s="792">
        <v>1313</v>
      </c>
      <c r="T45" s="792">
        <v>1435</v>
      </c>
      <c r="U45" s="792">
        <v>1638</v>
      </c>
      <c r="V45" s="792">
        <v>1317</v>
      </c>
      <c r="W45" s="792">
        <v>1375</v>
      </c>
      <c r="X45" s="792">
        <v>1624</v>
      </c>
      <c r="Y45" s="792">
        <v>1366</v>
      </c>
      <c r="Z45" s="792">
        <v>1549</v>
      </c>
      <c r="AA45" s="1102">
        <v>2043</v>
      </c>
      <c r="AB45" s="548">
        <v>2244</v>
      </c>
      <c r="AC45" s="1103">
        <v>2120</v>
      </c>
      <c r="AD45" s="1103">
        <v>2045</v>
      </c>
    </row>
    <row r="46" spans="1:30" ht="15.6">
      <c r="A46" s="1092"/>
      <c r="B46" s="1093" t="s">
        <v>57</v>
      </c>
      <c r="C46" s="792"/>
      <c r="D46" s="792"/>
      <c r="E46" s="792"/>
      <c r="F46" s="792"/>
      <c r="G46" s="792"/>
      <c r="H46" s="792"/>
      <c r="I46" s="792">
        <v>370</v>
      </c>
      <c r="J46" s="792">
        <v>1130</v>
      </c>
      <c r="K46" s="792">
        <v>812</v>
      </c>
      <c r="L46" s="792">
        <v>951</v>
      </c>
      <c r="M46" s="792">
        <v>837</v>
      </c>
      <c r="N46" s="792">
        <v>967</v>
      </c>
      <c r="O46" s="792">
        <v>1778</v>
      </c>
      <c r="P46" s="792">
        <v>63098</v>
      </c>
      <c r="Q46" s="792">
        <v>1672</v>
      </c>
      <c r="R46" s="792">
        <v>1749</v>
      </c>
      <c r="S46" s="792">
        <v>2232</v>
      </c>
      <c r="T46" s="792">
        <v>2278</v>
      </c>
      <c r="U46" s="792">
        <v>2404</v>
      </c>
      <c r="V46" s="792">
        <v>3317</v>
      </c>
      <c r="W46" s="792">
        <v>3757</v>
      </c>
      <c r="X46" s="792">
        <v>3463</v>
      </c>
      <c r="Y46" s="792">
        <v>3578</v>
      </c>
      <c r="Z46" s="792">
        <v>4216</v>
      </c>
      <c r="AA46" s="1102">
        <v>5942</v>
      </c>
      <c r="AB46" s="548">
        <v>7025</v>
      </c>
      <c r="AC46" s="1103">
        <v>5110</v>
      </c>
      <c r="AD46" s="1103">
        <v>6831</v>
      </c>
    </row>
    <row r="47" spans="1:30" ht="15.6">
      <c r="A47" s="1092"/>
      <c r="B47" s="1093" t="s">
        <v>58</v>
      </c>
      <c r="C47" s="792"/>
      <c r="D47" s="792"/>
      <c r="E47" s="792"/>
      <c r="F47" s="792"/>
      <c r="G47" s="792"/>
      <c r="H47" s="792"/>
      <c r="I47" s="792">
        <v>12755</v>
      </c>
      <c r="J47" s="792">
        <v>12990</v>
      </c>
      <c r="K47" s="792">
        <v>13437</v>
      </c>
      <c r="L47" s="792">
        <v>11771</v>
      </c>
      <c r="M47" s="792">
        <v>14845</v>
      </c>
      <c r="N47" s="792">
        <v>14178</v>
      </c>
      <c r="O47" s="792">
        <v>15876</v>
      </c>
      <c r="P47" s="792">
        <v>15372</v>
      </c>
      <c r="Q47" s="792">
        <v>20201</v>
      </c>
      <c r="R47" s="792">
        <v>21538</v>
      </c>
      <c r="S47" s="792">
        <v>25384</v>
      </c>
      <c r="T47" s="792">
        <v>28397</v>
      </c>
      <c r="U47" s="792">
        <v>30770</v>
      </c>
      <c r="V47" s="792">
        <v>31460</v>
      </c>
      <c r="W47" s="792">
        <v>31660</v>
      </c>
      <c r="X47" s="792">
        <v>33583</v>
      </c>
      <c r="Y47" s="792">
        <v>32549</v>
      </c>
      <c r="Z47" s="792">
        <v>37242</v>
      </c>
      <c r="AA47" s="1102">
        <v>37985</v>
      </c>
      <c r="AB47" s="548">
        <v>36451</v>
      </c>
      <c r="AC47" s="1103">
        <v>36820</v>
      </c>
      <c r="AD47" s="1103">
        <v>37209</v>
      </c>
    </row>
    <row r="48" spans="1:30" ht="15.6">
      <c r="A48" s="1092"/>
      <c r="B48" s="1094" t="s">
        <v>59</v>
      </c>
      <c r="C48" s="831"/>
      <c r="D48" s="831"/>
      <c r="E48" s="831"/>
      <c r="F48" s="831"/>
      <c r="G48" s="831"/>
      <c r="H48" s="831"/>
      <c r="I48" s="831">
        <v>37795</v>
      </c>
      <c r="J48" s="831">
        <v>35596</v>
      </c>
      <c r="K48" s="831">
        <v>34536</v>
      </c>
      <c r="L48" s="831">
        <v>31335</v>
      </c>
      <c r="M48" s="831">
        <v>41421</v>
      </c>
      <c r="N48" s="831">
        <v>40286</v>
      </c>
      <c r="O48" s="831">
        <v>66972</v>
      </c>
      <c r="P48" s="831">
        <v>58766</v>
      </c>
      <c r="Q48" s="831">
        <v>48068</v>
      </c>
      <c r="R48" s="831">
        <v>43963</v>
      </c>
      <c r="S48" s="831">
        <v>50286</v>
      </c>
      <c r="T48" s="831">
        <v>51400</v>
      </c>
      <c r="U48" s="831">
        <v>54901</v>
      </c>
      <c r="V48" s="831">
        <v>53015</v>
      </c>
      <c r="W48" s="831">
        <v>48691</v>
      </c>
      <c r="X48" s="831">
        <v>48166</v>
      </c>
      <c r="Y48" s="831">
        <v>50333</v>
      </c>
      <c r="Z48" s="831">
        <v>49191</v>
      </c>
      <c r="AA48" s="1104">
        <v>55037</v>
      </c>
      <c r="AB48" s="780">
        <v>53027</v>
      </c>
      <c r="AC48" s="1103">
        <v>59210</v>
      </c>
      <c r="AD48" s="1103">
        <v>68760</v>
      </c>
    </row>
    <row r="49" spans="1:30" ht="15.6">
      <c r="A49" s="1095"/>
      <c r="B49" s="1096" t="s">
        <v>62</v>
      </c>
      <c r="C49" s="539">
        <v>0</v>
      </c>
      <c r="D49" s="539">
        <v>0</v>
      </c>
      <c r="E49" s="539">
        <v>0</v>
      </c>
      <c r="F49" s="539">
        <v>0</v>
      </c>
      <c r="G49" s="539">
        <v>0</v>
      </c>
      <c r="H49" s="539">
        <v>0</v>
      </c>
      <c r="I49" s="539">
        <v>54767</v>
      </c>
      <c r="J49" s="539">
        <v>61551</v>
      </c>
      <c r="K49" s="539">
        <v>55348</v>
      </c>
      <c r="L49" s="539">
        <v>51344</v>
      </c>
      <c r="M49" s="539">
        <v>63535</v>
      </c>
      <c r="N49" s="539">
        <v>61947</v>
      </c>
      <c r="O49" s="539">
        <v>94973</v>
      </c>
      <c r="P49" s="539">
        <v>143630</v>
      </c>
      <c r="Q49" s="539">
        <v>77077</v>
      </c>
      <c r="R49" s="539">
        <v>75277</v>
      </c>
      <c r="S49" s="539">
        <v>87161</v>
      </c>
      <c r="T49" s="539">
        <v>91833</v>
      </c>
      <c r="U49" s="539">
        <v>97213</v>
      </c>
      <c r="V49" s="539">
        <v>96034</v>
      </c>
      <c r="W49" s="539">
        <v>94298</v>
      </c>
      <c r="X49" s="539">
        <v>96025</v>
      </c>
      <c r="Y49" s="539">
        <v>99065</v>
      </c>
      <c r="Z49" s="539">
        <v>104172</v>
      </c>
      <c r="AA49" s="780">
        <v>113199</v>
      </c>
      <c r="AB49" s="125">
        <f>SUM(AB43:AB48)</f>
        <v>110238</v>
      </c>
      <c r="AC49" s="1105">
        <f>SUM(AC43:AC48)</f>
        <v>112236</v>
      </c>
      <c r="AD49" s="1105">
        <f>SUM(AD43:AD48)</f>
        <v>125512</v>
      </c>
    </row>
    <row r="50" spans="1:30" ht="15.6">
      <c r="A50" s="1090" t="s">
        <v>62</v>
      </c>
      <c r="B50" s="1091" t="s">
        <v>66</v>
      </c>
      <c r="C50" s="803"/>
      <c r="D50" s="803"/>
      <c r="E50" s="803"/>
      <c r="F50" s="803"/>
      <c r="G50" s="803"/>
      <c r="H50" s="803"/>
      <c r="I50" s="803">
        <v>102691</v>
      </c>
      <c r="J50" s="803">
        <v>123382</v>
      </c>
      <c r="K50" s="803">
        <v>120352</v>
      </c>
      <c r="L50" s="803">
        <v>118251</v>
      </c>
      <c r="M50" s="803">
        <v>125138</v>
      </c>
      <c r="N50" s="803">
        <v>121492</v>
      </c>
      <c r="O50" s="803">
        <v>115614</v>
      </c>
      <c r="P50" s="803">
        <v>122424</v>
      </c>
      <c r="Q50" s="803">
        <v>104210</v>
      </c>
      <c r="R50" s="803">
        <v>115657</v>
      </c>
      <c r="S50" s="803">
        <v>119775</v>
      </c>
      <c r="T50" s="803">
        <v>124358</v>
      </c>
      <c r="U50" s="803">
        <v>121346</v>
      </c>
      <c r="V50" s="803">
        <v>125716</v>
      </c>
      <c r="W50" s="803">
        <v>156540</v>
      </c>
      <c r="X50" s="803">
        <v>163279</v>
      </c>
      <c r="Y50" s="803">
        <v>187808</v>
      </c>
      <c r="Z50" s="803">
        <v>201277</v>
      </c>
      <c r="AA50" s="1100">
        <v>199027</v>
      </c>
      <c r="AB50" s="551">
        <v>182052</v>
      </c>
      <c r="AC50" s="1103">
        <f>SUM(AC8+AC15+AC22+AC29+AC36+AC43)</f>
        <v>154154</v>
      </c>
      <c r="AD50" s="1103">
        <v>172549</v>
      </c>
    </row>
    <row r="51" spans="1:30" ht="15.6">
      <c r="A51" s="1092"/>
      <c r="B51" s="1093" t="s">
        <v>55</v>
      </c>
      <c r="C51" s="792"/>
      <c r="D51" s="792"/>
      <c r="E51" s="792"/>
      <c r="F51" s="792"/>
      <c r="G51" s="792"/>
      <c r="H51" s="792"/>
      <c r="I51" s="792">
        <v>119192</v>
      </c>
      <c r="J51" s="792">
        <v>122522</v>
      </c>
      <c r="K51" s="792">
        <v>124192</v>
      </c>
      <c r="L51" s="792">
        <v>122944</v>
      </c>
      <c r="M51" s="792">
        <v>141399</v>
      </c>
      <c r="N51" s="792">
        <v>164954</v>
      </c>
      <c r="O51" s="792">
        <v>176950</v>
      </c>
      <c r="P51" s="792">
        <v>193349</v>
      </c>
      <c r="Q51" s="792">
        <v>222693</v>
      </c>
      <c r="R51" s="792">
        <v>238323</v>
      </c>
      <c r="S51" s="792">
        <v>274791</v>
      </c>
      <c r="T51" s="792">
        <v>277079</v>
      </c>
      <c r="U51" s="792">
        <v>227142</v>
      </c>
      <c r="V51" s="792">
        <v>189358</v>
      </c>
      <c r="W51" s="792">
        <v>203087</v>
      </c>
      <c r="X51" s="792">
        <v>199577</v>
      </c>
      <c r="Y51" s="792">
        <v>194525</v>
      </c>
      <c r="Z51" s="792">
        <v>179910</v>
      </c>
      <c r="AA51" s="1102">
        <v>179383</v>
      </c>
      <c r="AB51" s="548">
        <v>184372</v>
      </c>
      <c r="AC51" s="1103">
        <f t="shared" ref="AC51:AC55" si="1">SUM(AC9+AC16+AC23+AC30+AC37+AC44)</f>
        <v>201420</v>
      </c>
      <c r="AD51" s="1103">
        <v>209368</v>
      </c>
    </row>
    <row r="52" spans="1:30" ht="15.6">
      <c r="A52" s="1092"/>
      <c r="B52" s="1093" t="s">
        <v>56</v>
      </c>
      <c r="C52" s="792"/>
      <c r="D52" s="792"/>
      <c r="E52" s="792"/>
      <c r="F52" s="792"/>
      <c r="G52" s="792"/>
      <c r="H52" s="792"/>
      <c r="I52" s="792">
        <v>45046</v>
      </c>
      <c r="J52" s="792">
        <v>44178</v>
      </c>
      <c r="K52" s="792">
        <v>49068</v>
      </c>
      <c r="L52" s="792">
        <v>73512</v>
      </c>
      <c r="M52" s="792">
        <v>120790</v>
      </c>
      <c r="N52" s="792">
        <v>123705</v>
      </c>
      <c r="O52" s="792">
        <v>83523</v>
      </c>
      <c r="P52" s="792">
        <v>56732</v>
      </c>
      <c r="Q52" s="792">
        <v>68843</v>
      </c>
      <c r="R52" s="792">
        <v>94720</v>
      </c>
      <c r="S52" s="792">
        <v>113467</v>
      </c>
      <c r="T52" s="792">
        <v>127330</v>
      </c>
      <c r="U52" s="792">
        <v>129786</v>
      </c>
      <c r="V52" s="792">
        <v>101873</v>
      </c>
      <c r="W52" s="792">
        <v>108875</v>
      </c>
      <c r="X52" s="792">
        <v>120662</v>
      </c>
      <c r="Y52" s="792">
        <v>119012</v>
      </c>
      <c r="Z52" s="792">
        <v>125661</v>
      </c>
      <c r="AA52" s="1102">
        <v>134766</v>
      </c>
      <c r="AB52" s="548">
        <v>145882</v>
      </c>
      <c r="AC52" s="1103">
        <f t="shared" si="1"/>
        <v>135180</v>
      </c>
      <c r="AD52" s="1103">
        <v>134734</v>
      </c>
    </row>
    <row r="53" spans="1:30" ht="15.6">
      <c r="A53" s="1092"/>
      <c r="B53" s="1093" t="s">
        <v>57</v>
      </c>
      <c r="C53" s="792"/>
      <c r="D53" s="792"/>
      <c r="E53" s="792"/>
      <c r="F53" s="792"/>
      <c r="G53" s="792"/>
      <c r="H53" s="792"/>
      <c r="I53" s="792">
        <v>21257</v>
      </c>
      <c r="J53" s="792">
        <v>49356</v>
      </c>
      <c r="K53" s="792">
        <v>49360</v>
      </c>
      <c r="L53" s="792">
        <v>53305</v>
      </c>
      <c r="M53" s="792">
        <v>57786</v>
      </c>
      <c r="N53" s="792">
        <v>67948</v>
      </c>
      <c r="O53" s="792">
        <v>93706</v>
      </c>
      <c r="P53" s="792">
        <v>128489</v>
      </c>
      <c r="Q53" s="792">
        <v>135110</v>
      </c>
      <c r="R53" s="792">
        <v>172113</v>
      </c>
      <c r="S53" s="792">
        <v>217105</v>
      </c>
      <c r="T53" s="792">
        <v>207688</v>
      </c>
      <c r="U53" s="792">
        <v>233228</v>
      </c>
      <c r="V53" s="792">
        <v>359316</v>
      </c>
      <c r="W53" s="792">
        <v>404208</v>
      </c>
      <c r="X53" s="792">
        <v>420144</v>
      </c>
      <c r="Y53" s="792">
        <v>432147</v>
      </c>
      <c r="Z53" s="792">
        <v>452804</v>
      </c>
      <c r="AA53" s="1102">
        <v>530127</v>
      </c>
      <c r="AB53" s="548">
        <v>695946</v>
      </c>
      <c r="AC53" s="1103">
        <f t="shared" si="1"/>
        <v>798347</v>
      </c>
      <c r="AD53" s="1103">
        <v>920797</v>
      </c>
    </row>
    <row r="54" spans="1:30" ht="15.6">
      <c r="A54" s="1092"/>
      <c r="B54" s="1093" t="s">
        <v>58</v>
      </c>
      <c r="C54" s="792"/>
      <c r="D54" s="792"/>
      <c r="E54" s="792"/>
      <c r="F54" s="792"/>
      <c r="G54" s="792"/>
      <c r="H54" s="792"/>
      <c r="I54" s="792">
        <v>168928</v>
      </c>
      <c r="J54" s="792">
        <v>170443</v>
      </c>
      <c r="K54" s="792">
        <v>165607</v>
      </c>
      <c r="L54" s="792">
        <v>144767</v>
      </c>
      <c r="M54" s="792">
        <v>175439</v>
      </c>
      <c r="N54" s="792">
        <v>158838</v>
      </c>
      <c r="O54" s="792">
        <v>157772</v>
      </c>
      <c r="P54" s="792">
        <v>167349</v>
      </c>
      <c r="Q54" s="792">
        <v>219614</v>
      </c>
      <c r="R54" s="792">
        <v>224505</v>
      </c>
      <c r="S54" s="792">
        <v>253155</v>
      </c>
      <c r="T54" s="792">
        <v>277835</v>
      </c>
      <c r="U54" s="792">
        <v>300678</v>
      </c>
      <c r="V54" s="792">
        <v>298407</v>
      </c>
      <c r="W54" s="792">
        <v>303049</v>
      </c>
      <c r="X54" s="792">
        <v>318829</v>
      </c>
      <c r="Y54" s="792">
        <v>307759</v>
      </c>
      <c r="Z54" s="792">
        <v>354430</v>
      </c>
      <c r="AA54" s="1102">
        <v>351993</v>
      </c>
      <c r="AB54" s="548">
        <v>327307</v>
      </c>
      <c r="AC54" s="1103">
        <f t="shared" si="1"/>
        <v>323410</v>
      </c>
      <c r="AD54" s="1103">
        <v>315245</v>
      </c>
    </row>
    <row r="55" spans="1:30" ht="15.6">
      <c r="A55" s="1092"/>
      <c r="B55" s="1094" t="s">
        <v>59</v>
      </c>
      <c r="C55" s="831"/>
      <c r="D55" s="831"/>
      <c r="E55" s="831"/>
      <c r="F55" s="831"/>
      <c r="G55" s="831"/>
      <c r="H55" s="831"/>
      <c r="I55" s="831">
        <v>85973</v>
      </c>
      <c r="J55" s="831">
        <v>86868</v>
      </c>
      <c r="K55" s="831">
        <v>84268</v>
      </c>
      <c r="L55" s="831">
        <v>80288</v>
      </c>
      <c r="M55" s="831">
        <v>96269</v>
      </c>
      <c r="N55" s="831">
        <v>96908</v>
      </c>
      <c r="O55" s="831">
        <v>128833</v>
      </c>
      <c r="P55" s="831">
        <v>119383</v>
      </c>
      <c r="Q55" s="831">
        <v>121518</v>
      </c>
      <c r="R55" s="831">
        <v>137503</v>
      </c>
      <c r="S55" s="831">
        <v>146465</v>
      </c>
      <c r="T55" s="831">
        <v>154571</v>
      </c>
      <c r="U55" s="831">
        <v>155016</v>
      </c>
      <c r="V55" s="831">
        <v>155568</v>
      </c>
      <c r="W55" s="831">
        <v>166860</v>
      </c>
      <c r="X55" s="831">
        <v>164209</v>
      </c>
      <c r="Y55" s="831">
        <v>179879</v>
      </c>
      <c r="Z55" s="831">
        <v>183530</v>
      </c>
      <c r="AA55" s="1104">
        <v>198941</v>
      </c>
      <c r="AB55" s="780">
        <v>211924</v>
      </c>
      <c r="AC55" s="1103">
        <f t="shared" si="1"/>
        <v>207747</v>
      </c>
      <c r="AD55" s="1103">
        <v>251214</v>
      </c>
    </row>
    <row r="56" spans="1:30" ht="15.6">
      <c r="A56" s="1095"/>
      <c r="B56" s="1096" t="s">
        <v>62</v>
      </c>
      <c r="C56" s="539">
        <v>0</v>
      </c>
      <c r="D56" s="539">
        <v>0</v>
      </c>
      <c r="E56" s="539">
        <v>0</v>
      </c>
      <c r="F56" s="539">
        <v>0</v>
      </c>
      <c r="G56" s="539">
        <v>0</v>
      </c>
      <c r="H56" s="539">
        <v>0</v>
      </c>
      <c r="I56" s="539">
        <v>543087</v>
      </c>
      <c r="J56" s="539">
        <v>596749</v>
      </c>
      <c r="K56" s="539">
        <v>592847</v>
      </c>
      <c r="L56" s="539">
        <v>593067</v>
      </c>
      <c r="M56" s="539">
        <v>716821</v>
      </c>
      <c r="N56" s="539">
        <v>733845</v>
      </c>
      <c r="O56" s="539">
        <v>756398</v>
      </c>
      <c r="P56" s="539">
        <v>787726</v>
      </c>
      <c r="Q56" s="539">
        <v>871988</v>
      </c>
      <c r="R56" s="539">
        <v>982821</v>
      </c>
      <c r="S56" s="539">
        <v>1124758</v>
      </c>
      <c r="T56" s="539">
        <v>1168861</v>
      </c>
      <c r="U56" s="539">
        <v>1167196</v>
      </c>
      <c r="V56" s="539">
        <v>1230238</v>
      </c>
      <c r="W56" s="539">
        <v>1342619</v>
      </c>
      <c r="X56" s="539">
        <v>1386700</v>
      </c>
      <c r="Y56" s="539">
        <v>1421130</v>
      </c>
      <c r="Z56" s="539">
        <v>1497612</v>
      </c>
      <c r="AA56" s="780">
        <v>1594237</v>
      </c>
      <c r="AB56" s="125">
        <f>SUM(AB50:AB55)</f>
        <v>1747483</v>
      </c>
      <c r="AC56" s="1105">
        <f>SUM(AC50:AC55)</f>
        <v>1820258</v>
      </c>
      <c r="AD56" s="1105">
        <f>SUM(AD50:AD55)</f>
        <v>2003907</v>
      </c>
    </row>
    <row r="57" spans="1:30" ht="15.6">
      <c r="A57" s="868"/>
      <c r="AA57" s="123"/>
      <c r="AB57" s="1106"/>
    </row>
    <row r="58" spans="1:30" ht="15.6">
      <c r="A58" s="868"/>
      <c r="AA58" s="123"/>
      <c r="AB58" s="1106"/>
    </row>
    <row r="59" spans="1:30" ht="15.6">
      <c r="A59" s="1097" t="s">
        <v>61</v>
      </c>
      <c r="B59" s="530"/>
      <c r="C59" s="530">
        <v>1996</v>
      </c>
      <c r="D59" s="530">
        <v>1997</v>
      </c>
      <c r="E59" s="530">
        <v>1998</v>
      </c>
      <c r="F59" s="530">
        <v>1999</v>
      </c>
      <c r="G59" s="530">
        <v>2000</v>
      </c>
      <c r="H59" s="530">
        <v>2001</v>
      </c>
      <c r="I59" s="530">
        <v>2002</v>
      </c>
      <c r="J59" s="530">
        <v>2003</v>
      </c>
      <c r="K59" s="530">
        <v>2004</v>
      </c>
      <c r="L59" s="530">
        <v>2005</v>
      </c>
      <c r="M59" s="530">
        <v>2006</v>
      </c>
      <c r="N59" s="530">
        <v>2007</v>
      </c>
      <c r="O59" s="530">
        <v>2008</v>
      </c>
      <c r="P59" s="530">
        <v>2009</v>
      </c>
      <c r="Q59" s="530">
        <v>2010</v>
      </c>
      <c r="R59" s="530">
        <v>2011</v>
      </c>
      <c r="S59" s="530">
        <v>2012</v>
      </c>
      <c r="T59" s="530">
        <v>2013</v>
      </c>
      <c r="U59" s="530">
        <v>2014</v>
      </c>
      <c r="V59" s="530">
        <v>2015</v>
      </c>
      <c r="W59" s="530">
        <v>2016</v>
      </c>
      <c r="X59" s="530">
        <v>2017</v>
      </c>
      <c r="Y59" s="530">
        <v>2018</v>
      </c>
      <c r="Z59" s="530">
        <v>2019</v>
      </c>
      <c r="AA59" s="547">
        <v>2020</v>
      </c>
      <c r="AB59" s="552">
        <f t="shared" ref="AB59" si="2">AA59+1</f>
        <v>2021</v>
      </c>
      <c r="AC59" s="547">
        <v>2022</v>
      </c>
      <c r="AD59" s="547">
        <v>2023</v>
      </c>
    </row>
    <row r="60" spans="1:30" ht="15.6">
      <c r="A60" s="1098" t="s">
        <v>66</v>
      </c>
      <c r="B60" s="802"/>
      <c r="C60" s="803">
        <v>0</v>
      </c>
      <c r="D60" s="803">
        <v>0</v>
      </c>
      <c r="E60" s="803">
        <v>0</v>
      </c>
      <c r="F60" s="803">
        <v>0</v>
      </c>
      <c r="G60" s="803">
        <v>0</v>
      </c>
      <c r="H60" s="803">
        <v>0</v>
      </c>
      <c r="I60" s="803">
        <v>130863</v>
      </c>
      <c r="J60" s="803">
        <v>152288</v>
      </c>
      <c r="K60" s="803">
        <v>142022</v>
      </c>
      <c r="L60" s="803">
        <v>138686</v>
      </c>
      <c r="M60" s="803">
        <v>151432</v>
      </c>
      <c r="N60" s="803">
        <v>152535</v>
      </c>
      <c r="O60" s="803">
        <v>146583</v>
      </c>
      <c r="P60" s="803">
        <v>152043</v>
      </c>
      <c r="Q60" s="803">
        <v>163979</v>
      </c>
      <c r="R60" s="803">
        <v>186630</v>
      </c>
      <c r="S60" s="803">
        <v>203923</v>
      </c>
      <c r="T60" s="803">
        <v>218006</v>
      </c>
      <c r="U60" s="803">
        <v>219231</v>
      </c>
      <c r="V60" s="803">
        <v>224805</v>
      </c>
      <c r="W60" s="803">
        <v>248238</v>
      </c>
      <c r="X60" s="803">
        <v>246110</v>
      </c>
      <c r="Y60" s="803">
        <v>253530</v>
      </c>
      <c r="Z60" s="803">
        <v>267740</v>
      </c>
      <c r="AA60" s="1100">
        <v>268315</v>
      </c>
      <c r="AB60" s="551">
        <v>269247</v>
      </c>
      <c r="AC60" s="1101">
        <v>247548</v>
      </c>
      <c r="AD60" s="1101">
        <v>254497</v>
      </c>
    </row>
    <row r="61" spans="1:30" ht="15.6">
      <c r="A61" s="1099" t="s">
        <v>55</v>
      </c>
      <c r="B61" s="791"/>
      <c r="C61" s="792">
        <v>0</v>
      </c>
      <c r="D61" s="792">
        <v>0</v>
      </c>
      <c r="E61" s="792">
        <v>0</v>
      </c>
      <c r="F61" s="792">
        <v>0</v>
      </c>
      <c r="G61" s="792">
        <v>0</v>
      </c>
      <c r="H61" s="792">
        <v>0</v>
      </c>
      <c r="I61" s="792">
        <v>174411</v>
      </c>
      <c r="J61" s="792">
        <v>182776</v>
      </c>
      <c r="K61" s="792">
        <v>187697</v>
      </c>
      <c r="L61" s="792">
        <v>185009</v>
      </c>
      <c r="M61" s="792">
        <v>217563</v>
      </c>
      <c r="N61" s="792">
        <v>232620</v>
      </c>
      <c r="O61" s="792">
        <v>239306</v>
      </c>
      <c r="P61" s="792">
        <v>225906</v>
      </c>
      <c r="Q61" s="792">
        <v>284996</v>
      </c>
      <c r="R61" s="792">
        <v>304584</v>
      </c>
      <c r="S61" s="792">
        <v>343012</v>
      </c>
      <c r="T61" s="792">
        <v>339676</v>
      </c>
      <c r="U61" s="792">
        <v>296359</v>
      </c>
      <c r="V61" s="792">
        <v>269951</v>
      </c>
      <c r="W61" s="792">
        <v>287770</v>
      </c>
      <c r="X61" s="792">
        <v>283849</v>
      </c>
      <c r="Y61" s="792">
        <v>282050</v>
      </c>
      <c r="Z61" s="792">
        <v>282535</v>
      </c>
      <c r="AA61" s="1102">
        <v>277981</v>
      </c>
      <c r="AB61" s="548">
        <v>277144</v>
      </c>
      <c r="AC61" s="1103">
        <v>280530</v>
      </c>
      <c r="AD61" s="1103">
        <v>284378</v>
      </c>
    </row>
    <row r="62" spans="1:30" ht="15.6">
      <c r="A62" s="1099" t="s">
        <v>56</v>
      </c>
      <c r="B62" s="791"/>
      <c r="C62" s="792">
        <v>0</v>
      </c>
      <c r="D62" s="792">
        <v>0</v>
      </c>
      <c r="E62" s="792">
        <v>0</v>
      </c>
      <c r="F62" s="792">
        <v>0</v>
      </c>
      <c r="G62" s="792">
        <v>0</v>
      </c>
      <c r="H62" s="792">
        <v>0</v>
      </c>
      <c r="I62" s="792">
        <v>36929</v>
      </c>
      <c r="J62" s="792">
        <v>39564</v>
      </c>
      <c r="K62" s="792">
        <v>45354</v>
      </c>
      <c r="L62" s="792">
        <v>63763</v>
      </c>
      <c r="M62" s="792">
        <v>102645</v>
      </c>
      <c r="N62" s="792">
        <v>106623</v>
      </c>
      <c r="O62" s="792">
        <v>79567</v>
      </c>
      <c r="P62" s="792">
        <v>57124</v>
      </c>
      <c r="Q62" s="792">
        <v>75525</v>
      </c>
      <c r="R62" s="792">
        <v>97711</v>
      </c>
      <c r="S62" s="792">
        <v>112058</v>
      </c>
      <c r="T62" s="792">
        <v>123771</v>
      </c>
      <c r="U62" s="792">
        <v>127263</v>
      </c>
      <c r="V62" s="792">
        <v>109007</v>
      </c>
      <c r="W62" s="792">
        <v>120334</v>
      </c>
      <c r="X62" s="792">
        <v>131442</v>
      </c>
      <c r="Y62" s="792">
        <v>131711</v>
      </c>
      <c r="Z62" s="792">
        <v>141393</v>
      </c>
      <c r="AA62" s="1102">
        <v>150963</v>
      </c>
      <c r="AB62" s="548">
        <v>158207</v>
      </c>
      <c r="AC62" s="1103">
        <v>147493</v>
      </c>
      <c r="AD62" s="1103">
        <v>154661</v>
      </c>
    </row>
    <row r="63" spans="1:30" ht="15.6">
      <c r="A63" s="1099" t="s">
        <v>57</v>
      </c>
      <c r="B63" s="791"/>
      <c r="C63" s="792">
        <v>0</v>
      </c>
      <c r="D63" s="792">
        <v>0</v>
      </c>
      <c r="E63" s="792">
        <v>0</v>
      </c>
      <c r="F63" s="792">
        <v>0</v>
      </c>
      <c r="G63" s="792">
        <v>0</v>
      </c>
      <c r="H63" s="792">
        <v>0</v>
      </c>
      <c r="I63" s="792">
        <v>6300</v>
      </c>
      <c r="J63" s="792">
        <v>12003</v>
      </c>
      <c r="K63" s="792">
        <v>18942</v>
      </c>
      <c r="L63" s="792">
        <v>21449</v>
      </c>
      <c r="M63" s="792">
        <v>26292</v>
      </c>
      <c r="N63" s="792">
        <v>33411</v>
      </c>
      <c r="O63" s="792">
        <v>48815</v>
      </c>
      <c r="P63" s="792">
        <v>68392</v>
      </c>
      <c r="Q63" s="792">
        <v>84538</v>
      </c>
      <c r="R63" s="792">
        <v>118116</v>
      </c>
      <c r="S63" s="792">
        <v>152022</v>
      </c>
      <c r="T63" s="792">
        <v>154324</v>
      </c>
      <c r="U63" s="792">
        <v>176004</v>
      </c>
      <c r="V63" s="792">
        <v>278233</v>
      </c>
      <c r="W63" s="792">
        <v>321872</v>
      </c>
      <c r="X63" s="792">
        <v>352004</v>
      </c>
      <c r="Y63" s="792">
        <v>376508</v>
      </c>
      <c r="Z63" s="792">
        <v>399005</v>
      </c>
      <c r="AA63" s="1102">
        <v>483948</v>
      </c>
      <c r="AB63" s="548">
        <v>638661</v>
      </c>
      <c r="AC63" s="1103">
        <v>760175</v>
      </c>
      <c r="AD63" s="1103">
        <v>889965</v>
      </c>
    </row>
    <row r="64" spans="1:30" ht="15.6">
      <c r="A64" s="1099" t="s">
        <v>58</v>
      </c>
      <c r="B64" s="791"/>
      <c r="C64" s="792">
        <v>0</v>
      </c>
      <c r="D64" s="792">
        <v>0</v>
      </c>
      <c r="E64" s="792">
        <v>0</v>
      </c>
      <c r="F64" s="792">
        <v>0</v>
      </c>
      <c r="G64" s="792">
        <v>0</v>
      </c>
      <c r="H64" s="792">
        <v>0</v>
      </c>
      <c r="I64" s="792">
        <v>139817</v>
      </c>
      <c r="J64" s="792">
        <v>148567</v>
      </c>
      <c r="K64" s="792">
        <v>143484</v>
      </c>
      <c r="L64" s="792">
        <v>132816</v>
      </c>
      <c r="M64" s="792">
        <v>155354</v>
      </c>
      <c r="N64" s="792">
        <v>146709</v>
      </c>
      <c r="O64" s="792">
        <v>147154</v>
      </c>
      <c r="P64" s="792">
        <v>140631</v>
      </c>
      <c r="Q64" s="792">
        <v>185873</v>
      </c>
      <c r="R64" s="792">
        <v>200503</v>
      </c>
      <c r="S64" s="792">
        <v>226582</v>
      </c>
      <c r="T64" s="792">
        <v>241251</v>
      </c>
      <c r="U64" s="792">
        <v>251126</v>
      </c>
      <c r="V64" s="792">
        <v>252208</v>
      </c>
      <c r="W64" s="792">
        <v>270107</v>
      </c>
      <c r="X64" s="792">
        <v>277270</v>
      </c>
      <c r="Y64" s="792">
        <v>278266</v>
      </c>
      <c r="Z64" s="792">
        <v>302767</v>
      </c>
      <c r="AA64" s="1102">
        <v>299831</v>
      </c>
      <c r="AB64" s="548">
        <v>293986</v>
      </c>
      <c r="AC64" s="1103">
        <v>272276</v>
      </c>
      <c r="AD64" s="1103">
        <v>294894</v>
      </c>
    </row>
    <row r="65" spans="1:30" ht="15.6">
      <c r="A65" s="1107" t="s">
        <v>59</v>
      </c>
      <c r="B65" s="830"/>
      <c r="C65" s="831">
        <v>0</v>
      </c>
      <c r="D65" s="831">
        <v>0</v>
      </c>
      <c r="E65" s="831">
        <v>0</v>
      </c>
      <c r="F65" s="831">
        <v>0</v>
      </c>
      <c r="G65" s="831">
        <v>0</v>
      </c>
      <c r="H65" s="831">
        <v>0</v>
      </c>
      <c r="I65" s="831">
        <v>54767</v>
      </c>
      <c r="J65" s="831">
        <v>61551</v>
      </c>
      <c r="K65" s="831">
        <v>55348</v>
      </c>
      <c r="L65" s="831">
        <v>51344</v>
      </c>
      <c r="M65" s="831">
        <v>63535</v>
      </c>
      <c r="N65" s="831">
        <v>61947</v>
      </c>
      <c r="O65" s="831">
        <v>94973</v>
      </c>
      <c r="P65" s="831">
        <v>143630</v>
      </c>
      <c r="Q65" s="831">
        <v>77077</v>
      </c>
      <c r="R65" s="831">
        <v>75277</v>
      </c>
      <c r="S65" s="831">
        <v>87161</v>
      </c>
      <c r="T65" s="831">
        <v>91833</v>
      </c>
      <c r="U65" s="831">
        <v>97213</v>
      </c>
      <c r="V65" s="831">
        <v>96034</v>
      </c>
      <c r="W65" s="831">
        <v>94298</v>
      </c>
      <c r="X65" s="831">
        <v>96025</v>
      </c>
      <c r="Y65" s="831">
        <v>99065</v>
      </c>
      <c r="Z65" s="831">
        <v>104172</v>
      </c>
      <c r="AA65" s="1104">
        <v>113199</v>
      </c>
      <c r="AB65" s="780">
        <v>110238</v>
      </c>
      <c r="AC65" s="1114">
        <v>112236</v>
      </c>
      <c r="AD65" s="1114">
        <v>125512</v>
      </c>
    </row>
    <row r="66" spans="1:30" ht="15.6">
      <c r="A66" s="1108" t="s">
        <v>62</v>
      </c>
      <c r="B66" s="538"/>
      <c r="C66" s="539">
        <v>0</v>
      </c>
      <c r="D66" s="539">
        <v>0</v>
      </c>
      <c r="E66" s="539">
        <v>0</v>
      </c>
      <c r="F66" s="539">
        <v>0</v>
      </c>
      <c r="G66" s="539">
        <v>0</v>
      </c>
      <c r="H66" s="539">
        <v>0</v>
      </c>
      <c r="I66" s="539">
        <v>543087</v>
      </c>
      <c r="J66" s="539">
        <v>596749</v>
      </c>
      <c r="K66" s="539">
        <v>592847</v>
      </c>
      <c r="L66" s="539">
        <v>593067</v>
      </c>
      <c r="M66" s="539">
        <v>716821</v>
      </c>
      <c r="N66" s="539">
        <v>733845</v>
      </c>
      <c r="O66" s="539">
        <v>756398</v>
      </c>
      <c r="P66" s="539">
        <v>787726</v>
      </c>
      <c r="Q66" s="539">
        <v>871988</v>
      </c>
      <c r="R66" s="539">
        <v>982821</v>
      </c>
      <c r="S66" s="539">
        <v>1124758</v>
      </c>
      <c r="T66" s="539">
        <v>1168861</v>
      </c>
      <c r="U66" s="539">
        <v>1167196</v>
      </c>
      <c r="V66" s="539">
        <v>1230238</v>
      </c>
      <c r="W66" s="539">
        <v>1342619</v>
      </c>
      <c r="X66" s="539">
        <v>1386700</v>
      </c>
      <c r="Y66" s="539">
        <v>1421130</v>
      </c>
      <c r="Z66" s="539">
        <v>1497612</v>
      </c>
      <c r="AA66" s="780">
        <v>1594237</v>
      </c>
      <c r="AB66" s="780">
        <f>SUM(AB60:AB65)</f>
        <v>1747483</v>
      </c>
      <c r="AC66" s="780">
        <f>SUM(AC60:AC65)</f>
        <v>1820258</v>
      </c>
      <c r="AD66" s="780">
        <f>SUM(AD60:AD65)</f>
        <v>2003907</v>
      </c>
    </row>
    <row r="67" spans="1:30" ht="15.6">
      <c r="A67" s="868"/>
      <c r="AA67" s="123"/>
      <c r="AB67" s="1106"/>
    </row>
    <row r="68" spans="1:30">
      <c r="AA68" s="123"/>
      <c r="AB68" s="1106"/>
    </row>
    <row r="69" spans="1:30" ht="15.6">
      <c r="A69" s="1097" t="s">
        <v>289</v>
      </c>
      <c r="B69" s="530"/>
      <c r="C69" s="530">
        <v>1996</v>
      </c>
      <c r="D69" s="530">
        <v>1997</v>
      </c>
      <c r="E69" s="530">
        <v>1998</v>
      </c>
      <c r="F69" s="530">
        <v>1999</v>
      </c>
      <c r="G69" s="530">
        <v>2000</v>
      </c>
      <c r="H69" s="530">
        <v>2001</v>
      </c>
      <c r="I69" s="530">
        <v>2002</v>
      </c>
      <c r="J69" s="530">
        <v>2003</v>
      </c>
      <c r="K69" s="530">
        <v>2004</v>
      </c>
      <c r="L69" s="530">
        <v>2005</v>
      </c>
      <c r="M69" s="530">
        <v>2006</v>
      </c>
      <c r="N69" s="530">
        <v>2007</v>
      </c>
      <c r="O69" s="530">
        <v>2008</v>
      </c>
      <c r="P69" s="530">
        <v>2009</v>
      </c>
      <c r="Q69" s="530">
        <v>2010</v>
      </c>
      <c r="R69" s="530">
        <v>2011</v>
      </c>
      <c r="S69" s="530">
        <v>2012</v>
      </c>
      <c r="T69" s="530">
        <v>2013</v>
      </c>
      <c r="U69" s="530">
        <v>2014</v>
      </c>
      <c r="V69" s="530">
        <v>2015</v>
      </c>
      <c r="W69" s="530">
        <v>2016</v>
      </c>
      <c r="X69" s="530">
        <v>2017</v>
      </c>
      <c r="Y69" s="530">
        <v>2018</v>
      </c>
      <c r="Z69" s="530">
        <v>2019</v>
      </c>
      <c r="AA69" s="547">
        <v>2020</v>
      </c>
      <c r="AB69" s="552">
        <f t="shared" ref="AB69" si="3">AA69+1</f>
        <v>2021</v>
      </c>
      <c r="AC69" s="552">
        <v>2022</v>
      </c>
      <c r="AD69" s="552">
        <v>2023</v>
      </c>
    </row>
    <row r="70" spans="1:30" ht="15.6">
      <c r="A70" s="1098" t="s">
        <v>66</v>
      </c>
      <c r="B70" s="802"/>
      <c r="C70" s="803">
        <v>0</v>
      </c>
      <c r="D70" s="803">
        <v>0</v>
      </c>
      <c r="E70" s="803">
        <v>0</v>
      </c>
      <c r="F70" s="803">
        <v>0</v>
      </c>
      <c r="G70" s="803">
        <v>0</v>
      </c>
      <c r="H70" s="803">
        <v>0</v>
      </c>
      <c r="I70" s="803">
        <v>102691</v>
      </c>
      <c r="J70" s="803">
        <v>123382</v>
      </c>
      <c r="K70" s="803">
        <v>120352</v>
      </c>
      <c r="L70" s="803">
        <v>118251</v>
      </c>
      <c r="M70" s="803">
        <v>125138</v>
      </c>
      <c r="N70" s="803">
        <v>121492</v>
      </c>
      <c r="O70" s="803">
        <v>115614</v>
      </c>
      <c r="P70" s="803">
        <v>122424</v>
      </c>
      <c r="Q70" s="803">
        <v>104210</v>
      </c>
      <c r="R70" s="803">
        <v>115657</v>
      </c>
      <c r="S70" s="803">
        <v>119775</v>
      </c>
      <c r="T70" s="803">
        <v>124358</v>
      </c>
      <c r="U70" s="803">
        <v>121346</v>
      </c>
      <c r="V70" s="803">
        <v>125716</v>
      </c>
      <c r="W70" s="803">
        <v>156540</v>
      </c>
      <c r="X70" s="803">
        <v>163279</v>
      </c>
      <c r="Y70" s="803">
        <v>187808</v>
      </c>
      <c r="Z70" s="803">
        <v>201277</v>
      </c>
      <c r="AA70" s="1100">
        <v>199027</v>
      </c>
      <c r="AB70" s="551">
        <v>182052</v>
      </c>
      <c r="AC70" s="1101">
        <v>154154</v>
      </c>
      <c r="AD70" s="1101">
        <v>172549</v>
      </c>
    </row>
    <row r="71" spans="1:30" ht="15.6">
      <c r="A71" s="1099" t="s">
        <v>55</v>
      </c>
      <c r="B71" s="791"/>
      <c r="C71" s="792">
        <v>0</v>
      </c>
      <c r="D71" s="792">
        <v>0</v>
      </c>
      <c r="E71" s="792">
        <v>0</v>
      </c>
      <c r="F71" s="792">
        <v>0</v>
      </c>
      <c r="G71" s="792">
        <v>0</v>
      </c>
      <c r="H71" s="792">
        <v>0</v>
      </c>
      <c r="I71" s="792">
        <v>119192</v>
      </c>
      <c r="J71" s="792">
        <v>122522</v>
      </c>
      <c r="K71" s="792">
        <v>124192</v>
      </c>
      <c r="L71" s="792">
        <v>122944</v>
      </c>
      <c r="M71" s="792">
        <v>141399</v>
      </c>
      <c r="N71" s="792">
        <v>164954</v>
      </c>
      <c r="O71" s="792">
        <v>176950</v>
      </c>
      <c r="P71" s="792">
        <v>193349</v>
      </c>
      <c r="Q71" s="792">
        <v>222693</v>
      </c>
      <c r="R71" s="792">
        <v>238323</v>
      </c>
      <c r="S71" s="792">
        <v>274791</v>
      </c>
      <c r="T71" s="792">
        <v>277079</v>
      </c>
      <c r="U71" s="792">
        <v>227142</v>
      </c>
      <c r="V71" s="792">
        <v>189358</v>
      </c>
      <c r="W71" s="792">
        <v>203087</v>
      </c>
      <c r="X71" s="792">
        <v>199577</v>
      </c>
      <c r="Y71" s="792">
        <v>194525</v>
      </c>
      <c r="Z71" s="792">
        <v>179910</v>
      </c>
      <c r="AA71" s="1102">
        <v>179383</v>
      </c>
      <c r="AB71" s="548">
        <v>184372</v>
      </c>
      <c r="AC71" s="1103">
        <v>201420</v>
      </c>
      <c r="AD71" s="1103">
        <v>209368</v>
      </c>
    </row>
    <row r="72" spans="1:30" ht="15.6">
      <c r="A72" s="1099" t="s">
        <v>56</v>
      </c>
      <c r="B72" s="791"/>
      <c r="C72" s="792">
        <v>0</v>
      </c>
      <c r="D72" s="792">
        <v>0</v>
      </c>
      <c r="E72" s="792">
        <v>0</v>
      </c>
      <c r="F72" s="792">
        <v>0</v>
      </c>
      <c r="G72" s="792">
        <v>0</v>
      </c>
      <c r="H72" s="792">
        <v>0</v>
      </c>
      <c r="I72" s="792">
        <v>45046</v>
      </c>
      <c r="J72" s="792">
        <v>44178</v>
      </c>
      <c r="K72" s="792">
        <v>49068</v>
      </c>
      <c r="L72" s="792">
        <v>73512</v>
      </c>
      <c r="M72" s="792">
        <v>120790</v>
      </c>
      <c r="N72" s="792">
        <v>123705</v>
      </c>
      <c r="O72" s="792">
        <v>83523</v>
      </c>
      <c r="P72" s="792">
        <v>56732</v>
      </c>
      <c r="Q72" s="792">
        <v>68843</v>
      </c>
      <c r="R72" s="792">
        <v>94720</v>
      </c>
      <c r="S72" s="792">
        <v>113467</v>
      </c>
      <c r="T72" s="792">
        <v>127330</v>
      </c>
      <c r="U72" s="792">
        <v>129786</v>
      </c>
      <c r="V72" s="792">
        <v>101873</v>
      </c>
      <c r="W72" s="792">
        <v>108875</v>
      </c>
      <c r="X72" s="792">
        <v>120662</v>
      </c>
      <c r="Y72" s="792">
        <v>119012</v>
      </c>
      <c r="Z72" s="792">
        <v>125661</v>
      </c>
      <c r="AA72" s="1102">
        <v>134766</v>
      </c>
      <c r="AB72" s="548">
        <v>145882</v>
      </c>
      <c r="AC72" s="1103">
        <v>135180</v>
      </c>
      <c r="AD72" s="1103">
        <v>134734</v>
      </c>
    </row>
    <row r="73" spans="1:30" ht="15.6">
      <c r="A73" s="1099" t="s">
        <v>57</v>
      </c>
      <c r="B73" s="791"/>
      <c r="C73" s="792">
        <v>0</v>
      </c>
      <c r="D73" s="792">
        <v>0</v>
      </c>
      <c r="E73" s="792">
        <v>0</v>
      </c>
      <c r="F73" s="792">
        <v>0</v>
      </c>
      <c r="G73" s="792">
        <v>0</v>
      </c>
      <c r="H73" s="792">
        <v>0</v>
      </c>
      <c r="I73" s="792">
        <v>21257</v>
      </c>
      <c r="J73" s="792">
        <v>49356</v>
      </c>
      <c r="K73" s="792">
        <v>49360</v>
      </c>
      <c r="L73" s="792">
        <v>53305</v>
      </c>
      <c r="M73" s="792">
        <v>57786</v>
      </c>
      <c r="N73" s="792">
        <v>67948</v>
      </c>
      <c r="O73" s="792">
        <v>93706</v>
      </c>
      <c r="P73" s="792">
        <v>128489</v>
      </c>
      <c r="Q73" s="792">
        <v>135110</v>
      </c>
      <c r="R73" s="792">
        <v>172113</v>
      </c>
      <c r="S73" s="792">
        <v>217105</v>
      </c>
      <c r="T73" s="792">
        <v>207688</v>
      </c>
      <c r="U73" s="792">
        <v>233228</v>
      </c>
      <c r="V73" s="792">
        <v>359316</v>
      </c>
      <c r="W73" s="792">
        <v>404208</v>
      </c>
      <c r="X73" s="792">
        <v>420144</v>
      </c>
      <c r="Y73" s="792">
        <v>432147</v>
      </c>
      <c r="Z73" s="792">
        <v>452804</v>
      </c>
      <c r="AA73" s="1102">
        <v>530127</v>
      </c>
      <c r="AB73" s="548">
        <v>695946</v>
      </c>
      <c r="AC73" s="1103">
        <v>798347</v>
      </c>
      <c r="AD73" s="1103">
        <v>920797</v>
      </c>
    </row>
    <row r="74" spans="1:30" ht="15.6">
      <c r="A74" s="1099" t="s">
        <v>58</v>
      </c>
      <c r="B74" s="791"/>
      <c r="C74" s="792">
        <v>0</v>
      </c>
      <c r="D74" s="792">
        <v>0</v>
      </c>
      <c r="E74" s="792">
        <v>0</v>
      </c>
      <c r="F74" s="792">
        <v>0</v>
      </c>
      <c r="G74" s="792">
        <v>0</v>
      </c>
      <c r="H74" s="792">
        <v>0</v>
      </c>
      <c r="I74" s="792">
        <v>168928</v>
      </c>
      <c r="J74" s="792">
        <v>170443</v>
      </c>
      <c r="K74" s="792">
        <v>165607</v>
      </c>
      <c r="L74" s="792">
        <v>144767</v>
      </c>
      <c r="M74" s="792">
        <v>175439</v>
      </c>
      <c r="N74" s="792">
        <v>158838</v>
      </c>
      <c r="O74" s="792">
        <v>157772</v>
      </c>
      <c r="P74" s="792">
        <v>167349</v>
      </c>
      <c r="Q74" s="792">
        <v>219614</v>
      </c>
      <c r="R74" s="792">
        <v>224505</v>
      </c>
      <c r="S74" s="792">
        <v>253155</v>
      </c>
      <c r="T74" s="792">
        <v>277835</v>
      </c>
      <c r="U74" s="792">
        <v>300678</v>
      </c>
      <c r="V74" s="792">
        <v>298407</v>
      </c>
      <c r="W74" s="792">
        <v>303049</v>
      </c>
      <c r="X74" s="792">
        <v>318829</v>
      </c>
      <c r="Y74" s="792">
        <v>307759</v>
      </c>
      <c r="Z74" s="792">
        <v>354430</v>
      </c>
      <c r="AA74" s="1102">
        <v>351993</v>
      </c>
      <c r="AB74" s="548">
        <v>327307</v>
      </c>
      <c r="AC74" s="1103">
        <v>323410</v>
      </c>
      <c r="AD74" s="1103">
        <v>315245</v>
      </c>
    </row>
    <row r="75" spans="1:30" ht="15.6">
      <c r="A75" s="1107" t="s">
        <v>59</v>
      </c>
      <c r="B75" s="830"/>
      <c r="C75" s="831">
        <v>0</v>
      </c>
      <c r="D75" s="831">
        <v>0</v>
      </c>
      <c r="E75" s="831">
        <v>0</v>
      </c>
      <c r="F75" s="831">
        <v>0</v>
      </c>
      <c r="G75" s="831">
        <v>0</v>
      </c>
      <c r="H75" s="831">
        <v>0</v>
      </c>
      <c r="I75" s="831">
        <v>85973</v>
      </c>
      <c r="J75" s="831">
        <v>86868</v>
      </c>
      <c r="K75" s="831">
        <v>84268</v>
      </c>
      <c r="L75" s="831">
        <v>80288</v>
      </c>
      <c r="M75" s="831">
        <v>96269</v>
      </c>
      <c r="N75" s="831">
        <v>96908</v>
      </c>
      <c r="O75" s="831">
        <v>128833</v>
      </c>
      <c r="P75" s="831">
        <v>119383</v>
      </c>
      <c r="Q75" s="831">
        <v>121518</v>
      </c>
      <c r="R75" s="831">
        <v>137503</v>
      </c>
      <c r="S75" s="831">
        <v>146465</v>
      </c>
      <c r="T75" s="831">
        <v>154571</v>
      </c>
      <c r="U75" s="831">
        <v>155016</v>
      </c>
      <c r="V75" s="831">
        <v>155568</v>
      </c>
      <c r="W75" s="831">
        <v>166860</v>
      </c>
      <c r="X75" s="831">
        <v>164209</v>
      </c>
      <c r="Y75" s="831">
        <v>179879</v>
      </c>
      <c r="Z75" s="831">
        <v>183530</v>
      </c>
      <c r="AA75" s="1104">
        <v>198941</v>
      </c>
      <c r="AB75" s="780">
        <v>211924</v>
      </c>
      <c r="AC75" s="1114">
        <v>207747</v>
      </c>
      <c r="AD75" s="1114">
        <v>251214</v>
      </c>
    </row>
    <row r="76" spans="1:30" ht="15.6">
      <c r="A76" s="1108" t="s">
        <v>62</v>
      </c>
      <c r="B76" s="538"/>
      <c r="C76" s="539">
        <v>0</v>
      </c>
      <c r="D76" s="539">
        <v>0</v>
      </c>
      <c r="E76" s="539">
        <v>0</v>
      </c>
      <c r="F76" s="539">
        <v>0</v>
      </c>
      <c r="G76" s="539">
        <v>0</v>
      </c>
      <c r="H76" s="539">
        <v>0</v>
      </c>
      <c r="I76" s="539">
        <v>543087</v>
      </c>
      <c r="J76" s="539">
        <v>596749</v>
      </c>
      <c r="K76" s="539">
        <v>592847</v>
      </c>
      <c r="L76" s="539">
        <v>593067</v>
      </c>
      <c r="M76" s="539">
        <v>716821</v>
      </c>
      <c r="N76" s="539">
        <v>733845</v>
      </c>
      <c r="O76" s="539">
        <v>756398</v>
      </c>
      <c r="P76" s="539">
        <v>787726</v>
      </c>
      <c r="Q76" s="539">
        <v>871988</v>
      </c>
      <c r="R76" s="539">
        <v>982821</v>
      </c>
      <c r="S76" s="539">
        <v>1124758</v>
      </c>
      <c r="T76" s="539">
        <v>1168861</v>
      </c>
      <c r="U76" s="539">
        <v>1167196</v>
      </c>
      <c r="V76" s="539">
        <v>1230238</v>
      </c>
      <c r="W76" s="539">
        <v>1342619</v>
      </c>
      <c r="X76" s="539">
        <v>1386700</v>
      </c>
      <c r="Y76" s="539">
        <v>1421130</v>
      </c>
      <c r="Z76" s="539">
        <v>1497612</v>
      </c>
      <c r="AA76" s="780">
        <v>1594237</v>
      </c>
      <c r="AB76" s="125">
        <f>SUM(AB70:AB75)</f>
        <v>1747483</v>
      </c>
      <c r="AC76" s="780">
        <f>SUM(AC70:AC75)</f>
        <v>1820258</v>
      </c>
      <c r="AD76" s="780">
        <f>SUM(AD70:AD75)</f>
        <v>2003907</v>
      </c>
    </row>
    <row r="77" spans="1:30" ht="15.6">
      <c r="A77" s="868"/>
      <c r="AA77" s="123"/>
      <c r="AB77" s="1106"/>
    </row>
    <row r="78" spans="1:30" ht="15.6">
      <c r="A78" s="868"/>
      <c r="AA78" s="123"/>
      <c r="AB78" s="1106"/>
    </row>
    <row r="79" spans="1:30" ht="15.6">
      <c r="A79" s="868"/>
      <c r="AA79" s="123"/>
      <c r="AB79" s="1106"/>
    </row>
    <row r="80" spans="1:30" ht="15.6">
      <c r="A80" s="868"/>
      <c r="Q80" s="1113"/>
      <c r="R80" s="1113"/>
      <c r="S80" s="1113"/>
      <c r="T80" s="1113"/>
      <c r="U80" s="1113"/>
      <c r="V80" s="1113"/>
      <c r="W80" s="1113"/>
      <c r="X80" s="1113"/>
      <c r="Y80" s="1113"/>
      <c r="Z80" s="1113"/>
      <c r="AA80" s="1115"/>
      <c r="AB80" s="1106"/>
    </row>
    <row r="81" spans="1:30" ht="18">
      <c r="A81" s="529" t="s">
        <v>300</v>
      </c>
      <c r="AA81" s="123"/>
      <c r="AB81" s="1106"/>
    </row>
    <row r="82" spans="1:30">
      <c r="A82" s="1109" t="s">
        <v>289</v>
      </c>
      <c r="B82" s="813"/>
      <c r="C82" s="530">
        <v>1996</v>
      </c>
      <c r="D82" s="530">
        <v>1997</v>
      </c>
      <c r="E82" s="530">
        <v>1998</v>
      </c>
      <c r="F82" s="530">
        <v>1999</v>
      </c>
      <c r="G82" s="530">
        <v>2000</v>
      </c>
      <c r="H82" s="530">
        <v>2001</v>
      </c>
      <c r="I82" s="530">
        <v>2002</v>
      </c>
      <c r="J82" s="530">
        <v>2003</v>
      </c>
      <c r="K82" s="530">
        <v>2004</v>
      </c>
      <c r="L82" s="530">
        <v>2005</v>
      </c>
      <c r="M82" s="530">
        <v>2006</v>
      </c>
      <c r="N82" s="530">
        <v>2007</v>
      </c>
      <c r="O82" s="530">
        <v>2008</v>
      </c>
      <c r="P82" s="530">
        <v>2009</v>
      </c>
      <c r="Q82" s="530">
        <v>2010</v>
      </c>
      <c r="R82" s="530">
        <v>2011</v>
      </c>
      <c r="S82" s="530">
        <v>2012</v>
      </c>
      <c r="T82" s="530">
        <v>2013</v>
      </c>
      <c r="U82" s="530">
        <v>2014</v>
      </c>
      <c r="V82" s="530">
        <v>2015</v>
      </c>
      <c r="W82" s="530">
        <v>2016</v>
      </c>
      <c r="X82" s="530">
        <v>2017</v>
      </c>
      <c r="Y82" s="530">
        <v>2018</v>
      </c>
      <c r="Z82" s="530">
        <v>2019</v>
      </c>
      <c r="AA82" s="547">
        <v>2020</v>
      </c>
      <c r="AB82" s="552">
        <f t="shared" ref="AB82" si="4">AA82+1</f>
        <v>2021</v>
      </c>
      <c r="AC82" s="552">
        <v>2022</v>
      </c>
      <c r="AD82" s="552">
        <v>2023</v>
      </c>
    </row>
    <row r="83" spans="1:30">
      <c r="A83" s="1110" t="s">
        <v>66</v>
      </c>
      <c r="B83" s="1091"/>
      <c r="C83" s="803">
        <v>345534</v>
      </c>
      <c r="D83" s="803">
        <v>358195</v>
      </c>
      <c r="E83" s="803">
        <v>344974</v>
      </c>
      <c r="F83" s="803">
        <v>326924</v>
      </c>
      <c r="G83" s="803">
        <v>266225</v>
      </c>
      <c r="H83" s="803">
        <v>282468</v>
      </c>
      <c r="I83" s="803">
        <v>396655.61956862698</v>
      </c>
      <c r="J83" s="803">
        <v>542359.22576470301</v>
      </c>
      <c r="K83" s="803">
        <v>585357.74226784799</v>
      </c>
      <c r="L83" s="803">
        <v>619976.116987966</v>
      </c>
      <c r="M83" s="803">
        <v>708084.89867424301</v>
      </c>
      <c r="N83" s="803">
        <v>754908.01827165799</v>
      </c>
      <c r="O83" s="803">
        <v>868857.4</v>
      </c>
      <c r="P83" s="803">
        <v>881478.2</v>
      </c>
      <c r="Q83" s="803">
        <v>865190</v>
      </c>
      <c r="R83" s="803">
        <v>926979.4</v>
      </c>
      <c r="S83" s="803">
        <v>959347</v>
      </c>
      <c r="T83" s="803">
        <v>988423.5</v>
      </c>
      <c r="U83" s="803">
        <v>928477</v>
      </c>
      <c r="V83" s="803">
        <v>1090050</v>
      </c>
      <c r="W83" s="803">
        <v>1502038</v>
      </c>
      <c r="X83" s="803">
        <v>1267216</v>
      </c>
      <c r="Y83" s="803">
        <v>1324480</v>
      </c>
      <c r="Z83" s="803">
        <v>1414780</v>
      </c>
      <c r="AA83" s="1100">
        <v>1401799</v>
      </c>
      <c r="AB83" s="551">
        <v>1164969</v>
      </c>
      <c r="AC83" s="1101">
        <v>1025276.98908838</v>
      </c>
      <c r="AD83" s="1101">
        <v>1273632.1280240901</v>
      </c>
    </row>
    <row r="84" spans="1:30">
      <c r="A84" s="1111" t="s">
        <v>55</v>
      </c>
      <c r="B84" s="1093"/>
      <c r="C84" s="792">
        <v>215100</v>
      </c>
      <c r="D84" s="792">
        <v>147686</v>
      </c>
      <c r="E84" s="792">
        <v>141448</v>
      </c>
      <c r="F84" s="792">
        <v>150059</v>
      </c>
      <c r="G84" s="792">
        <v>125880</v>
      </c>
      <c r="H84" s="792">
        <v>121742</v>
      </c>
      <c r="I84" s="792">
        <v>119192</v>
      </c>
      <c r="J84" s="792">
        <v>122522</v>
      </c>
      <c r="K84" s="792">
        <v>124192</v>
      </c>
      <c r="L84" s="792">
        <v>122944</v>
      </c>
      <c r="M84" s="792">
        <v>141399</v>
      </c>
      <c r="N84" s="792">
        <v>164954</v>
      </c>
      <c r="O84" s="792">
        <v>176950</v>
      </c>
      <c r="P84" s="792">
        <v>193349</v>
      </c>
      <c r="Q84" s="792">
        <v>222693</v>
      </c>
      <c r="R84" s="792">
        <v>238323</v>
      </c>
      <c r="S84" s="792">
        <v>274791</v>
      </c>
      <c r="T84" s="792">
        <v>277079</v>
      </c>
      <c r="U84" s="792">
        <v>227142</v>
      </c>
      <c r="V84" s="792">
        <v>189358</v>
      </c>
      <c r="W84" s="792">
        <v>203087</v>
      </c>
      <c r="X84" s="792">
        <v>199577</v>
      </c>
      <c r="Y84" s="792">
        <v>194525</v>
      </c>
      <c r="Z84" s="792">
        <v>179910</v>
      </c>
      <c r="AA84" s="1102">
        <v>179383</v>
      </c>
      <c r="AB84" s="548">
        <v>184372</v>
      </c>
      <c r="AC84" s="1103">
        <v>201420</v>
      </c>
      <c r="AD84" s="1103">
        <v>209368</v>
      </c>
    </row>
    <row r="85" spans="1:30">
      <c r="A85" s="1111" t="s">
        <v>56</v>
      </c>
      <c r="B85" s="1093"/>
      <c r="C85" s="792">
        <v>16516</v>
      </c>
      <c r="D85" s="792">
        <v>24579</v>
      </c>
      <c r="E85" s="792">
        <v>52890</v>
      </c>
      <c r="F85" s="792">
        <v>67051</v>
      </c>
      <c r="G85" s="792">
        <v>34956</v>
      </c>
      <c r="H85" s="792">
        <v>34675</v>
      </c>
      <c r="I85" s="792">
        <v>45046</v>
      </c>
      <c r="J85" s="792">
        <v>44178</v>
      </c>
      <c r="K85" s="792">
        <v>49068</v>
      </c>
      <c r="L85" s="792">
        <v>73512</v>
      </c>
      <c r="M85" s="792">
        <v>120790</v>
      </c>
      <c r="N85" s="792">
        <v>123705</v>
      </c>
      <c r="O85" s="792">
        <v>83523</v>
      </c>
      <c r="P85" s="792">
        <v>56732</v>
      </c>
      <c r="Q85" s="792">
        <v>68843</v>
      </c>
      <c r="R85" s="792">
        <v>94720</v>
      </c>
      <c r="S85" s="792">
        <v>113467</v>
      </c>
      <c r="T85" s="792">
        <v>127330</v>
      </c>
      <c r="U85" s="792">
        <v>129786</v>
      </c>
      <c r="V85" s="792">
        <v>101873</v>
      </c>
      <c r="W85" s="792">
        <v>108875</v>
      </c>
      <c r="X85" s="792">
        <v>120662</v>
      </c>
      <c r="Y85" s="792">
        <v>119012</v>
      </c>
      <c r="Z85" s="792">
        <v>125661</v>
      </c>
      <c r="AA85" s="1102">
        <v>134766</v>
      </c>
      <c r="AB85" s="548">
        <v>145882</v>
      </c>
      <c r="AC85" s="1103">
        <v>135180</v>
      </c>
      <c r="AD85" s="1103">
        <v>134734</v>
      </c>
    </row>
    <row r="86" spans="1:30">
      <c r="A86" s="1111" t="s">
        <v>57</v>
      </c>
      <c r="B86" s="1093"/>
      <c r="C86" s="792">
        <v>2976</v>
      </c>
      <c r="D86" s="792">
        <v>3494</v>
      </c>
      <c r="E86" s="792">
        <v>4735</v>
      </c>
      <c r="F86" s="792">
        <v>7637</v>
      </c>
      <c r="G86" s="792">
        <v>13058</v>
      </c>
      <c r="H86" s="792">
        <v>16296</v>
      </c>
      <c r="I86" s="792">
        <v>21257</v>
      </c>
      <c r="J86" s="792">
        <v>49356</v>
      </c>
      <c r="K86" s="792">
        <v>49360</v>
      </c>
      <c r="L86" s="792">
        <v>53305</v>
      </c>
      <c r="M86" s="792">
        <v>57786</v>
      </c>
      <c r="N86" s="792">
        <v>67948</v>
      </c>
      <c r="O86" s="792">
        <v>93706</v>
      </c>
      <c r="P86" s="792">
        <v>128489</v>
      </c>
      <c r="Q86" s="792">
        <v>135110</v>
      </c>
      <c r="R86" s="792">
        <v>172113</v>
      </c>
      <c r="S86" s="792">
        <v>217105</v>
      </c>
      <c r="T86" s="792">
        <v>207688</v>
      </c>
      <c r="U86" s="792">
        <v>233228</v>
      </c>
      <c r="V86" s="792">
        <v>359316</v>
      </c>
      <c r="W86" s="792">
        <v>404208</v>
      </c>
      <c r="X86" s="792">
        <v>420144</v>
      </c>
      <c r="Y86" s="792">
        <v>432147</v>
      </c>
      <c r="Z86" s="792">
        <v>452804</v>
      </c>
      <c r="AA86" s="1102">
        <v>530127</v>
      </c>
      <c r="AB86" s="548">
        <v>695946</v>
      </c>
      <c r="AC86" s="1103">
        <v>798347</v>
      </c>
      <c r="AD86" s="1103">
        <v>920797</v>
      </c>
    </row>
    <row r="87" spans="1:30">
      <c r="A87" s="1111" t="s">
        <v>58</v>
      </c>
      <c r="B87" s="1093"/>
      <c r="C87" s="792">
        <v>104587</v>
      </c>
      <c r="D87" s="792">
        <v>111984</v>
      </c>
      <c r="E87" s="792">
        <v>147520</v>
      </c>
      <c r="F87" s="792">
        <v>153487</v>
      </c>
      <c r="G87" s="792">
        <v>157496</v>
      </c>
      <c r="H87" s="792">
        <v>166038</v>
      </c>
      <c r="I87" s="792">
        <v>168928</v>
      </c>
      <c r="J87" s="792">
        <v>170443</v>
      </c>
      <c r="K87" s="792">
        <v>165607</v>
      </c>
      <c r="L87" s="792">
        <v>144767</v>
      </c>
      <c r="M87" s="792">
        <v>175439</v>
      </c>
      <c r="N87" s="792">
        <v>157282</v>
      </c>
      <c r="O87" s="792">
        <v>157772</v>
      </c>
      <c r="P87" s="792">
        <v>167349</v>
      </c>
      <c r="Q87" s="792">
        <v>219614</v>
      </c>
      <c r="R87" s="792">
        <v>224505</v>
      </c>
      <c r="S87" s="792">
        <v>253155</v>
      </c>
      <c r="T87" s="792">
        <v>277835</v>
      </c>
      <c r="U87" s="792">
        <v>300678</v>
      </c>
      <c r="V87" s="792">
        <v>298407</v>
      </c>
      <c r="W87" s="792">
        <v>303049</v>
      </c>
      <c r="X87" s="792">
        <v>318829</v>
      </c>
      <c r="Y87" s="792">
        <v>307759</v>
      </c>
      <c r="Z87" s="792">
        <v>354430</v>
      </c>
      <c r="AA87" s="1102">
        <v>351993</v>
      </c>
      <c r="AB87" s="548">
        <v>327307</v>
      </c>
      <c r="AC87" s="1103">
        <v>323410</v>
      </c>
      <c r="AD87" s="1103">
        <v>315245</v>
      </c>
    </row>
    <row r="88" spans="1:30">
      <c r="A88" s="1112" t="s">
        <v>59</v>
      </c>
      <c r="B88" s="1094"/>
      <c r="C88" s="831">
        <v>105534</v>
      </c>
      <c r="D88" s="831">
        <v>126885</v>
      </c>
      <c r="E88" s="831">
        <v>149988</v>
      </c>
      <c r="F88" s="831">
        <v>161524</v>
      </c>
      <c r="G88" s="831">
        <v>138002</v>
      </c>
      <c r="H88" s="831">
        <v>139620</v>
      </c>
      <c r="I88" s="831">
        <v>140592</v>
      </c>
      <c r="J88" s="831">
        <v>141564.975438197</v>
      </c>
      <c r="K88" s="831">
        <v>140109.73394753499</v>
      </c>
      <c r="L88" s="831">
        <v>140291.56793636599</v>
      </c>
      <c r="M88" s="831">
        <v>102062.85</v>
      </c>
      <c r="N88" s="831">
        <v>105105</v>
      </c>
      <c r="O88" s="831">
        <v>135011</v>
      </c>
      <c r="P88" s="831">
        <v>129841</v>
      </c>
      <c r="Q88" s="831">
        <v>127465</v>
      </c>
      <c r="R88" s="831">
        <v>142681.60000000001</v>
      </c>
      <c r="S88" s="831">
        <v>163047</v>
      </c>
      <c r="T88" s="831">
        <v>173164</v>
      </c>
      <c r="U88" s="831">
        <v>183703</v>
      </c>
      <c r="V88" s="831">
        <v>189324</v>
      </c>
      <c r="W88" s="831">
        <v>205976</v>
      </c>
      <c r="X88" s="831">
        <v>212645</v>
      </c>
      <c r="Y88" s="831">
        <v>225305</v>
      </c>
      <c r="Z88" s="831">
        <v>220979</v>
      </c>
      <c r="AA88" s="1104">
        <v>240124</v>
      </c>
      <c r="AB88" s="780">
        <v>247708</v>
      </c>
      <c r="AC88" s="1114">
        <v>247749</v>
      </c>
      <c r="AD88" s="1114">
        <v>297165</v>
      </c>
    </row>
    <row r="89" spans="1:30">
      <c r="A89" s="809" t="s">
        <v>62</v>
      </c>
      <c r="B89" s="1096"/>
      <c r="C89" s="539">
        <v>790247</v>
      </c>
      <c r="D89" s="539">
        <v>772823</v>
      </c>
      <c r="E89" s="539">
        <v>841555</v>
      </c>
      <c r="F89" s="539">
        <v>866682</v>
      </c>
      <c r="G89" s="539">
        <v>735617</v>
      </c>
      <c r="H89" s="539">
        <v>760839</v>
      </c>
      <c r="I89" s="539">
        <v>891670.61956862698</v>
      </c>
      <c r="J89" s="539">
        <v>1070423.2012028999</v>
      </c>
      <c r="K89" s="539">
        <v>1113694.47621538</v>
      </c>
      <c r="L89" s="539">
        <v>1154795.6849243301</v>
      </c>
      <c r="M89" s="539">
        <v>1305561.74867424</v>
      </c>
      <c r="N89" s="539">
        <v>1373902.01827166</v>
      </c>
      <c r="O89" s="539">
        <v>1515819.4</v>
      </c>
      <c r="P89" s="539">
        <v>1557238.2</v>
      </c>
      <c r="Q89" s="539">
        <v>1638915</v>
      </c>
      <c r="R89" s="539">
        <v>1799322</v>
      </c>
      <c r="S89" s="539">
        <v>1980912</v>
      </c>
      <c r="T89" s="539">
        <v>2051519.5</v>
      </c>
      <c r="U89" s="539">
        <v>2003014</v>
      </c>
      <c r="V89" s="539">
        <v>2228328</v>
      </c>
      <c r="W89" s="539">
        <v>2727233</v>
      </c>
      <c r="X89" s="539">
        <v>2539073</v>
      </c>
      <c r="Y89" s="539">
        <v>2603228</v>
      </c>
      <c r="Z89" s="539">
        <v>2748564</v>
      </c>
      <c r="AA89" s="780">
        <v>2838192</v>
      </c>
      <c r="AB89" s="125">
        <f>SUM(AB83:AB88)</f>
        <v>2766184</v>
      </c>
      <c r="AC89" s="780">
        <f>SUM(AC83:AC88)</f>
        <v>2731382.9890883798</v>
      </c>
      <c r="AD89" s="780">
        <f>SUM(AD83:AD88)</f>
        <v>3150941.1280240901</v>
      </c>
    </row>
    <row r="90" spans="1:30">
      <c r="AA90" s="123"/>
      <c r="AB90" s="123"/>
    </row>
    <row r="91" spans="1:30">
      <c r="I91" s="812"/>
      <c r="J91" s="812"/>
      <c r="AA91" s="123"/>
      <c r="AB91" s="123"/>
    </row>
    <row r="92" spans="1:30">
      <c r="H92" s="812"/>
      <c r="I92" s="812"/>
      <c r="J92" s="812"/>
      <c r="AA92" s="123"/>
      <c r="AB92" s="123"/>
    </row>
    <row r="93" spans="1:30">
      <c r="H93" s="812"/>
      <c r="I93" s="812"/>
      <c r="J93" s="812"/>
    </row>
    <row r="94" spans="1:30">
      <c r="H94" s="812"/>
      <c r="I94" s="812"/>
      <c r="J94" s="812"/>
    </row>
    <row r="95" spans="1:30">
      <c r="H95" s="812"/>
      <c r="I95" s="812"/>
      <c r="J95" s="812"/>
    </row>
    <row r="96" spans="1:30">
      <c r="I96" s="812"/>
      <c r="J96" s="812"/>
    </row>
    <row r="97" spans="9:10">
      <c r="I97" s="812"/>
      <c r="J97" s="812"/>
    </row>
  </sheetData>
  <phoneticPr fontId="93" type="noConversion"/>
  <hyperlinks>
    <hyperlink ref="AB1" location="Content!A1" display="content" xr:uid="{00000000-0004-0000-0A00-000000000000}"/>
  </hyperlinks>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N544"/>
  <sheetViews>
    <sheetView topLeftCell="A352" zoomScale="55" zoomScaleNormal="55" workbookViewId="0">
      <selection activeCell="AP30" sqref="AP30"/>
    </sheetView>
  </sheetViews>
  <sheetFormatPr defaultColWidth="9" defaultRowHeight="14.4"/>
  <cols>
    <col min="1" max="1" width="18.109375" customWidth="1"/>
    <col min="2" max="2" width="14.109375" customWidth="1"/>
    <col min="3" max="10" width="10.77734375" customWidth="1"/>
    <col min="11" max="12" width="10.77734375" hidden="1" customWidth="1"/>
    <col min="13" max="13" width="12.109375" customWidth="1"/>
    <col min="16" max="16" width="18.109375" customWidth="1"/>
    <col min="17" max="17" width="14.109375" customWidth="1"/>
    <col min="18" max="25" width="10.77734375" customWidth="1"/>
    <col min="26" max="27" width="10.77734375" hidden="1" customWidth="1"/>
    <col min="28" max="28" width="12.109375" customWidth="1"/>
    <col min="30" max="30" width="18.109375" customWidth="1"/>
    <col min="31" max="31" width="14.109375" customWidth="1"/>
    <col min="32" max="39" width="10.77734375" customWidth="1"/>
    <col min="40" max="40" width="12.109375" customWidth="1"/>
  </cols>
  <sheetData>
    <row r="1" spans="1:40" ht="21">
      <c r="A1" s="528" t="s">
        <v>47</v>
      </c>
      <c r="N1" s="57" t="s">
        <v>48</v>
      </c>
    </row>
    <row r="2" spans="1:40" ht="18">
      <c r="A2" s="529" t="s">
        <v>271</v>
      </c>
    </row>
    <row r="3" spans="1:40" ht="18">
      <c r="A3" s="529" t="s">
        <v>301</v>
      </c>
    </row>
    <row r="4" spans="1:40">
      <c r="A4" s="839" t="s">
        <v>302</v>
      </c>
      <c r="B4" s="839" t="s">
        <v>303</v>
      </c>
    </row>
    <row r="5" spans="1:40">
      <c r="A5" s="840"/>
      <c r="B5" s="841"/>
    </row>
    <row r="6" spans="1:40" ht="21">
      <c r="A6" s="839" t="s">
        <v>304</v>
      </c>
      <c r="B6" s="841"/>
      <c r="P6" s="868" t="s">
        <v>305</v>
      </c>
      <c r="AD6" s="528" t="s">
        <v>306</v>
      </c>
    </row>
    <row r="7" spans="1:40" ht="21">
      <c r="A7" s="839" t="s">
        <v>307</v>
      </c>
      <c r="B7" s="842"/>
      <c r="AD7" s="528"/>
    </row>
    <row r="8" spans="1:40">
      <c r="P8" t="s">
        <v>308</v>
      </c>
    </row>
    <row r="9" spans="1:40">
      <c r="A9" s="843" t="s">
        <v>309</v>
      </c>
      <c r="C9" s="843">
        <v>2020</v>
      </c>
      <c r="P9" s="843" t="s">
        <v>309</v>
      </c>
      <c r="R9" s="843">
        <f>C9</f>
        <v>2020</v>
      </c>
      <c r="AD9" t="s">
        <v>310</v>
      </c>
      <c r="AF9">
        <f>R9</f>
        <v>2020</v>
      </c>
    </row>
    <row r="11" spans="1:40" ht="15.6">
      <c r="A11" s="1384" t="s">
        <v>311</v>
      </c>
      <c r="B11" s="1377" t="s">
        <v>312</v>
      </c>
      <c r="C11" s="844" t="s">
        <v>313</v>
      </c>
      <c r="D11" s="844"/>
      <c r="E11" s="844"/>
      <c r="F11" s="844"/>
      <c r="G11" s="844"/>
      <c r="H11" s="844"/>
      <c r="I11" s="844"/>
      <c r="J11" s="844"/>
      <c r="K11" s="867"/>
      <c r="L11" s="867"/>
      <c r="M11" s="1371" t="s">
        <v>314</v>
      </c>
      <c r="P11" s="1384" t="s">
        <v>311</v>
      </c>
      <c r="Q11" s="1377" t="s">
        <v>312</v>
      </c>
      <c r="R11" s="1368" t="s">
        <v>313</v>
      </c>
      <c r="S11" s="1368"/>
      <c r="T11" s="1368"/>
      <c r="U11" s="1368"/>
      <c r="V11" s="1368"/>
      <c r="W11" s="1368"/>
      <c r="X11" s="1368"/>
      <c r="Y11" s="1368"/>
      <c r="Z11" s="867"/>
      <c r="AA11" s="867"/>
      <c r="AB11" s="1371" t="s">
        <v>314</v>
      </c>
      <c r="AD11" s="900" t="s">
        <v>315</v>
      </c>
      <c r="AE11" s="901" t="s">
        <v>316</v>
      </c>
      <c r="AF11" s="902" t="s">
        <v>317</v>
      </c>
      <c r="AG11" s="902"/>
      <c r="AH11" s="902"/>
      <c r="AI11" s="902"/>
      <c r="AJ11" s="902"/>
      <c r="AK11" s="930"/>
      <c r="AL11" s="930"/>
      <c r="AM11" s="930"/>
      <c r="AN11" s="1371" t="s">
        <v>314</v>
      </c>
    </row>
    <row r="12" spans="1:40">
      <c r="A12" s="1385"/>
      <c r="B12" s="1378"/>
      <c r="C12" s="845" t="s">
        <v>318</v>
      </c>
      <c r="D12" s="846"/>
      <c r="E12" s="846"/>
      <c r="F12" s="846"/>
      <c r="G12" s="846"/>
      <c r="H12" s="846"/>
      <c r="I12" s="846"/>
      <c r="J12" s="846"/>
      <c r="K12" s="846"/>
      <c r="L12" s="846"/>
      <c r="M12" s="1372"/>
      <c r="P12" s="1385"/>
      <c r="Q12" s="1378"/>
      <c r="R12" s="1369" t="s">
        <v>318</v>
      </c>
      <c r="S12" s="1370"/>
      <c r="T12" s="1370"/>
      <c r="U12" s="1370"/>
      <c r="V12" s="1370"/>
      <c r="W12" s="1370"/>
      <c r="X12" s="1370"/>
      <c r="Y12" s="1370"/>
      <c r="Z12" s="1370"/>
      <c r="AA12" s="1370"/>
      <c r="AB12" s="1372"/>
      <c r="AD12" s="903" t="s">
        <v>319</v>
      </c>
      <c r="AE12" s="904" t="s">
        <v>320</v>
      </c>
      <c r="AF12" s="905" t="s">
        <v>321</v>
      </c>
      <c r="AG12" s="905"/>
      <c r="AH12" s="905"/>
      <c r="AI12" s="905"/>
      <c r="AJ12" s="905"/>
      <c r="AK12" s="931"/>
      <c r="AL12" s="931"/>
      <c r="AM12" s="931"/>
      <c r="AN12" s="1372"/>
    </row>
    <row r="13" spans="1:40">
      <c r="A13" s="1385"/>
      <c r="B13" s="1378"/>
      <c r="C13" s="1382" t="s">
        <v>322</v>
      </c>
      <c r="D13" s="1389" t="s">
        <v>323</v>
      </c>
      <c r="E13" s="1366" t="s">
        <v>66</v>
      </c>
      <c r="F13" s="1366" t="s">
        <v>55</v>
      </c>
      <c r="G13" s="1366" t="s">
        <v>56</v>
      </c>
      <c r="H13" s="1366" t="s">
        <v>57</v>
      </c>
      <c r="I13" s="1366" t="s">
        <v>58</v>
      </c>
      <c r="J13" s="1391" t="s">
        <v>324</v>
      </c>
      <c r="K13" s="869"/>
      <c r="L13" s="869"/>
      <c r="M13" s="1372"/>
      <c r="P13" s="1385"/>
      <c r="Q13" s="1378"/>
      <c r="R13" s="1382" t="s">
        <v>322</v>
      </c>
      <c r="S13" s="1389" t="s">
        <v>323</v>
      </c>
      <c r="T13" s="1366" t="s">
        <v>66</v>
      </c>
      <c r="U13" s="1366" t="s">
        <v>55</v>
      </c>
      <c r="V13" s="1366" t="s">
        <v>56</v>
      </c>
      <c r="W13" s="1366" t="s">
        <v>57</v>
      </c>
      <c r="X13" s="1366" t="s">
        <v>58</v>
      </c>
      <c r="Y13" s="1391" t="s">
        <v>324</v>
      </c>
      <c r="Z13" s="869"/>
      <c r="AA13" s="869"/>
      <c r="AB13" s="1372"/>
      <c r="AD13" s="903" t="s">
        <v>325</v>
      </c>
      <c r="AE13" s="904" t="s">
        <v>61</v>
      </c>
      <c r="AF13" s="906" t="s">
        <v>326</v>
      </c>
      <c r="AG13" s="906" t="s">
        <v>327</v>
      </c>
      <c r="AH13" s="906"/>
      <c r="AI13" s="906"/>
      <c r="AJ13" s="906"/>
      <c r="AK13" s="932"/>
      <c r="AL13" s="933"/>
      <c r="AM13" s="1394" t="s">
        <v>324</v>
      </c>
      <c r="AN13" s="1375"/>
    </row>
    <row r="14" spans="1:40">
      <c r="A14" s="1386"/>
      <c r="B14" s="1379"/>
      <c r="C14" s="1383"/>
      <c r="D14" s="1390"/>
      <c r="E14" s="1367"/>
      <c r="F14" s="1367"/>
      <c r="G14" s="1367"/>
      <c r="H14" s="1367"/>
      <c r="I14" s="1367"/>
      <c r="J14" s="1392"/>
      <c r="K14" s="870"/>
      <c r="L14" s="870"/>
      <c r="M14" s="1373"/>
      <c r="P14" s="1386"/>
      <c r="Q14" s="1379"/>
      <c r="R14" s="1383"/>
      <c r="S14" s="1390"/>
      <c r="T14" s="1367"/>
      <c r="U14" s="1367"/>
      <c r="V14" s="1367"/>
      <c r="W14" s="1367"/>
      <c r="X14" s="1367"/>
      <c r="Y14" s="1392"/>
      <c r="Z14" s="870"/>
      <c r="AA14" s="870"/>
      <c r="AB14" s="1373"/>
      <c r="AD14" s="907"/>
      <c r="AE14" s="908"/>
      <c r="AF14" s="909" t="s">
        <v>328</v>
      </c>
      <c r="AG14" s="909" t="s">
        <v>328</v>
      </c>
      <c r="AH14" s="909" t="s">
        <v>54</v>
      </c>
      <c r="AI14" s="909" t="s">
        <v>55</v>
      </c>
      <c r="AJ14" s="909" t="s">
        <v>329</v>
      </c>
      <c r="AK14" s="934" t="s">
        <v>330</v>
      </c>
      <c r="AL14" s="935" t="s">
        <v>58</v>
      </c>
      <c r="AM14" s="1395"/>
      <c r="AN14" s="1376"/>
    </row>
    <row r="15" spans="1:40" ht="15.6">
      <c r="A15" s="848" t="s">
        <v>66</v>
      </c>
      <c r="B15" s="849">
        <v>129364</v>
      </c>
      <c r="C15" s="849">
        <v>65426</v>
      </c>
      <c r="D15" s="849">
        <v>62560</v>
      </c>
      <c r="E15" s="849"/>
      <c r="F15" s="849">
        <v>17439</v>
      </c>
      <c r="G15" s="849">
        <v>11955</v>
      </c>
      <c r="H15" s="849">
        <v>31935</v>
      </c>
      <c r="I15" s="849">
        <v>48276</v>
      </c>
      <c r="J15" s="849">
        <v>17705</v>
      </c>
      <c r="K15" s="871"/>
      <c r="L15" s="871"/>
      <c r="M15" s="872">
        <v>4766</v>
      </c>
      <c r="P15" s="848" t="s">
        <v>66</v>
      </c>
      <c r="Q15" s="849">
        <v>129364</v>
      </c>
      <c r="R15" s="849">
        <v>32782</v>
      </c>
      <c r="S15" s="849">
        <v>31461</v>
      </c>
      <c r="T15" s="849"/>
      <c r="U15" s="849">
        <v>13749</v>
      </c>
      <c r="V15" s="849">
        <v>8181</v>
      </c>
      <c r="W15" s="849">
        <v>18267</v>
      </c>
      <c r="X15" s="849">
        <v>23259</v>
      </c>
      <c r="Y15" s="849">
        <v>8805</v>
      </c>
      <c r="Z15" s="886"/>
      <c r="AA15" s="886"/>
      <c r="AB15" s="887">
        <v>3165</v>
      </c>
      <c r="AD15" s="910" t="s">
        <v>54</v>
      </c>
      <c r="AE15" s="911">
        <f t="shared" ref="AE15:AE19" si="0">R15/Q15</f>
        <v>0.253408985498284</v>
      </c>
      <c r="AF15" s="912">
        <f t="shared" ref="AF15:AM15" si="1">R15/C15</f>
        <v>0.50105462660104505</v>
      </c>
      <c r="AG15" s="912">
        <f t="shared" si="1"/>
        <v>0.50289322250639401</v>
      </c>
      <c r="AH15" s="936"/>
      <c r="AI15" s="912">
        <f t="shared" si="1"/>
        <v>0.78840529846894902</v>
      </c>
      <c r="AJ15" s="912">
        <f t="shared" si="1"/>
        <v>0.68431618569636099</v>
      </c>
      <c r="AK15" s="912">
        <f t="shared" si="1"/>
        <v>0.57200563644903701</v>
      </c>
      <c r="AL15" s="937">
        <f t="shared" si="1"/>
        <v>0.48179219487944303</v>
      </c>
      <c r="AM15" s="938">
        <f t="shared" si="1"/>
        <v>0.497317142050268</v>
      </c>
      <c r="AN15" s="939">
        <f t="shared" ref="AN15:AN19" si="2">AB15/M15</f>
        <v>0.66407889215274896</v>
      </c>
    </row>
    <row r="16" spans="1:40">
      <c r="A16" s="850"/>
      <c r="B16" s="851"/>
      <c r="C16" s="852">
        <f t="shared" ref="C16:J16" si="3">C15/$B15</f>
        <v>0.50575121362975795</v>
      </c>
      <c r="D16" s="852">
        <f t="shared" si="3"/>
        <v>0.48359667295383602</v>
      </c>
      <c r="E16" s="853">
        <f t="shared" si="3"/>
        <v>0</v>
      </c>
      <c r="F16" s="852">
        <f t="shared" si="3"/>
        <v>0.13480566463622001</v>
      </c>
      <c r="G16" s="852">
        <f t="shared" si="3"/>
        <v>9.24136544942952E-2</v>
      </c>
      <c r="H16" s="852">
        <f t="shared" si="3"/>
        <v>0.246861568906342</v>
      </c>
      <c r="I16" s="852">
        <f t="shared" si="3"/>
        <v>0.373179555363161</v>
      </c>
      <c r="J16" s="852">
        <f t="shared" si="3"/>
        <v>0.13686187811137601</v>
      </c>
      <c r="K16" s="873"/>
      <c r="L16" s="873"/>
      <c r="M16" s="874">
        <f t="shared" ref="M16:M20" si="4">M15/$B15</f>
        <v>3.6841779784174897E-2</v>
      </c>
      <c r="P16" s="850"/>
      <c r="Q16" s="851"/>
      <c r="R16" s="852"/>
      <c r="S16" s="852"/>
      <c r="T16" s="853"/>
      <c r="U16" s="852"/>
      <c r="V16" s="852"/>
      <c r="W16" s="852"/>
      <c r="X16" s="852"/>
      <c r="Y16" s="852"/>
      <c r="Z16" s="873"/>
      <c r="AA16" s="913"/>
      <c r="AB16" s="898"/>
      <c r="AD16" s="914"/>
      <c r="AE16" s="915"/>
      <c r="AF16" s="916"/>
      <c r="AG16" s="940"/>
      <c r="AH16" s="916"/>
      <c r="AI16" s="916"/>
      <c r="AJ16" s="916"/>
      <c r="AK16" s="941"/>
      <c r="AL16" s="942"/>
      <c r="AM16" s="943"/>
      <c r="AN16" s="915"/>
    </row>
    <row r="17" spans="1:40">
      <c r="A17" s="854" t="s">
        <v>55</v>
      </c>
      <c r="B17" s="849">
        <v>200385</v>
      </c>
      <c r="C17" s="849">
        <v>72723</v>
      </c>
      <c r="D17" s="849">
        <v>70214</v>
      </c>
      <c r="E17" s="849">
        <v>35841</v>
      </c>
      <c r="F17" s="855"/>
      <c r="G17" s="849">
        <v>12583</v>
      </c>
      <c r="H17" s="849">
        <v>34170</v>
      </c>
      <c r="I17" s="849">
        <v>51260</v>
      </c>
      <c r="J17" s="849">
        <v>18722</v>
      </c>
      <c r="K17" s="871"/>
      <c r="L17" s="871"/>
      <c r="M17" s="875">
        <v>5738</v>
      </c>
      <c r="P17" s="854" t="s">
        <v>55</v>
      </c>
      <c r="Q17" s="849">
        <v>200385</v>
      </c>
      <c r="R17" s="855">
        <v>36372</v>
      </c>
      <c r="S17" s="855">
        <v>35733</v>
      </c>
      <c r="T17" s="855">
        <v>25255</v>
      </c>
      <c r="U17" s="855"/>
      <c r="V17" s="855">
        <v>8604</v>
      </c>
      <c r="W17" s="855">
        <v>19572</v>
      </c>
      <c r="X17" s="855">
        <v>24772</v>
      </c>
      <c r="Y17" s="855">
        <v>9303</v>
      </c>
      <c r="Z17" s="917"/>
      <c r="AA17" s="917"/>
      <c r="AB17" s="894">
        <v>3595</v>
      </c>
      <c r="AD17" s="910" t="s">
        <v>55</v>
      </c>
      <c r="AE17" s="918">
        <f t="shared" si="0"/>
        <v>0.181510592110188</v>
      </c>
      <c r="AF17" s="912">
        <f t="shared" ref="AF17:AM17" si="5">R17/C17</f>
        <v>0.50014438348252999</v>
      </c>
      <c r="AG17" s="912">
        <f t="shared" si="5"/>
        <v>0.50891560087731802</v>
      </c>
      <c r="AH17" s="912">
        <f t="shared" si="5"/>
        <v>0.70463993750174403</v>
      </c>
      <c r="AI17" s="912"/>
      <c r="AJ17" s="912">
        <f t="shared" si="5"/>
        <v>0.68377970277358302</v>
      </c>
      <c r="AK17" s="912">
        <f t="shared" si="5"/>
        <v>0.57278314310798994</v>
      </c>
      <c r="AL17" s="937">
        <f t="shared" si="5"/>
        <v>0.48326180257510698</v>
      </c>
      <c r="AM17" s="944">
        <f t="shared" si="5"/>
        <v>0.496902040380301</v>
      </c>
      <c r="AN17" s="945">
        <f t="shared" si="2"/>
        <v>0.62652492157546202</v>
      </c>
    </row>
    <row r="18" spans="1:40">
      <c r="A18" s="850"/>
      <c r="B18" s="851"/>
      <c r="C18" s="852">
        <f t="shared" ref="C18:J18" si="6">C17/$B17</f>
        <v>0.36291638595703302</v>
      </c>
      <c r="D18" s="852">
        <f t="shared" si="6"/>
        <v>0.350395488684283</v>
      </c>
      <c r="E18" s="852">
        <f t="shared" si="6"/>
        <v>0.178860693165656</v>
      </c>
      <c r="F18" s="853">
        <f t="shared" si="6"/>
        <v>0</v>
      </c>
      <c r="G18" s="852">
        <f t="shared" si="6"/>
        <v>6.2794121316465806E-2</v>
      </c>
      <c r="H18" s="852">
        <f t="shared" si="6"/>
        <v>0.17052174563964401</v>
      </c>
      <c r="I18" s="852">
        <f t="shared" si="6"/>
        <v>0.25580757042692798</v>
      </c>
      <c r="J18" s="852">
        <f t="shared" si="6"/>
        <v>9.3430146967088401E-2</v>
      </c>
      <c r="K18" s="873"/>
      <c r="L18" s="873"/>
      <c r="M18" s="874">
        <f t="shared" si="4"/>
        <v>2.8634877860119302E-2</v>
      </c>
      <c r="P18" s="850"/>
      <c r="Q18" s="851"/>
      <c r="R18" s="852"/>
      <c r="S18" s="852"/>
      <c r="T18" s="852"/>
      <c r="U18" s="853"/>
      <c r="V18" s="852"/>
      <c r="W18" s="852"/>
      <c r="X18" s="852"/>
      <c r="Y18" s="852"/>
      <c r="Z18" s="873"/>
      <c r="AA18" s="913"/>
      <c r="AB18" s="898"/>
      <c r="AD18" s="914"/>
      <c r="AE18" s="915"/>
      <c r="AF18" s="916"/>
      <c r="AG18" s="940"/>
      <c r="AH18" s="916"/>
      <c r="AI18" s="916"/>
      <c r="AJ18" s="916"/>
      <c r="AK18" s="941"/>
      <c r="AL18" s="942"/>
      <c r="AM18" s="943"/>
      <c r="AN18" s="915"/>
    </row>
    <row r="19" spans="1:40">
      <c r="A19" s="848" t="s">
        <v>56</v>
      </c>
      <c r="B19" s="849">
        <v>179500</v>
      </c>
      <c r="C19" s="849">
        <v>33523</v>
      </c>
      <c r="D19" s="849">
        <v>32421</v>
      </c>
      <c r="E19" s="849">
        <v>16357</v>
      </c>
      <c r="F19" s="849">
        <v>8511</v>
      </c>
      <c r="G19" s="849"/>
      <c r="H19" s="849">
        <v>15474</v>
      </c>
      <c r="I19" s="849">
        <v>23609</v>
      </c>
      <c r="J19" s="849">
        <v>8589</v>
      </c>
      <c r="K19" s="871"/>
      <c r="L19" s="871"/>
      <c r="M19" s="875">
        <v>3722</v>
      </c>
      <c r="P19" s="848" t="s">
        <v>56</v>
      </c>
      <c r="Q19" s="849">
        <v>179500</v>
      </c>
      <c r="R19" s="849">
        <v>17106</v>
      </c>
      <c r="S19" s="849">
        <v>16856</v>
      </c>
      <c r="T19" s="849">
        <v>11642</v>
      </c>
      <c r="U19" s="849">
        <v>6709</v>
      </c>
      <c r="V19" s="849"/>
      <c r="W19" s="849">
        <v>8836</v>
      </c>
      <c r="X19" s="849">
        <v>11444</v>
      </c>
      <c r="Y19" s="849">
        <v>4302</v>
      </c>
      <c r="Z19" s="886"/>
      <c r="AA19" s="886"/>
      <c r="AB19" s="887">
        <v>2685</v>
      </c>
      <c r="AD19" s="910" t="s">
        <v>329</v>
      </c>
      <c r="AE19" s="918">
        <f t="shared" si="0"/>
        <v>9.5298050139275794E-2</v>
      </c>
      <c r="AF19" s="912">
        <f t="shared" ref="AF19:AI19" si="7">R19/C19</f>
        <v>0.51027652656385203</v>
      </c>
      <c r="AG19" s="912">
        <f t="shared" si="7"/>
        <v>0.51990993491872595</v>
      </c>
      <c r="AH19" s="912">
        <f t="shared" si="7"/>
        <v>0.71174420737299005</v>
      </c>
      <c r="AI19" s="912">
        <f t="shared" si="7"/>
        <v>0.78827399835506995</v>
      </c>
      <c r="AJ19" s="912"/>
      <c r="AK19" s="912">
        <f t="shared" ref="AK19:AM19" si="8">W19/H19</f>
        <v>0.57102236008788898</v>
      </c>
      <c r="AL19" s="937">
        <f t="shared" si="8"/>
        <v>0.48473039942394902</v>
      </c>
      <c r="AM19" s="944">
        <f t="shared" si="8"/>
        <v>0.500873209919665</v>
      </c>
      <c r="AN19" s="945">
        <f t="shared" si="2"/>
        <v>0.72138635142396601</v>
      </c>
    </row>
    <row r="20" spans="1:40">
      <c r="A20" s="850"/>
      <c r="B20" s="851"/>
      <c r="C20" s="852">
        <f t="shared" ref="C20:J20" si="9">C19/$B19</f>
        <v>0.186757660167131</v>
      </c>
      <c r="D20" s="852">
        <f t="shared" si="9"/>
        <v>0.180618384401114</v>
      </c>
      <c r="E20" s="852">
        <f t="shared" si="9"/>
        <v>9.1125348189415006E-2</v>
      </c>
      <c r="F20" s="852">
        <f t="shared" si="9"/>
        <v>4.7415041782729803E-2</v>
      </c>
      <c r="G20" s="853">
        <f t="shared" si="9"/>
        <v>0</v>
      </c>
      <c r="H20" s="852">
        <f t="shared" si="9"/>
        <v>8.6206128133704693E-2</v>
      </c>
      <c r="I20" s="852">
        <f t="shared" si="9"/>
        <v>0.131526462395543</v>
      </c>
      <c r="J20" s="852">
        <f t="shared" si="9"/>
        <v>4.7849582172702E-2</v>
      </c>
      <c r="K20" s="873"/>
      <c r="L20" s="873"/>
      <c r="M20" s="874">
        <f t="shared" si="4"/>
        <v>2.07353760445682E-2</v>
      </c>
      <c r="P20" s="850"/>
      <c r="Q20" s="851"/>
      <c r="R20" s="852"/>
      <c r="S20" s="852"/>
      <c r="T20" s="852"/>
      <c r="U20" s="852"/>
      <c r="V20" s="853"/>
      <c r="W20" s="852"/>
      <c r="X20" s="852"/>
      <c r="Y20" s="852"/>
      <c r="Z20" s="873"/>
      <c r="AA20" s="913"/>
      <c r="AB20" s="898"/>
      <c r="AD20" s="910"/>
      <c r="AE20" s="915"/>
      <c r="AF20" s="916"/>
      <c r="AG20" s="940"/>
      <c r="AH20" s="916"/>
      <c r="AI20" s="916"/>
      <c r="AJ20" s="916"/>
      <c r="AK20" s="941"/>
      <c r="AL20" s="942"/>
      <c r="AM20" s="943"/>
      <c r="AN20" s="915"/>
    </row>
    <row r="21" spans="1:40" ht="15.6">
      <c r="A21" s="854" t="s">
        <v>57</v>
      </c>
      <c r="B21" s="849">
        <v>1344166</v>
      </c>
      <c r="C21" s="849">
        <v>49892</v>
      </c>
      <c r="D21" s="849">
        <v>47783</v>
      </c>
      <c r="E21" s="849">
        <v>25498</v>
      </c>
      <c r="F21" s="849">
        <v>13264</v>
      </c>
      <c r="G21" s="849">
        <v>9136</v>
      </c>
      <c r="H21" s="855"/>
      <c r="I21" s="849">
        <v>36709</v>
      </c>
      <c r="J21" s="849">
        <v>13446</v>
      </c>
      <c r="K21" s="871"/>
      <c r="L21" s="871"/>
      <c r="M21" s="875">
        <v>3960</v>
      </c>
      <c r="P21" s="854" t="s">
        <v>57</v>
      </c>
      <c r="Q21" s="849">
        <v>1344166</v>
      </c>
      <c r="R21" s="855">
        <v>25997</v>
      </c>
      <c r="S21" s="855">
        <v>25563</v>
      </c>
      <c r="T21" s="855">
        <v>18121</v>
      </c>
      <c r="U21" s="855">
        <v>10514</v>
      </c>
      <c r="V21" s="855">
        <v>6215</v>
      </c>
      <c r="W21" s="855"/>
      <c r="X21" s="855">
        <v>17755</v>
      </c>
      <c r="Y21" s="855">
        <v>6707</v>
      </c>
      <c r="Z21" s="917"/>
      <c r="AA21" s="917"/>
      <c r="AB21" s="894">
        <v>2658</v>
      </c>
      <c r="AD21" s="919" t="s">
        <v>330</v>
      </c>
      <c r="AE21" s="918">
        <f>R21/Q21</f>
        <v>1.9340617155916801E-2</v>
      </c>
      <c r="AF21" s="912">
        <f t="shared" ref="AF21:AJ21" si="10">R21/C21</f>
        <v>0.52106550148320396</v>
      </c>
      <c r="AG21" s="912">
        <f t="shared" si="10"/>
        <v>0.53498106020969804</v>
      </c>
      <c r="AH21" s="912">
        <f t="shared" si="10"/>
        <v>0.71068319083849696</v>
      </c>
      <c r="AI21" s="912">
        <f t="shared" si="10"/>
        <v>0.79267189384800996</v>
      </c>
      <c r="AJ21" s="912">
        <f t="shared" si="10"/>
        <v>0.68027583187390495</v>
      </c>
      <c r="AK21" s="936"/>
      <c r="AL21" s="937">
        <f>X21/I21</f>
        <v>0.48366885504917101</v>
      </c>
      <c r="AM21" s="944">
        <f>Y21/J21</f>
        <v>0.49881005503495501</v>
      </c>
      <c r="AN21" s="945">
        <f>AB21/M21</f>
        <v>0.67121212121212104</v>
      </c>
    </row>
    <row r="22" spans="1:40" ht="15.6">
      <c r="A22" s="850"/>
      <c r="B22" s="851"/>
      <c r="C22" s="852">
        <f t="shared" ref="C22:J22" si="11">C21/$B21</f>
        <v>3.7117439363888102E-2</v>
      </c>
      <c r="D22" s="852">
        <f t="shared" si="11"/>
        <v>3.55484367258211E-2</v>
      </c>
      <c r="E22" s="852">
        <f t="shared" si="11"/>
        <v>1.8969383245819298E-2</v>
      </c>
      <c r="F22" s="852">
        <f t="shared" si="11"/>
        <v>9.8678288247136103E-3</v>
      </c>
      <c r="G22" s="852">
        <f t="shared" si="11"/>
        <v>6.7967795644287999E-3</v>
      </c>
      <c r="H22" s="853">
        <f t="shared" si="11"/>
        <v>0</v>
      </c>
      <c r="I22" s="852">
        <f t="shared" si="11"/>
        <v>2.73098709534388E-2</v>
      </c>
      <c r="J22" s="852">
        <f t="shared" si="11"/>
        <v>1.00032287678754E-2</v>
      </c>
      <c r="K22" s="873"/>
      <c r="L22" s="873"/>
      <c r="M22" s="874">
        <f t="shared" ref="M22:M26" si="12">M21/$B21</f>
        <v>2.9460646973662498E-3</v>
      </c>
      <c r="P22" s="850"/>
      <c r="Q22" s="851"/>
      <c r="R22" s="852"/>
      <c r="S22" s="852"/>
      <c r="T22" s="852"/>
      <c r="U22" s="852"/>
      <c r="V22" s="852"/>
      <c r="W22" s="853"/>
      <c r="X22" s="852"/>
      <c r="Y22" s="852"/>
      <c r="Z22" s="873"/>
      <c r="AA22" s="913"/>
      <c r="AB22" s="898"/>
      <c r="AD22" s="919"/>
      <c r="AE22" s="920"/>
      <c r="AF22" s="912"/>
      <c r="AG22" s="946"/>
      <c r="AH22" s="936"/>
      <c r="AI22" s="936"/>
      <c r="AJ22" s="936"/>
      <c r="AK22" s="947"/>
      <c r="AL22" s="937"/>
      <c r="AM22" s="944"/>
      <c r="AN22" s="945"/>
    </row>
    <row r="23" spans="1:40" ht="15.6">
      <c r="A23" s="848" t="s">
        <v>58</v>
      </c>
      <c r="B23" s="849">
        <v>232914</v>
      </c>
      <c r="C23" s="849">
        <v>111793</v>
      </c>
      <c r="D23" s="849">
        <v>104199</v>
      </c>
      <c r="E23" s="849">
        <v>67785</v>
      </c>
      <c r="F23" s="849">
        <v>35210</v>
      </c>
      <c r="G23" s="849">
        <v>24296</v>
      </c>
      <c r="H23" s="849">
        <v>63917</v>
      </c>
      <c r="I23" s="849"/>
      <c r="J23" s="849">
        <v>36877</v>
      </c>
      <c r="K23" s="871"/>
      <c r="L23" s="871"/>
      <c r="M23" s="875">
        <v>10025</v>
      </c>
      <c r="P23" s="848" t="s">
        <v>58</v>
      </c>
      <c r="Q23" s="849">
        <v>232914</v>
      </c>
      <c r="R23" s="849">
        <v>63571</v>
      </c>
      <c r="S23" s="849">
        <v>61696</v>
      </c>
      <c r="T23" s="849">
        <v>48502</v>
      </c>
      <c r="U23" s="849">
        <v>27975</v>
      </c>
      <c r="V23" s="849">
        <v>16843</v>
      </c>
      <c r="W23" s="849">
        <v>36973</v>
      </c>
      <c r="X23" s="849"/>
      <c r="Y23" s="849">
        <v>18353</v>
      </c>
      <c r="Z23" s="886"/>
      <c r="AA23" s="886"/>
      <c r="AB23" s="887">
        <v>8544</v>
      </c>
      <c r="AD23" s="919" t="s">
        <v>58</v>
      </c>
      <c r="AE23" s="918">
        <f>R23/Q23</f>
        <v>0.27293765080673599</v>
      </c>
      <c r="AF23" s="912">
        <f t="shared" ref="AF23:AK23" si="13">R23/C23</f>
        <v>0.56864919986045603</v>
      </c>
      <c r="AG23" s="912">
        <f t="shared" si="13"/>
        <v>0.59209781283889495</v>
      </c>
      <c r="AH23" s="912">
        <f t="shared" si="13"/>
        <v>0.71552703400457296</v>
      </c>
      <c r="AI23" s="912">
        <f t="shared" si="13"/>
        <v>0.79451860266969598</v>
      </c>
      <c r="AJ23" s="912">
        <f t="shared" si="13"/>
        <v>0.69324168587421797</v>
      </c>
      <c r="AK23" s="912">
        <f t="shared" si="13"/>
        <v>0.57845330663203798</v>
      </c>
      <c r="AL23" s="948"/>
      <c r="AM23" s="944">
        <f>Y23/J23</f>
        <v>0.49768148168234899</v>
      </c>
      <c r="AN23" s="945">
        <f>AB23/M23</f>
        <v>0.85226932668329203</v>
      </c>
    </row>
    <row r="24" spans="1:40">
      <c r="A24" s="856"/>
      <c r="B24" s="857"/>
      <c r="C24" s="852">
        <f t="shared" ref="C24:J24" si="14">C23/$B23</f>
        <v>0.479975441579295</v>
      </c>
      <c r="D24" s="858">
        <f t="shared" si="14"/>
        <v>0.44737113269275403</v>
      </c>
      <c r="E24" s="858">
        <f t="shared" si="14"/>
        <v>0.29103016564053702</v>
      </c>
      <c r="F24" s="858">
        <f t="shared" si="14"/>
        <v>0.151171677099702</v>
      </c>
      <c r="G24" s="858">
        <f t="shared" si="14"/>
        <v>0.10431317997200699</v>
      </c>
      <c r="H24" s="858">
        <f t="shared" si="14"/>
        <v>0.27442317765355501</v>
      </c>
      <c r="I24" s="876">
        <f t="shared" si="14"/>
        <v>0</v>
      </c>
      <c r="J24" s="858">
        <f t="shared" si="14"/>
        <v>0.158328825231631</v>
      </c>
      <c r="K24" s="877"/>
      <c r="L24" s="877"/>
      <c r="M24" s="878">
        <f t="shared" si="12"/>
        <v>4.30416376860129E-2</v>
      </c>
      <c r="P24" s="856"/>
      <c r="Q24" s="857"/>
      <c r="R24" s="852"/>
      <c r="S24" s="858"/>
      <c r="T24" s="858"/>
      <c r="U24" s="858"/>
      <c r="V24" s="858"/>
      <c r="W24" s="858"/>
      <c r="X24" s="876"/>
      <c r="Y24" s="858"/>
      <c r="Z24" s="921"/>
      <c r="AA24" s="921"/>
      <c r="AB24" s="895"/>
      <c r="AD24" s="922"/>
      <c r="AE24" s="923"/>
      <c r="AF24" s="924"/>
      <c r="AG24" s="924"/>
      <c r="AH24" s="949"/>
      <c r="AI24" s="949"/>
      <c r="AJ24" s="949"/>
      <c r="AK24" s="950"/>
      <c r="AL24" s="951"/>
      <c r="AM24" s="952"/>
      <c r="AN24" s="953"/>
    </row>
    <row r="25" spans="1:40">
      <c r="A25" s="1387" t="s">
        <v>331</v>
      </c>
      <c r="B25" s="859">
        <f t="shared" ref="B25:J25" si="15">B15+B17+B19+B21+B23</f>
        <v>2086329</v>
      </c>
      <c r="C25" s="860">
        <f t="shared" si="15"/>
        <v>333357</v>
      </c>
      <c r="D25" s="860">
        <f t="shared" si="15"/>
        <v>317177</v>
      </c>
      <c r="E25" s="860">
        <f t="shared" si="15"/>
        <v>145481</v>
      </c>
      <c r="F25" s="860">
        <f t="shared" si="15"/>
        <v>74424</v>
      </c>
      <c r="G25" s="860">
        <f t="shared" si="15"/>
        <v>57970</v>
      </c>
      <c r="H25" s="860">
        <f t="shared" si="15"/>
        <v>145496</v>
      </c>
      <c r="I25" s="860">
        <f t="shared" si="15"/>
        <v>159854</v>
      </c>
      <c r="J25" s="860">
        <f t="shared" si="15"/>
        <v>95339</v>
      </c>
      <c r="K25" s="879"/>
      <c r="L25" s="879"/>
      <c r="M25" s="880">
        <f t="shared" ref="M25:Y25" si="16">M15+M17+M19+M21+M23</f>
        <v>28211</v>
      </c>
      <c r="P25" s="1387" t="s">
        <v>331</v>
      </c>
      <c r="Q25" s="859">
        <f t="shared" si="16"/>
        <v>2086329</v>
      </c>
      <c r="R25" s="860">
        <f t="shared" si="16"/>
        <v>175828</v>
      </c>
      <c r="S25" s="860">
        <f t="shared" si="16"/>
        <v>171309</v>
      </c>
      <c r="T25" s="860">
        <f t="shared" si="16"/>
        <v>103520</v>
      </c>
      <c r="U25" s="860">
        <f t="shared" si="16"/>
        <v>58947</v>
      </c>
      <c r="V25" s="860">
        <f t="shared" si="16"/>
        <v>39843</v>
      </c>
      <c r="W25" s="860">
        <f t="shared" si="16"/>
        <v>83648</v>
      </c>
      <c r="X25" s="860">
        <f t="shared" si="16"/>
        <v>77230</v>
      </c>
      <c r="Y25" s="860">
        <f t="shared" si="16"/>
        <v>47470</v>
      </c>
      <c r="Z25" s="925"/>
      <c r="AA25" s="925"/>
      <c r="AB25" s="896">
        <f>AB15+AB17+AB19+AB21+AB23</f>
        <v>20647</v>
      </c>
    </row>
    <row r="26" spans="1:40">
      <c r="A26" s="1388"/>
      <c r="B26" s="861"/>
      <c r="C26" s="852">
        <f t="shared" ref="C26:J26" si="17">C25/$B25</f>
        <v>0.15978160683190401</v>
      </c>
      <c r="D26" s="862">
        <f t="shared" si="17"/>
        <v>0.15202635825893199</v>
      </c>
      <c r="E26" s="862">
        <f t="shared" si="17"/>
        <v>6.9730612957016894E-2</v>
      </c>
      <c r="F26" s="862">
        <f t="shared" si="17"/>
        <v>3.5672226192513298E-2</v>
      </c>
      <c r="G26" s="862">
        <f t="shared" si="17"/>
        <v>2.7785646463237602E-2</v>
      </c>
      <c r="H26" s="862">
        <f t="shared" si="17"/>
        <v>6.9737802618858299E-2</v>
      </c>
      <c r="I26" s="862">
        <f t="shared" si="17"/>
        <v>7.6619746933489399E-2</v>
      </c>
      <c r="J26" s="862">
        <f t="shared" si="17"/>
        <v>4.5697011353434701E-2</v>
      </c>
      <c r="K26" s="881"/>
      <c r="L26" s="881"/>
      <c r="M26" s="882">
        <f t="shared" si="12"/>
        <v>1.35218366806002E-2</v>
      </c>
      <c r="P26" s="1388"/>
      <c r="Q26" s="861"/>
      <c r="R26" s="858"/>
      <c r="S26" s="862"/>
      <c r="T26" s="862"/>
      <c r="U26" s="862"/>
      <c r="V26" s="862"/>
      <c r="W26" s="862"/>
      <c r="X26" s="862"/>
      <c r="Y26" s="862"/>
      <c r="Z26" s="926"/>
      <c r="AA26" s="926"/>
      <c r="AB26" s="897"/>
    </row>
    <row r="27" spans="1:40">
      <c r="A27" s="848" t="s">
        <v>59</v>
      </c>
      <c r="B27" s="849">
        <v>94995</v>
      </c>
      <c r="C27" s="849">
        <v>23315</v>
      </c>
      <c r="D27" s="849">
        <v>13100</v>
      </c>
      <c r="E27" s="849">
        <v>11457</v>
      </c>
      <c r="F27" s="849">
        <v>5947</v>
      </c>
      <c r="G27" s="849">
        <v>4043</v>
      </c>
      <c r="H27" s="849">
        <v>11042</v>
      </c>
      <c r="I27" s="849">
        <v>16666</v>
      </c>
      <c r="J27" s="883"/>
      <c r="K27" s="884"/>
      <c r="L27" s="884"/>
      <c r="M27" s="875">
        <v>1379</v>
      </c>
      <c r="P27" s="848" t="s">
        <v>59</v>
      </c>
      <c r="Q27" s="849">
        <v>94995</v>
      </c>
      <c r="R27" s="899">
        <v>11787</v>
      </c>
      <c r="S27" s="849">
        <v>8627</v>
      </c>
      <c r="T27" s="849">
        <v>8054</v>
      </c>
      <c r="U27" s="849">
        <v>4676</v>
      </c>
      <c r="V27" s="849">
        <v>2712</v>
      </c>
      <c r="W27" s="849">
        <v>6307</v>
      </c>
      <c r="X27" s="849">
        <v>7995</v>
      </c>
      <c r="Y27" s="883"/>
      <c r="Z27" s="927"/>
      <c r="AA27" s="927"/>
      <c r="AB27" s="887">
        <v>901</v>
      </c>
    </row>
    <row r="28" spans="1:40">
      <c r="A28" s="850"/>
      <c r="B28" s="851"/>
      <c r="C28" s="852">
        <v>0.24543397020895799</v>
      </c>
      <c r="D28" s="852">
        <v>0.13790199484183399</v>
      </c>
      <c r="E28" s="852">
        <v>0.120606347702511</v>
      </c>
      <c r="F28" s="852">
        <v>6.26032949102584E-2</v>
      </c>
      <c r="G28" s="852">
        <v>4.25601347439339E-2</v>
      </c>
      <c r="H28" s="852">
        <v>0.11623769672088</v>
      </c>
      <c r="I28" s="852">
        <v>0.17544081267435099</v>
      </c>
      <c r="J28" s="853">
        <v>0</v>
      </c>
      <c r="K28" s="885"/>
      <c r="L28" s="885"/>
      <c r="M28" s="874">
        <v>1.45165535028159E-2</v>
      </c>
      <c r="P28" s="850"/>
      <c r="Q28" s="851"/>
      <c r="R28" s="852"/>
      <c r="S28" s="852"/>
      <c r="T28" s="852"/>
      <c r="U28" s="852"/>
      <c r="V28" s="852"/>
      <c r="W28" s="852"/>
      <c r="X28" s="852"/>
      <c r="Y28" s="853"/>
      <c r="Z28" s="928"/>
      <c r="AA28" s="928"/>
      <c r="AB28" s="898"/>
    </row>
    <row r="29" spans="1:40">
      <c r="A29" s="863" t="s">
        <v>332</v>
      </c>
      <c r="B29" s="849">
        <v>2181324</v>
      </c>
      <c r="C29" s="849">
        <v>356672</v>
      </c>
      <c r="D29" s="849">
        <v>330277</v>
      </c>
      <c r="E29" s="849">
        <v>156938</v>
      </c>
      <c r="F29" s="849">
        <v>80371</v>
      </c>
      <c r="G29" s="849">
        <v>62013</v>
      </c>
      <c r="H29" s="849">
        <v>156538</v>
      </c>
      <c r="I29" s="849">
        <v>176520</v>
      </c>
      <c r="J29" s="849">
        <v>95339</v>
      </c>
      <c r="K29" s="886"/>
      <c r="L29" s="886"/>
      <c r="M29" s="887">
        <v>29590</v>
      </c>
      <c r="P29" s="863" t="s">
        <v>333</v>
      </c>
      <c r="Q29" s="849">
        <v>2181324</v>
      </c>
      <c r="R29" s="849">
        <v>187615</v>
      </c>
      <c r="S29" s="849">
        <v>179936</v>
      </c>
      <c r="T29" s="849">
        <v>111574</v>
      </c>
      <c r="U29" s="849">
        <v>63623</v>
      </c>
      <c r="V29" s="849">
        <v>42555</v>
      </c>
      <c r="W29" s="849">
        <v>89955</v>
      </c>
      <c r="X29" s="849">
        <v>85225</v>
      </c>
      <c r="Y29" s="849">
        <v>47470</v>
      </c>
      <c r="Z29" s="886"/>
      <c r="AA29" s="886"/>
      <c r="AB29" s="887">
        <v>21548</v>
      </c>
    </row>
    <row r="30" spans="1:40">
      <c r="A30" s="864"/>
      <c r="B30" s="865"/>
      <c r="C30" s="866">
        <v>0.16351170206718499</v>
      </c>
      <c r="D30" s="866">
        <v>0.15141125298213401</v>
      </c>
      <c r="E30" s="866">
        <v>7.1946212483794195E-2</v>
      </c>
      <c r="F30" s="866">
        <v>3.6845053738005E-2</v>
      </c>
      <c r="G30" s="866">
        <v>2.8429064183037499E-2</v>
      </c>
      <c r="H30" s="866">
        <v>7.1762837616053399E-2</v>
      </c>
      <c r="I30" s="866">
        <v>8.0923329134048899E-2</v>
      </c>
      <c r="J30" s="866">
        <v>4.3706941288868602E-2</v>
      </c>
      <c r="K30" s="888"/>
      <c r="L30" s="888"/>
      <c r="M30" s="889">
        <v>1.3565155841131301E-2</v>
      </c>
      <c r="P30" s="864"/>
      <c r="Q30" s="865"/>
      <c r="R30" s="866"/>
      <c r="S30" s="866"/>
      <c r="T30" s="866"/>
      <c r="U30" s="866"/>
      <c r="V30" s="866"/>
      <c r="W30" s="866"/>
      <c r="X30" s="866"/>
      <c r="Y30" s="866"/>
      <c r="Z30" s="888"/>
      <c r="AA30" s="888"/>
      <c r="AB30" s="889"/>
    </row>
    <row r="32" spans="1:40">
      <c r="A32" t="s">
        <v>334</v>
      </c>
      <c r="B32" t="s">
        <v>335</v>
      </c>
      <c r="P32" t="s">
        <v>334</v>
      </c>
      <c r="Q32" t="s">
        <v>335</v>
      </c>
    </row>
    <row r="35" spans="1:40">
      <c r="A35" s="843" t="s">
        <v>309</v>
      </c>
      <c r="C35" s="843">
        <v>2019</v>
      </c>
      <c r="P35" s="843" t="s">
        <v>309</v>
      </c>
      <c r="R35" s="843">
        <f>C35</f>
        <v>2019</v>
      </c>
      <c r="AD35" t="s">
        <v>310</v>
      </c>
      <c r="AF35">
        <f>R35</f>
        <v>2019</v>
      </c>
    </row>
    <row r="37" spans="1:40" ht="15.6">
      <c r="A37" s="1384" t="s">
        <v>311</v>
      </c>
      <c r="B37" s="1377" t="s">
        <v>312</v>
      </c>
      <c r="C37" s="1368" t="s">
        <v>313</v>
      </c>
      <c r="D37" s="1368"/>
      <c r="E37" s="1368"/>
      <c r="F37" s="1368"/>
      <c r="G37" s="1368"/>
      <c r="H37" s="1368"/>
      <c r="I37" s="1368"/>
      <c r="J37" s="1368"/>
      <c r="K37" s="867"/>
      <c r="L37" s="890"/>
      <c r="M37" s="1374" t="s">
        <v>314</v>
      </c>
      <c r="P37" s="1384" t="s">
        <v>311</v>
      </c>
      <c r="Q37" s="1377" t="s">
        <v>312</v>
      </c>
      <c r="R37" s="1368" t="s">
        <v>313</v>
      </c>
      <c r="S37" s="1368"/>
      <c r="T37" s="1368"/>
      <c r="U37" s="1368"/>
      <c r="V37" s="1368"/>
      <c r="W37" s="1368"/>
      <c r="X37" s="1368"/>
      <c r="Y37" s="1368"/>
      <c r="Z37" s="867"/>
      <c r="AA37" s="890"/>
      <c r="AB37" s="1371" t="s">
        <v>314</v>
      </c>
      <c r="AD37" s="900" t="s">
        <v>315</v>
      </c>
      <c r="AE37" s="901" t="s">
        <v>316</v>
      </c>
      <c r="AF37" s="902" t="s">
        <v>317</v>
      </c>
      <c r="AG37" s="902"/>
      <c r="AH37" s="902"/>
      <c r="AI37" s="902"/>
      <c r="AJ37" s="902"/>
      <c r="AK37" s="930"/>
      <c r="AL37" s="930"/>
      <c r="AM37" s="930"/>
      <c r="AN37" s="1371" t="s">
        <v>314</v>
      </c>
    </row>
    <row r="38" spans="1:40">
      <c r="A38" s="1385"/>
      <c r="B38" s="1378"/>
      <c r="C38" s="1369" t="s">
        <v>318</v>
      </c>
      <c r="D38" s="1370"/>
      <c r="E38" s="1370"/>
      <c r="F38" s="1370"/>
      <c r="G38" s="1370"/>
      <c r="H38" s="1370"/>
      <c r="I38" s="1370"/>
      <c r="J38" s="1370"/>
      <c r="K38" s="891"/>
      <c r="L38" s="892"/>
      <c r="M38" s="1375"/>
      <c r="P38" s="1385"/>
      <c r="Q38" s="1378"/>
      <c r="R38" s="1369" t="s">
        <v>318</v>
      </c>
      <c r="S38" s="1370"/>
      <c r="T38" s="1370"/>
      <c r="U38" s="1370"/>
      <c r="V38" s="1370"/>
      <c r="W38" s="1370"/>
      <c r="X38" s="1370"/>
      <c r="Y38" s="1370"/>
      <c r="Z38" s="929"/>
      <c r="AA38" s="892"/>
      <c r="AB38" s="1372"/>
      <c r="AD38" s="903" t="s">
        <v>319</v>
      </c>
      <c r="AE38" s="904" t="s">
        <v>320</v>
      </c>
      <c r="AF38" s="905" t="s">
        <v>321</v>
      </c>
      <c r="AG38" s="905"/>
      <c r="AH38" s="905"/>
      <c r="AI38" s="905"/>
      <c r="AJ38" s="905"/>
      <c r="AK38" s="931"/>
      <c r="AL38" s="931"/>
      <c r="AM38" s="931"/>
      <c r="AN38" s="1372"/>
    </row>
    <row r="39" spans="1:40" ht="15" customHeight="1">
      <c r="A39" s="1385"/>
      <c r="B39" s="1378"/>
      <c r="C39" s="1382" t="s">
        <v>322</v>
      </c>
      <c r="D39" s="1389" t="s">
        <v>323</v>
      </c>
      <c r="E39" s="1366" t="s">
        <v>66</v>
      </c>
      <c r="F39" s="1366" t="s">
        <v>55</v>
      </c>
      <c r="G39" s="1366" t="s">
        <v>56</v>
      </c>
      <c r="H39" s="1366" t="s">
        <v>57</v>
      </c>
      <c r="I39" s="1366" t="s">
        <v>58</v>
      </c>
      <c r="J39" s="1391" t="s">
        <v>324</v>
      </c>
      <c r="K39" s="1393"/>
      <c r="L39" s="893"/>
      <c r="M39" s="1375"/>
      <c r="P39" s="1385"/>
      <c r="Q39" s="1378"/>
      <c r="R39" s="1382" t="s">
        <v>322</v>
      </c>
      <c r="S39" s="1389" t="s">
        <v>323</v>
      </c>
      <c r="T39" s="1366" t="s">
        <v>66</v>
      </c>
      <c r="U39" s="1366" t="s">
        <v>55</v>
      </c>
      <c r="V39" s="1366" t="s">
        <v>56</v>
      </c>
      <c r="W39" s="1366" t="s">
        <v>57</v>
      </c>
      <c r="X39" s="1366" t="s">
        <v>58</v>
      </c>
      <c r="Y39" s="1391" t="s">
        <v>324</v>
      </c>
      <c r="Z39" s="1393"/>
      <c r="AA39" s="893"/>
      <c r="AB39" s="1372"/>
      <c r="AD39" s="903" t="s">
        <v>325</v>
      </c>
      <c r="AE39" s="904" t="s">
        <v>61</v>
      </c>
      <c r="AF39" s="906" t="s">
        <v>326</v>
      </c>
      <c r="AG39" s="906" t="s">
        <v>327</v>
      </c>
      <c r="AH39" s="906"/>
      <c r="AI39" s="906"/>
      <c r="AJ39" s="906"/>
      <c r="AK39" s="932"/>
      <c r="AL39" s="933"/>
      <c r="AM39" s="1394" t="s">
        <v>324</v>
      </c>
      <c r="AN39" s="1375"/>
    </row>
    <row r="40" spans="1:40">
      <c r="A40" s="1386"/>
      <c r="B40" s="1379"/>
      <c r="C40" s="1383"/>
      <c r="D40" s="1390"/>
      <c r="E40" s="1367"/>
      <c r="F40" s="1367"/>
      <c r="G40" s="1367"/>
      <c r="H40" s="1367"/>
      <c r="I40" s="1367"/>
      <c r="J40" s="1392"/>
      <c r="K40" s="1392"/>
      <c r="L40" s="847"/>
      <c r="M40" s="1376"/>
      <c r="P40" s="1386"/>
      <c r="Q40" s="1379"/>
      <c r="R40" s="1383"/>
      <c r="S40" s="1390"/>
      <c r="T40" s="1367"/>
      <c r="U40" s="1367"/>
      <c r="V40" s="1367"/>
      <c r="W40" s="1367"/>
      <c r="X40" s="1367"/>
      <c r="Y40" s="1392"/>
      <c r="Z40" s="1392"/>
      <c r="AA40" s="847"/>
      <c r="AB40" s="1373"/>
      <c r="AD40" s="907"/>
      <c r="AE40" s="908"/>
      <c r="AF40" s="909" t="s">
        <v>328</v>
      </c>
      <c r="AG40" s="909" t="s">
        <v>328</v>
      </c>
      <c r="AH40" s="909" t="s">
        <v>54</v>
      </c>
      <c r="AI40" s="909" t="s">
        <v>55</v>
      </c>
      <c r="AJ40" s="909" t="s">
        <v>329</v>
      </c>
      <c r="AK40" s="934" t="s">
        <v>330</v>
      </c>
      <c r="AL40" s="935" t="s">
        <v>58</v>
      </c>
      <c r="AM40" s="1395"/>
      <c r="AN40" s="1376"/>
    </row>
    <row r="41" spans="1:40" ht="15.6">
      <c r="A41" s="848" t="s">
        <v>66</v>
      </c>
      <c r="B41" s="849">
        <v>134118</v>
      </c>
      <c r="C41" s="849">
        <v>54923</v>
      </c>
      <c r="D41" s="849">
        <v>53670</v>
      </c>
      <c r="E41" s="849"/>
      <c r="F41" s="849">
        <v>16743</v>
      </c>
      <c r="G41" s="849">
        <v>10667</v>
      </c>
      <c r="H41" s="849">
        <v>36880</v>
      </c>
      <c r="I41" s="849">
        <v>47941</v>
      </c>
      <c r="J41" s="849">
        <v>17356</v>
      </c>
      <c r="K41" s="887">
        <v>6926</v>
      </c>
      <c r="L41" s="849"/>
      <c r="M41" s="887">
        <v>7426</v>
      </c>
      <c r="P41" s="848" t="s">
        <v>66</v>
      </c>
      <c r="Q41" s="849">
        <v>134118</v>
      </c>
      <c r="R41" s="849">
        <v>38821</v>
      </c>
      <c r="S41" s="849">
        <v>38306</v>
      </c>
      <c r="T41" s="849"/>
      <c r="U41" s="849">
        <v>14771</v>
      </c>
      <c r="V41" s="849">
        <v>9548</v>
      </c>
      <c r="W41" s="849">
        <v>27208</v>
      </c>
      <c r="X41" s="849">
        <v>34261</v>
      </c>
      <c r="Y41" s="849">
        <v>12307</v>
      </c>
      <c r="Z41" s="887">
        <v>5850</v>
      </c>
      <c r="AA41" s="849"/>
      <c r="AB41" s="887">
        <v>6475</v>
      </c>
      <c r="AD41" s="910" t="s">
        <v>54</v>
      </c>
      <c r="AE41" s="911">
        <v>0.28945406284018499</v>
      </c>
      <c r="AF41" s="912">
        <f>R41/C41</f>
        <v>0.70682591992425803</v>
      </c>
      <c r="AG41" s="912">
        <f>S41/D41</f>
        <v>0.71373206633128405</v>
      </c>
      <c r="AH41" s="936"/>
      <c r="AI41" s="912">
        <f>U41/F41</f>
        <v>0.88221943498775601</v>
      </c>
      <c r="AJ41" s="912">
        <f>V41/G41</f>
        <v>0.89509702821786796</v>
      </c>
      <c r="AK41" s="912">
        <f>W41/H41</f>
        <v>0.73774403470715799</v>
      </c>
      <c r="AL41" s="912">
        <f>X41/I41</f>
        <v>0.71464925637763099</v>
      </c>
      <c r="AM41" s="939">
        <f>Y41/J41</f>
        <v>0.70909195667204405</v>
      </c>
      <c r="AN41" s="939">
        <f>AB41/M41</f>
        <v>0.87193643953676303</v>
      </c>
    </row>
    <row r="42" spans="1:40">
      <c r="A42" s="850"/>
      <c r="B42" s="851"/>
      <c r="C42" s="852">
        <f t="shared" ref="C42:J42" si="18">C41/$B41</f>
        <v>0.40951251882670497</v>
      </c>
      <c r="D42" s="852">
        <f t="shared" si="18"/>
        <v>0.40016999955263299</v>
      </c>
      <c r="E42" s="853">
        <f t="shared" si="18"/>
        <v>0</v>
      </c>
      <c r="F42" s="852">
        <f t="shared" si="18"/>
        <v>0.124837829374133</v>
      </c>
      <c r="G42" s="852">
        <f t="shared" si="18"/>
        <v>7.9534439821649594E-2</v>
      </c>
      <c r="H42" s="852">
        <f t="shared" si="18"/>
        <v>0.27498173250421298</v>
      </c>
      <c r="I42" s="852">
        <f t="shared" si="18"/>
        <v>0.35745388389328803</v>
      </c>
      <c r="J42" s="852">
        <f t="shared" si="18"/>
        <v>0.12940843138132099</v>
      </c>
      <c r="K42" s="874">
        <f t="shared" ref="K42" si="19">K41/$B41</f>
        <v>5.1641092172564497E-2</v>
      </c>
      <c r="L42" s="852"/>
      <c r="M42" s="874">
        <f t="shared" ref="M42" si="20">M41/$B41</f>
        <v>5.5369152537317903E-2</v>
      </c>
      <c r="P42" s="850"/>
      <c r="Q42" s="851"/>
      <c r="R42" s="852"/>
      <c r="S42" s="852"/>
      <c r="T42" s="853"/>
      <c r="U42" s="852"/>
      <c r="V42" s="852"/>
      <c r="W42" s="852"/>
      <c r="X42" s="852"/>
      <c r="Y42" s="852"/>
      <c r="Z42" s="874"/>
      <c r="AA42" s="852"/>
      <c r="AB42" s="874"/>
      <c r="AD42" s="914"/>
      <c r="AE42" s="915"/>
      <c r="AF42" s="916"/>
      <c r="AG42" s="940"/>
      <c r="AH42" s="916"/>
      <c r="AI42" s="916"/>
      <c r="AJ42" s="916"/>
      <c r="AK42" s="941"/>
      <c r="AL42" s="942"/>
      <c r="AM42" s="943"/>
      <c r="AN42" s="915"/>
    </row>
    <row r="43" spans="1:40">
      <c r="A43" s="854" t="s">
        <v>55</v>
      </c>
      <c r="B43" s="849">
        <v>219138</v>
      </c>
      <c r="C43" s="855">
        <v>66430</v>
      </c>
      <c r="D43" s="855">
        <v>64693</v>
      </c>
      <c r="E43" s="855">
        <v>23727</v>
      </c>
      <c r="F43" s="855"/>
      <c r="G43" s="855">
        <v>13230</v>
      </c>
      <c r="H43" s="855">
        <v>45134</v>
      </c>
      <c r="I43" s="855">
        <v>52823</v>
      </c>
      <c r="J43" s="855">
        <v>14451</v>
      </c>
      <c r="K43" s="894">
        <v>5696</v>
      </c>
      <c r="L43" s="855"/>
      <c r="M43" s="894">
        <v>5321</v>
      </c>
      <c r="P43" s="854" t="s">
        <v>55</v>
      </c>
      <c r="Q43" s="849">
        <v>219138</v>
      </c>
      <c r="R43" s="855">
        <v>32969</v>
      </c>
      <c r="S43" s="855">
        <v>32887</v>
      </c>
      <c r="T43" s="855">
        <v>15388</v>
      </c>
      <c r="U43" s="855"/>
      <c r="V43" s="855">
        <v>9192</v>
      </c>
      <c r="W43" s="855">
        <v>25494</v>
      </c>
      <c r="X43" s="855">
        <v>26831</v>
      </c>
      <c r="Y43" s="855">
        <v>2406</v>
      </c>
      <c r="Z43" s="894">
        <v>4532</v>
      </c>
      <c r="AA43" s="855"/>
      <c r="AB43" s="894">
        <v>4412</v>
      </c>
      <c r="AD43" s="910" t="s">
        <v>55</v>
      </c>
      <c r="AE43" s="918">
        <v>0.15044857578329601</v>
      </c>
      <c r="AF43" s="912">
        <f>R43/C43</f>
        <v>0.4962968538311</v>
      </c>
      <c r="AG43" s="912">
        <f>S43/D43</f>
        <v>0.50835484519190599</v>
      </c>
      <c r="AH43" s="912">
        <f>T43/E43</f>
        <v>0.64854385299447903</v>
      </c>
      <c r="AI43" s="912"/>
      <c r="AJ43" s="912">
        <f>V43/G43</f>
        <v>0.69478458049886604</v>
      </c>
      <c r="AK43" s="912">
        <f>W43/H43</f>
        <v>0.56485133159037504</v>
      </c>
      <c r="AL43" s="912">
        <f>X43/I43</f>
        <v>0.50794161634136603</v>
      </c>
      <c r="AM43" s="945">
        <f>Y43/J43</f>
        <v>0.16649366825825199</v>
      </c>
      <c r="AN43" s="945">
        <f>AB43/M43</f>
        <v>0.82916744972749501</v>
      </c>
    </row>
    <row r="44" spans="1:40">
      <c r="A44" s="850"/>
      <c r="B44" s="851"/>
      <c r="C44" s="852">
        <f t="shared" ref="C44:J44" si="21">C43/$B43</f>
        <v>0.30314231215033399</v>
      </c>
      <c r="D44" s="852">
        <f t="shared" si="21"/>
        <v>0.29521580008944098</v>
      </c>
      <c r="E44" s="852">
        <f t="shared" si="21"/>
        <v>0.10827423815130199</v>
      </c>
      <c r="F44" s="853">
        <f t="shared" si="21"/>
        <v>0</v>
      </c>
      <c r="G44" s="852">
        <f t="shared" si="21"/>
        <v>6.0372915696958102E-2</v>
      </c>
      <c r="H44" s="852">
        <f t="shared" si="21"/>
        <v>0.20596154021666699</v>
      </c>
      <c r="I44" s="852">
        <f t="shared" si="21"/>
        <v>0.241049019339412</v>
      </c>
      <c r="J44" s="852">
        <f t="shared" si="21"/>
        <v>6.5944747145634294E-2</v>
      </c>
      <c r="K44" s="874">
        <f t="shared" ref="K44" si="22">K43/$B43</f>
        <v>2.5992753424782598E-2</v>
      </c>
      <c r="L44" s="852"/>
      <c r="M44" s="874">
        <f t="shared" ref="M44" si="23">M43/$B43</f>
        <v>2.42815029798574E-2</v>
      </c>
      <c r="P44" s="850"/>
      <c r="Q44" s="851"/>
      <c r="R44" s="852"/>
      <c r="S44" s="852"/>
      <c r="T44" s="852"/>
      <c r="U44" s="853"/>
      <c r="V44" s="852"/>
      <c r="W44" s="852"/>
      <c r="X44" s="852"/>
      <c r="Y44" s="852"/>
      <c r="Z44" s="874"/>
      <c r="AA44" s="852"/>
      <c r="AB44" s="874"/>
      <c r="AD44" s="914"/>
      <c r="AE44" s="915"/>
      <c r="AF44" s="916"/>
      <c r="AG44" s="940"/>
      <c r="AH44" s="916"/>
      <c r="AI44" s="916"/>
      <c r="AJ44" s="916"/>
      <c r="AK44" s="941"/>
      <c r="AL44" s="942"/>
      <c r="AM44" s="943"/>
      <c r="AN44" s="915"/>
    </row>
    <row r="45" spans="1:40">
      <c r="A45" s="848" t="s">
        <v>56</v>
      </c>
      <c r="B45" s="849">
        <v>170377</v>
      </c>
      <c r="C45" s="849">
        <v>29326</v>
      </c>
      <c r="D45" s="849">
        <v>29143</v>
      </c>
      <c r="E45" s="849">
        <v>10866</v>
      </c>
      <c r="F45" s="849">
        <v>5935</v>
      </c>
      <c r="G45" s="849"/>
      <c r="H45" s="849">
        <v>17266</v>
      </c>
      <c r="I45" s="849">
        <v>26746</v>
      </c>
      <c r="J45" s="849">
        <v>3131</v>
      </c>
      <c r="K45" s="887">
        <v>3496</v>
      </c>
      <c r="L45" s="849"/>
      <c r="M45" s="887">
        <v>3513</v>
      </c>
      <c r="P45" s="848" t="s">
        <v>56</v>
      </c>
      <c r="Q45" s="849">
        <v>170377</v>
      </c>
      <c r="R45" s="849">
        <v>13001</v>
      </c>
      <c r="S45" s="849">
        <v>12927</v>
      </c>
      <c r="T45" s="849">
        <v>6745</v>
      </c>
      <c r="U45" s="849">
        <v>4231</v>
      </c>
      <c r="V45" s="849"/>
      <c r="W45" s="849">
        <v>8009</v>
      </c>
      <c r="X45" s="849">
        <v>10472</v>
      </c>
      <c r="Y45" s="849">
        <v>1080</v>
      </c>
      <c r="Z45" s="887">
        <v>2636</v>
      </c>
      <c r="AA45" s="849"/>
      <c r="AB45" s="887">
        <v>2693</v>
      </c>
      <c r="AD45" s="910" t="s">
        <v>56</v>
      </c>
      <c r="AE45" s="918">
        <v>7.6307248044043499E-2</v>
      </c>
      <c r="AF45" s="912">
        <f>R45/C45</f>
        <v>0.44332674077610301</v>
      </c>
      <c r="AG45" s="912">
        <f>S45/D45</f>
        <v>0.44357135504237699</v>
      </c>
      <c r="AH45" s="912">
        <f>T45/E45</f>
        <v>0.62074360390208005</v>
      </c>
      <c r="AI45" s="912">
        <f>U45/F45</f>
        <v>0.71288963774220704</v>
      </c>
      <c r="AJ45" s="912"/>
      <c r="AK45" s="912">
        <f>W45/H45</f>
        <v>0.46385960847909202</v>
      </c>
      <c r="AL45" s="912">
        <f>X45/I45</f>
        <v>0.39153518283107802</v>
      </c>
      <c r="AM45" s="945">
        <f>Y45/J45</f>
        <v>0.34493771957840902</v>
      </c>
      <c r="AN45" s="945">
        <f>AB45/M45</f>
        <v>0.76658126957016803</v>
      </c>
    </row>
    <row r="46" spans="1:40">
      <c r="A46" s="850"/>
      <c r="B46" s="851"/>
      <c r="C46" s="852">
        <f t="shared" ref="C46:J46" si="24">C45/$B45</f>
        <v>0.17212417168984101</v>
      </c>
      <c r="D46" s="852">
        <f t="shared" si="24"/>
        <v>0.17105008305111599</v>
      </c>
      <c r="E46" s="852">
        <f t="shared" si="24"/>
        <v>6.3776213925588507E-2</v>
      </c>
      <c r="F46" s="852">
        <f t="shared" si="24"/>
        <v>3.48345140482577E-2</v>
      </c>
      <c r="G46" s="853">
        <f t="shared" si="24"/>
        <v>0</v>
      </c>
      <c r="H46" s="852">
        <f t="shared" si="24"/>
        <v>0.101339969596835</v>
      </c>
      <c r="I46" s="852">
        <f t="shared" si="24"/>
        <v>0.15698128268486899</v>
      </c>
      <c r="J46" s="852">
        <f t="shared" si="24"/>
        <v>1.83768935947927E-2</v>
      </c>
      <c r="K46" s="874">
        <f t="shared" ref="K46" si="25">K45/$B45</f>
        <v>2.0519201535418499E-2</v>
      </c>
      <c r="L46" s="852"/>
      <c r="M46" s="874">
        <f t="shared" ref="M46" si="26">M45/$B45</f>
        <v>2.0618980261420301E-2</v>
      </c>
      <c r="P46" s="850"/>
      <c r="Q46" s="851"/>
      <c r="R46" s="852"/>
      <c r="S46" s="852"/>
      <c r="T46" s="852"/>
      <c r="U46" s="852"/>
      <c r="V46" s="853"/>
      <c r="W46" s="852"/>
      <c r="X46" s="852"/>
      <c r="Y46" s="852"/>
      <c r="Z46" s="874"/>
      <c r="AA46" s="852"/>
      <c r="AB46" s="874"/>
      <c r="AD46" s="910"/>
      <c r="AE46" s="915"/>
      <c r="AF46" s="916"/>
      <c r="AG46" s="940"/>
      <c r="AH46" s="916"/>
      <c r="AI46" s="916"/>
      <c r="AJ46" s="916"/>
      <c r="AK46" s="941"/>
      <c r="AL46" s="942"/>
      <c r="AM46" s="943"/>
      <c r="AN46" s="915"/>
    </row>
    <row r="47" spans="1:40" ht="15.6">
      <c r="A47" s="854" t="s">
        <v>57</v>
      </c>
      <c r="B47" s="849">
        <v>1242826</v>
      </c>
      <c r="C47" s="855">
        <v>41196</v>
      </c>
      <c r="D47" s="855">
        <v>38559</v>
      </c>
      <c r="E47" s="855">
        <v>16868</v>
      </c>
      <c r="F47" s="855">
        <v>9768</v>
      </c>
      <c r="G47" s="855">
        <v>4877</v>
      </c>
      <c r="H47" s="855"/>
      <c r="I47" s="855">
        <v>32197</v>
      </c>
      <c r="J47" s="855">
        <v>8102</v>
      </c>
      <c r="K47" s="894">
        <v>2468</v>
      </c>
      <c r="L47" s="855"/>
      <c r="M47" s="894">
        <v>2884</v>
      </c>
      <c r="P47" s="854" t="s">
        <v>57</v>
      </c>
      <c r="Q47" s="849">
        <v>1242826</v>
      </c>
      <c r="R47" s="855">
        <v>23499</v>
      </c>
      <c r="S47" s="855">
        <v>22840</v>
      </c>
      <c r="T47" s="855">
        <v>12753</v>
      </c>
      <c r="U47" s="855">
        <v>6500</v>
      </c>
      <c r="V47" s="855">
        <v>4312</v>
      </c>
      <c r="W47" s="855"/>
      <c r="X47" s="855">
        <v>19382</v>
      </c>
      <c r="Y47" s="855">
        <v>3665</v>
      </c>
      <c r="Z47" s="894">
        <v>2043</v>
      </c>
      <c r="AA47" s="855"/>
      <c r="AB47" s="894">
        <v>2418</v>
      </c>
      <c r="AD47" s="919" t="s">
        <v>57</v>
      </c>
      <c r="AE47" s="918">
        <v>1.89077151588396E-2</v>
      </c>
      <c r="AF47" s="912">
        <f>R47/C47</f>
        <v>0.57041945819982498</v>
      </c>
      <c r="AG47" s="912">
        <f>S47/D47</f>
        <v>0.59233901294120705</v>
      </c>
      <c r="AH47" s="912">
        <f>T47/E47</f>
        <v>0.75604695281005496</v>
      </c>
      <c r="AI47" s="912">
        <f>U47/F47</f>
        <v>0.66543816543816503</v>
      </c>
      <c r="AJ47" s="912">
        <f>V47/G47</f>
        <v>0.88415009226983798</v>
      </c>
      <c r="AK47" s="936"/>
      <c r="AL47" s="912">
        <f>X47/I47</f>
        <v>0.601981551076187</v>
      </c>
      <c r="AM47" s="945">
        <f>Y47/J47</f>
        <v>0.45235744260676403</v>
      </c>
      <c r="AN47" s="945">
        <f>AB47/M47</f>
        <v>0.83841886269070698</v>
      </c>
    </row>
    <row r="48" spans="1:40" ht="15.6">
      <c r="A48" s="850"/>
      <c r="B48" s="851"/>
      <c r="C48" s="852">
        <f t="shared" ref="C48:J48" si="27">C47/$B47</f>
        <v>3.3147037477490801E-2</v>
      </c>
      <c r="D48" s="852">
        <f t="shared" si="27"/>
        <v>3.1025260173185899E-2</v>
      </c>
      <c r="E48" s="852">
        <f t="shared" si="27"/>
        <v>1.35722941103582E-2</v>
      </c>
      <c r="F48" s="852">
        <f t="shared" si="27"/>
        <v>7.8595072842055098E-3</v>
      </c>
      <c r="G48" s="852">
        <f t="shared" si="27"/>
        <v>3.9241213170628899E-3</v>
      </c>
      <c r="H48" s="853">
        <f t="shared" si="27"/>
        <v>0</v>
      </c>
      <c r="I48" s="852">
        <f t="shared" si="27"/>
        <v>2.5906281329808E-2</v>
      </c>
      <c r="J48" s="852">
        <f t="shared" si="27"/>
        <v>6.51901392471673E-3</v>
      </c>
      <c r="K48" s="874">
        <f t="shared" ref="K48" si="28">K47/$B47</f>
        <v>1.9857968854851801E-3</v>
      </c>
      <c r="L48" s="852"/>
      <c r="M48" s="874">
        <f t="shared" ref="M48" si="29">M47/$B47</f>
        <v>2.3205179164259501E-3</v>
      </c>
      <c r="P48" s="850"/>
      <c r="Q48" s="851"/>
      <c r="R48" s="852"/>
      <c r="S48" s="852"/>
      <c r="T48" s="852"/>
      <c r="U48" s="852"/>
      <c r="V48" s="852"/>
      <c r="W48" s="853"/>
      <c r="X48" s="852"/>
      <c r="Y48" s="852"/>
      <c r="Z48" s="874"/>
      <c r="AA48" s="852"/>
      <c r="AB48" s="874"/>
      <c r="AD48" s="919"/>
      <c r="AE48" s="920"/>
      <c r="AF48" s="912"/>
      <c r="AG48" s="946"/>
      <c r="AH48" s="936"/>
      <c r="AI48" s="936"/>
      <c r="AJ48" s="936"/>
      <c r="AK48" s="947"/>
      <c r="AL48" s="937"/>
      <c r="AM48" s="944"/>
      <c r="AN48" s="945"/>
    </row>
    <row r="49" spans="1:40" ht="15.6">
      <c r="A49" s="848" t="s">
        <v>58</v>
      </c>
      <c r="B49" s="849">
        <v>248498</v>
      </c>
      <c r="C49" s="849">
        <v>96457</v>
      </c>
      <c r="D49" s="849">
        <v>88837</v>
      </c>
      <c r="E49" s="849">
        <v>72103</v>
      </c>
      <c r="F49" s="849">
        <v>31774</v>
      </c>
      <c r="G49" s="849">
        <v>23620</v>
      </c>
      <c r="H49" s="849">
        <v>62361</v>
      </c>
      <c r="I49" s="849"/>
      <c r="J49" s="849">
        <v>47778</v>
      </c>
      <c r="K49" s="887">
        <v>13208</v>
      </c>
      <c r="L49" s="849"/>
      <c r="M49" s="887">
        <v>14714</v>
      </c>
      <c r="P49" s="848" t="s">
        <v>58</v>
      </c>
      <c r="Q49" s="849">
        <v>248498</v>
      </c>
      <c r="R49" s="849">
        <v>64838</v>
      </c>
      <c r="S49" s="849">
        <v>62273</v>
      </c>
      <c r="T49" s="849">
        <v>54728</v>
      </c>
      <c r="U49" s="849">
        <v>27983</v>
      </c>
      <c r="V49" s="849">
        <v>20104</v>
      </c>
      <c r="W49" s="849">
        <v>43293</v>
      </c>
      <c r="X49" s="849"/>
      <c r="Y49" s="849">
        <v>27745</v>
      </c>
      <c r="Z49" s="887">
        <v>11573</v>
      </c>
      <c r="AA49" s="849"/>
      <c r="AB49" s="887">
        <v>13343</v>
      </c>
      <c r="AD49" s="919" t="s">
        <v>58</v>
      </c>
      <c r="AE49" s="918">
        <v>0.26091960498675998</v>
      </c>
      <c r="AF49" s="912">
        <f t="shared" ref="AF49:AK49" si="30">R49/C49</f>
        <v>0.67219590076407099</v>
      </c>
      <c r="AG49" s="912">
        <f t="shared" si="30"/>
        <v>0.70098044733613296</v>
      </c>
      <c r="AH49" s="912">
        <f t="shared" si="30"/>
        <v>0.75902528327531404</v>
      </c>
      <c r="AI49" s="912">
        <f t="shared" si="30"/>
        <v>0.88068861333165505</v>
      </c>
      <c r="AJ49" s="912">
        <f t="shared" si="30"/>
        <v>0.85114309906858598</v>
      </c>
      <c r="AK49" s="912">
        <f t="shared" si="30"/>
        <v>0.694231971905518</v>
      </c>
      <c r="AL49" s="954"/>
      <c r="AM49" s="945">
        <f>Y49/J49</f>
        <v>0.58070660136464503</v>
      </c>
      <c r="AN49" s="945">
        <f>AB49/M49</f>
        <v>0.90682343346472705</v>
      </c>
    </row>
    <row r="50" spans="1:40">
      <c r="A50" s="856"/>
      <c r="B50" s="857"/>
      <c r="C50" s="852">
        <f t="shared" ref="C50:J50" si="31">C49/$B49</f>
        <v>0.38816006567457301</v>
      </c>
      <c r="D50" s="858">
        <f t="shared" si="31"/>
        <v>0.35749583497653897</v>
      </c>
      <c r="E50" s="858">
        <f t="shared" si="31"/>
        <v>0.29015525275857401</v>
      </c>
      <c r="F50" s="858">
        <f t="shared" si="31"/>
        <v>0.12786420816264099</v>
      </c>
      <c r="G50" s="858">
        <f t="shared" si="31"/>
        <v>9.5051066809390794E-2</v>
      </c>
      <c r="H50" s="858">
        <f t="shared" si="31"/>
        <v>0.25095171792127102</v>
      </c>
      <c r="I50" s="876">
        <f t="shared" si="31"/>
        <v>0</v>
      </c>
      <c r="J50" s="858">
        <f t="shared" si="31"/>
        <v>0.192267140983026</v>
      </c>
      <c r="K50" s="895">
        <f t="shared" ref="K50" si="32">K49/$B49</f>
        <v>5.3151333209925197E-2</v>
      </c>
      <c r="L50" s="858"/>
      <c r="M50" s="895">
        <f t="shared" ref="M50" si="33">M49/$B49</f>
        <v>5.9211744158906697E-2</v>
      </c>
      <c r="P50" s="856"/>
      <c r="Q50" s="857"/>
      <c r="R50" s="852"/>
      <c r="S50" s="858"/>
      <c r="T50" s="858"/>
      <c r="U50" s="858"/>
      <c r="V50" s="858"/>
      <c r="W50" s="858"/>
      <c r="X50" s="876"/>
      <c r="Y50" s="858"/>
      <c r="Z50" s="895"/>
      <c r="AA50" s="858"/>
      <c r="AB50" s="895"/>
      <c r="AD50" s="922"/>
      <c r="AE50" s="923"/>
      <c r="AF50" s="924"/>
      <c r="AG50" s="924"/>
      <c r="AH50" s="949"/>
      <c r="AI50" s="949"/>
      <c r="AJ50" s="949"/>
      <c r="AK50" s="950"/>
      <c r="AL50" s="951"/>
      <c r="AM50" s="952"/>
      <c r="AN50" s="953"/>
    </row>
    <row r="51" spans="1:40">
      <c r="A51" s="1380" t="s">
        <v>331</v>
      </c>
      <c r="B51" s="859">
        <f t="shared" ref="B51:J51" si="34">B41+B43+B45+B47+B49</f>
        <v>2014957</v>
      </c>
      <c r="C51" s="860">
        <f t="shared" si="34"/>
        <v>288332</v>
      </c>
      <c r="D51" s="860">
        <f t="shared" si="34"/>
        <v>274902</v>
      </c>
      <c r="E51" s="860">
        <f t="shared" si="34"/>
        <v>123564</v>
      </c>
      <c r="F51" s="860">
        <f t="shared" si="34"/>
        <v>64220</v>
      </c>
      <c r="G51" s="860">
        <f t="shared" si="34"/>
        <v>52394</v>
      </c>
      <c r="H51" s="860">
        <f t="shared" si="34"/>
        <v>161641</v>
      </c>
      <c r="I51" s="860">
        <f t="shared" si="34"/>
        <v>159707</v>
      </c>
      <c r="J51" s="860">
        <f t="shared" si="34"/>
        <v>90818</v>
      </c>
      <c r="K51" s="896">
        <f t="shared" ref="K51" si="35">K41+K43+K45+K47+K49</f>
        <v>31794</v>
      </c>
      <c r="L51" s="860"/>
      <c r="M51" s="896">
        <f t="shared" ref="M51" si="36">M41+M43+M45+M47+M49</f>
        <v>33858</v>
      </c>
      <c r="P51" s="1380" t="s">
        <v>331</v>
      </c>
      <c r="Q51" s="859">
        <f t="shared" ref="Q51:Y51" si="37">Q41+Q43+Q45+Q47+Q49</f>
        <v>2014957</v>
      </c>
      <c r="R51" s="860">
        <f t="shared" si="37"/>
        <v>173128</v>
      </c>
      <c r="S51" s="860">
        <f t="shared" si="37"/>
        <v>169233</v>
      </c>
      <c r="T51" s="860">
        <f t="shared" si="37"/>
        <v>89614</v>
      </c>
      <c r="U51" s="860">
        <f t="shared" si="37"/>
        <v>53485</v>
      </c>
      <c r="V51" s="860">
        <f t="shared" si="37"/>
        <v>43156</v>
      </c>
      <c r="W51" s="860">
        <f t="shared" si="37"/>
        <v>104004</v>
      </c>
      <c r="X51" s="860">
        <f t="shared" si="37"/>
        <v>90946</v>
      </c>
      <c r="Y51" s="860">
        <f t="shared" si="37"/>
        <v>47203</v>
      </c>
      <c r="Z51" s="896">
        <f t="shared" ref="Z51" si="38">Z41+Z43+Z45+Z47+Z49</f>
        <v>26634</v>
      </c>
      <c r="AA51" s="860"/>
      <c r="AB51" s="896">
        <f t="shared" ref="AB51" si="39">AB41+AB43+AB45+AB47+AB49</f>
        <v>29341</v>
      </c>
    </row>
    <row r="52" spans="1:40">
      <c r="A52" s="1381"/>
      <c r="B52" s="861"/>
      <c r="C52" s="852">
        <f t="shared" ref="C52:J52" si="40">C51/$B51</f>
        <v>0.14309585762872401</v>
      </c>
      <c r="D52" s="862">
        <f t="shared" si="40"/>
        <v>0.13643070298770599</v>
      </c>
      <c r="E52" s="862">
        <f t="shared" si="40"/>
        <v>6.1323393005409003E-2</v>
      </c>
      <c r="F52" s="862">
        <f t="shared" si="40"/>
        <v>3.1871647881319597E-2</v>
      </c>
      <c r="G52" s="862">
        <f t="shared" si="40"/>
        <v>2.6002540004575799E-2</v>
      </c>
      <c r="H52" s="862">
        <f t="shared" si="40"/>
        <v>8.0220570463786597E-2</v>
      </c>
      <c r="I52" s="862">
        <f t="shared" si="40"/>
        <v>7.9260748492399599E-2</v>
      </c>
      <c r="J52" s="862">
        <f t="shared" si="40"/>
        <v>4.5071929574675797E-2</v>
      </c>
      <c r="K52" s="897">
        <f t="shared" ref="K52" si="41">K51/$B51</f>
        <v>1.5778996772635799E-2</v>
      </c>
      <c r="L52" s="862"/>
      <c r="M52" s="897">
        <f t="shared" ref="M52" si="42">M51/$B51</f>
        <v>1.6803336249855499E-2</v>
      </c>
      <c r="P52" s="1381"/>
      <c r="Q52" s="861"/>
      <c r="R52" s="858"/>
      <c r="S52" s="862"/>
      <c r="T52" s="862"/>
      <c r="U52" s="862"/>
      <c r="V52" s="862"/>
      <c r="W52" s="862"/>
      <c r="X52" s="862"/>
      <c r="Y52" s="862"/>
      <c r="Z52" s="897"/>
      <c r="AA52" s="862"/>
      <c r="AB52" s="897"/>
    </row>
    <row r="53" spans="1:40">
      <c r="A53" s="848" t="s">
        <v>59</v>
      </c>
      <c r="B53" s="849">
        <v>90090</v>
      </c>
      <c r="C53" s="849">
        <v>20562</v>
      </c>
      <c r="D53" s="849">
        <v>9476</v>
      </c>
      <c r="E53" s="849">
        <v>7333</v>
      </c>
      <c r="F53" s="849">
        <v>3698</v>
      </c>
      <c r="G53" s="849">
        <v>2484</v>
      </c>
      <c r="H53" s="849">
        <v>8687</v>
      </c>
      <c r="I53" s="849">
        <v>16483</v>
      </c>
      <c r="J53" s="883"/>
      <c r="K53" s="887">
        <v>990</v>
      </c>
      <c r="L53" s="883"/>
      <c r="M53" s="887">
        <v>1101</v>
      </c>
      <c r="P53" s="848" t="s">
        <v>59</v>
      </c>
      <c r="Q53" s="849">
        <v>90090</v>
      </c>
      <c r="R53" s="899">
        <v>7893</v>
      </c>
      <c r="S53" s="849">
        <v>5717</v>
      </c>
      <c r="T53" s="849">
        <v>5568</v>
      </c>
      <c r="U53" s="849">
        <v>2814</v>
      </c>
      <c r="V53" s="849">
        <v>1831</v>
      </c>
      <c r="W53" s="849">
        <v>4480</v>
      </c>
      <c r="X53" s="849">
        <v>5759</v>
      </c>
      <c r="Y53" s="883"/>
      <c r="Z53" s="887">
        <v>783</v>
      </c>
      <c r="AA53" s="883"/>
      <c r="AB53" s="887">
        <v>912</v>
      </c>
    </row>
    <row r="54" spans="1:40">
      <c r="A54" s="850"/>
      <c r="B54" s="851"/>
      <c r="C54" s="852">
        <f t="shared" ref="C54:J54" si="43">C53/$B53</f>
        <v>0.22823842823842799</v>
      </c>
      <c r="D54" s="852">
        <f t="shared" si="43"/>
        <v>0.105183705183705</v>
      </c>
      <c r="E54" s="852">
        <f t="shared" si="43"/>
        <v>8.1396381396381404E-2</v>
      </c>
      <c r="F54" s="852">
        <f t="shared" si="43"/>
        <v>4.1047841047840997E-2</v>
      </c>
      <c r="G54" s="852">
        <f t="shared" si="43"/>
        <v>2.7572427572427598E-2</v>
      </c>
      <c r="H54" s="852">
        <f t="shared" si="43"/>
        <v>9.6425796425796406E-2</v>
      </c>
      <c r="I54" s="852">
        <f t="shared" si="43"/>
        <v>0.18296148296148301</v>
      </c>
      <c r="J54" s="853">
        <f t="shared" si="43"/>
        <v>0</v>
      </c>
      <c r="K54" s="898">
        <f t="shared" ref="K54" si="44">K53/$B53</f>
        <v>1.0989010989011E-2</v>
      </c>
      <c r="L54" s="853"/>
      <c r="M54" s="898">
        <f t="shared" ref="M54" si="45">M53/$B53</f>
        <v>1.2221112221112201E-2</v>
      </c>
      <c r="P54" s="850"/>
      <c r="Q54" s="851"/>
      <c r="R54" s="852"/>
      <c r="S54" s="852"/>
      <c r="T54" s="852"/>
      <c r="U54" s="852"/>
      <c r="V54" s="852"/>
      <c r="W54" s="852"/>
      <c r="X54" s="852"/>
      <c r="Y54" s="853"/>
      <c r="Z54" s="898"/>
      <c r="AA54" s="853"/>
      <c r="AB54" s="898"/>
    </row>
    <row r="55" spans="1:40">
      <c r="A55" s="848" t="s">
        <v>332</v>
      </c>
      <c r="B55" s="849">
        <f t="shared" ref="B55:J55" si="46">B51+B53</f>
        <v>2105047</v>
      </c>
      <c r="C55" s="849">
        <f t="shared" si="46"/>
        <v>308894</v>
      </c>
      <c r="D55" s="849">
        <f t="shared" si="46"/>
        <v>284378</v>
      </c>
      <c r="E55" s="849">
        <f t="shared" si="46"/>
        <v>130897</v>
      </c>
      <c r="F55" s="849">
        <f t="shared" si="46"/>
        <v>67918</v>
      </c>
      <c r="G55" s="849">
        <f t="shared" si="46"/>
        <v>54878</v>
      </c>
      <c r="H55" s="849">
        <f t="shared" si="46"/>
        <v>170328</v>
      </c>
      <c r="I55" s="849">
        <f t="shared" si="46"/>
        <v>176190</v>
      </c>
      <c r="J55" s="849">
        <f t="shared" si="46"/>
        <v>90818</v>
      </c>
      <c r="K55" s="887">
        <f t="shared" ref="K55" si="47">K51+K53</f>
        <v>32784</v>
      </c>
      <c r="L55" s="849"/>
      <c r="M55" s="887">
        <f t="shared" ref="M55" si="48">M51+M53</f>
        <v>34959</v>
      </c>
      <c r="P55" s="848" t="s">
        <v>333</v>
      </c>
      <c r="Q55" s="849">
        <f t="shared" ref="Q55:Y55" si="49">Q51+Q53</f>
        <v>2105047</v>
      </c>
      <c r="R55" s="849">
        <f t="shared" si="49"/>
        <v>181021</v>
      </c>
      <c r="S55" s="849">
        <f t="shared" si="49"/>
        <v>174950</v>
      </c>
      <c r="T55" s="849">
        <f t="shared" si="49"/>
        <v>95182</v>
      </c>
      <c r="U55" s="849">
        <f t="shared" si="49"/>
        <v>56299</v>
      </c>
      <c r="V55" s="849">
        <f t="shared" si="49"/>
        <v>44987</v>
      </c>
      <c r="W55" s="849">
        <f t="shared" si="49"/>
        <v>108484</v>
      </c>
      <c r="X55" s="849">
        <f t="shared" si="49"/>
        <v>96705</v>
      </c>
      <c r="Y55" s="849">
        <f t="shared" si="49"/>
        <v>47203</v>
      </c>
      <c r="Z55" s="887">
        <f t="shared" ref="Z55" si="50">Z51+Z53</f>
        <v>27417</v>
      </c>
      <c r="AA55" s="849"/>
      <c r="AB55" s="887">
        <f t="shared" ref="AB55" si="51">AB51+AB53</f>
        <v>30253</v>
      </c>
    </row>
    <row r="56" spans="1:40">
      <c r="A56" s="864"/>
      <c r="B56" s="865"/>
      <c r="C56" s="866">
        <f t="shared" ref="C56:J56" si="52">C55/$B55</f>
        <v>0.146739716500392</v>
      </c>
      <c r="D56" s="866">
        <f t="shared" si="52"/>
        <v>0.135093420716972</v>
      </c>
      <c r="E56" s="866">
        <f t="shared" si="52"/>
        <v>6.21824595840378E-2</v>
      </c>
      <c r="F56" s="866">
        <f t="shared" si="52"/>
        <v>3.2264362743444699E-2</v>
      </c>
      <c r="G56" s="866">
        <f t="shared" si="52"/>
        <v>2.6069726709189899E-2</v>
      </c>
      <c r="H56" s="866">
        <f t="shared" si="52"/>
        <v>8.0914107856024098E-2</v>
      </c>
      <c r="I56" s="866">
        <f t="shared" si="52"/>
        <v>8.3698843778785004E-2</v>
      </c>
      <c r="J56" s="866">
        <f t="shared" si="52"/>
        <v>4.3142979705441301E-2</v>
      </c>
      <c r="K56" s="889">
        <f t="shared" ref="K56" si="53">K55/$B55</f>
        <v>1.55739990603535E-2</v>
      </c>
      <c r="L56" s="866"/>
      <c r="M56" s="889">
        <f t="shared" ref="M56" si="54">M55/$B55</f>
        <v>1.6607230147355399E-2</v>
      </c>
      <c r="P56" s="864"/>
      <c r="Q56" s="865"/>
      <c r="R56" s="866"/>
      <c r="S56" s="866"/>
      <c r="T56" s="866"/>
      <c r="U56" s="866"/>
      <c r="V56" s="866"/>
      <c r="W56" s="866"/>
      <c r="X56" s="866"/>
      <c r="Y56" s="866"/>
      <c r="Z56" s="889"/>
      <c r="AA56" s="866"/>
      <c r="AB56" s="889"/>
    </row>
    <row r="58" spans="1:40">
      <c r="A58" t="s">
        <v>334</v>
      </c>
      <c r="B58" t="s">
        <v>336</v>
      </c>
      <c r="P58" t="s">
        <v>334</v>
      </c>
      <c r="Q58" t="s">
        <v>337</v>
      </c>
    </row>
    <row r="60" spans="1:40">
      <c r="P60" t="s">
        <v>308</v>
      </c>
    </row>
    <row r="61" spans="1:40">
      <c r="A61" s="843" t="s">
        <v>309</v>
      </c>
      <c r="C61" s="843">
        <v>2018</v>
      </c>
      <c r="P61" s="843" t="s">
        <v>309</v>
      </c>
      <c r="R61" s="843">
        <f>C61</f>
        <v>2018</v>
      </c>
      <c r="AD61" t="s">
        <v>310</v>
      </c>
      <c r="AF61">
        <f>R61</f>
        <v>2018</v>
      </c>
    </row>
    <row r="63" spans="1:40" ht="15.6">
      <c r="A63" s="1384" t="s">
        <v>311</v>
      </c>
      <c r="B63" s="1377" t="s">
        <v>312</v>
      </c>
      <c r="C63" s="1368" t="s">
        <v>313</v>
      </c>
      <c r="D63" s="1368"/>
      <c r="E63" s="1368"/>
      <c r="F63" s="1368"/>
      <c r="G63" s="1368"/>
      <c r="H63" s="1368"/>
      <c r="I63" s="1368"/>
      <c r="J63" s="1368"/>
      <c r="K63" s="867"/>
      <c r="L63" s="890"/>
      <c r="M63" s="1374" t="s">
        <v>314</v>
      </c>
      <c r="P63" s="1384" t="s">
        <v>311</v>
      </c>
      <c r="Q63" s="1377" t="s">
        <v>312</v>
      </c>
      <c r="R63" s="1368" t="s">
        <v>313</v>
      </c>
      <c r="S63" s="1368"/>
      <c r="T63" s="1368"/>
      <c r="U63" s="1368"/>
      <c r="V63" s="1368"/>
      <c r="W63" s="1368"/>
      <c r="X63" s="1368"/>
      <c r="Y63" s="1368"/>
      <c r="Z63" s="867"/>
      <c r="AA63" s="890"/>
      <c r="AB63" s="1371" t="s">
        <v>314</v>
      </c>
      <c r="AD63" s="900" t="s">
        <v>315</v>
      </c>
      <c r="AE63" s="901" t="s">
        <v>316</v>
      </c>
      <c r="AF63" s="902" t="s">
        <v>317</v>
      </c>
      <c r="AG63" s="902"/>
      <c r="AH63" s="902"/>
      <c r="AI63" s="902"/>
      <c r="AJ63" s="902"/>
      <c r="AK63" s="930"/>
      <c r="AL63" s="930"/>
      <c r="AM63" s="930"/>
      <c r="AN63" s="1371" t="s">
        <v>314</v>
      </c>
    </row>
    <row r="64" spans="1:40">
      <c r="A64" s="1385"/>
      <c r="B64" s="1378"/>
      <c r="C64" s="1369" t="s">
        <v>318</v>
      </c>
      <c r="D64" s="1370"/>
      <c r="E64" s="1370"/>
      <c r="F64" s="1370"/>
      <c r="G64" s="1370"/>
      <c r="H64" s="1370"/>
      <c r="I64" s="1370"/>
      <c r="J64" s="1370"/>
      <c r="K64" s="891"/>
      <c r="L64" s="892"/>
      <c r="M64" s="1375"/>
      <c r="P64" s="1385"/>
      <c r="Q64" s="1378"/>
      <c r="R64" s="1369" t="s">
        <v>318</v>
      </c>
      <c r="S64" s="1370"/>
      <c r="T64" s="1370"/>
      <c r="U64" s="1370"/>
      <c r="V64" s="1370"/>
      <c r="W64" s="1370"/>
      <c r="X64" s="1370"/>
      <c r="Y64" s="1370"/>
      <c r="Z64" s="929"/>
      <c r="AA64" s="892"/>
      <c r="AB64" s="1372"/>
      <c r="AD64" s="903" t="s">
        <v>319</v>
      </c>
      <c r="AE64" s="904" t="s">
        <v>320</v>
      </c>
      <c r="AF64" s="905" t="s">
        <v>321</v>
      </c>
      <c r="AG64" s="905"/>
      <c r="AH64" s="905"/>
      <c r="AI64" s="905"/>
      <c r="AJ64" s="905"/>
      <c r="AK64" s="931"/>
      <c r="AL64" s="931"/>
      <c r="AM64" s="931"/>
      <c r="AN64" s="1372"/>
    </row>
    <row r="65" spans="1:40" ht="15" customHeight="1">
      <c r="A65" s="1385"/>
      <c r="B65" s="1378"/>
      <c r="C65" s="1382" t="s">
        <v>322</v>
      </c>
      <c r="D65" s="1389" t="s">
        <v>323</v>
      </c>
      <c r="E65" s="1366" t="s">
        <v>66</v>
      </c>
      <c r="F65" s="1366" t="s">
        <v>55</v>
      </c>
      <c r="G65" s="1366" t="s">
        <v>56</v>
      </c>
      <c r="H65" s="1366" t="s">
        <v>57</v>
      </c>
      <c r="I65" s="1366" t="s">
        <v>58</v>
      </c>
      <c r="J65" s="1391" t="s">
        <v>324</v>
      </c>
      <c r="K65" s="1393"/>
      <c r="L65" s="893"/>
      <c r="M65" s="1375"/>
      <c r="P65" s="1385"/>
      <c r="Q65" s="1378"/>
      <c r="R65" s="1382" t="s">
        <v>322</v>
      </c>
      <c r="S65" s="1389" t="s">
        <v>323</v>
      </c>
      <c r="T65" s="1366" t="s">
        <v>66</v>
      </c>
      <c r="U65" s="1366" t="s">
        <v>55</v>
      </c>
      <c r="V65" s="1366" t="s">
        <v>56</v>
      </c>
      <c r="W65" s="1366" t="s">
        <v>57</v>
      </c>
      <c r="X65" s="1366" t="s">
        <v>58</v>
      </c>
      <c r="Y65" s="1391" t="s">
        <v>324</v>
      </c>
      <c r="Z65" s="1393"/>
      <c r="AA65" s="893"/>
      <c r="AB65" s="1372"/>
      <c r="AD65" s="903" t="s">
        <v>325</v>
      </c>
      <c r="AE65" s="904" t="s">
        <v>61</v>
      </c>
      <c r="AF65" s="906" t="s">
        <v>326</v>
      </c>
      <c r="AG65" s="906" t="s">
        <v>327</v>
      </c>
      <c r="AH65" s="906"/>
      <c r="AI65" s="906"/>
      <c r="AJ65" s="906"/>
      <c r="AK65" s="932"/>
      <c r="AL65" s="933"/>
      <c r="AM65" s="1394" t="s">
        <v>324</v>
      </c>
      <c r="AN65" s="1375"/>
    </row>
    <row r="66" spans="1:40">
      <c r="A66" s="1386"/>
      <c r="B66" s="1379"/>
      <c r="C66" s="1383"/>
      <c r="D66" s="1390"/>
      <c r="E66" s="1367"/>
      <c r="F66" s="1367"/>
      <c r="G66" s="1367"/>
      <c r="H66" s="1367"/>
      <c r="I66" s="1367"/>
      <c r="J66" s="1392"/>
      <c r="K66" s="1392"/>
      <c r="L66" s="847"/>
      <c r="M66" s="1376"/>
      <c r="P66" s="1386"/>
      <c r="Q66" s="1379"/>
      <c r="R66" s="1383"/>
      <c r="S66" s="1390"/>
      <c r="T66" s="1367"/>
      <c r="U66" s="1367"/>
      <c r="V66" s="1367"/>
      <c r="W66" s="1367"/>
      <c r="X66" s="1367"/>
      <c r="Y66" s="1392"/>
      <c r="Z66" s="1392"/>
      <c r="AA66" s="847"/>
      <c r="AB66" s="1373"/>
      <c r="AD66" s="907"/>
      <c r="AE66" s="908"/>
      <c r="AF66" s="909" t="s">
        <v>328</v>
      </c>
      <c r="AG66" s="909" t="s">
        <v>328</v>
      </c>
      <c r="AH66" s="909" t="s">
        <v>54</v>
      </c>
      <c r="AI66" s="909" t="s">
        <v>55</v>
      </c>
      <c r="AJ66" s="909" t="s">
        <v>329</v>
      </c>
      <c r="AK66" s="934" t="s">
        <v>330</v>
      </c>
      <c r="AL66" s="935" t="s">
        <v>58</v>
      </c>
      <c r="AM66" s="1395"/>
      <c r="AN66" s="1376"/>
    </row>
    <row r="67" spans="1:40" ht="15.6">
      <c r="A67" s="848" t="s">
        <v>66</v>
      </c>
      <c r="B67" s="849">
        <v>130840</v>
      </c>
      <c r="C67" s="849">
        <v>54342</v>
      </c>
      <c r="D67" s="849">
        <v>52870</v>
      </c>
      <c r="E67" s="849"/>
      <c r="F67" s="849">
        <v>15708</v>
      </c>
      <c r="G67" s="849">
        <v>10070</v>
      </c>
      <c r="H67" s="849">
        <v>36208</v>
      </c>
      <c r="I67" s="849">
        <v>47347</v>
      </c>
      <c r="J67" s="849">
        <v>17884</v>
      </c>
      <c r="K67" s="887">
        <v>6926</v>
      </c>
      <c r="L67" s="849"/>
      <c r="M67" s="887">
        <v>6926</v>
      </c>
      <c r="P67" s="848" t="s">
        <v>66</v>
      </c>
      <c r="Q67" s="849">
        <v>130840</v>
      </c>
      <c r="R67" s="849">
        <v>36995</v>
      </c>
      <c r="S67" s="849">
        <v>36466</v>
      </c>
      <c r="T67" s="849"/>
      <c r="U67" s="849">
        <v>13358</v>
      </c>
      <c r="V67" s="849">
        <v>8607</v>
      </c>
      <c r="W67" s="849">
        <v>25923</v>
      </c>
      <c r="X67" s="849">
        <v>32707</v>
      </c>
      <c r="Y67" s="849">
        <v>11999</v>
      </c>
      <c r="Z67" s="887">
        <v>5850</v>
      </c>
      <c r="AA67" s="849"/>
      <c r="AB67" s="887">
        <v>5850</v>
      </c>
      <c r="AD67" s="910" t="s">
        <v>54</v>
      </c>
      <c r="AE67" s="911">
        <v>0.282749923570773</v>
      </c>
      <c r="AF67" s="912">
        <f>R67/C67</f>
        <v>0.68078097972102602</v>
      </c>
      <c r="AG67" s="912">
        <f>S67/D67</f>
        <v>0.68972952525061504</v>
      </c>
      <c r="AH67" s="936"/>
      <c r="AI67" s="912">
        <f>U67/F67</f>
        <v>0.85039470333587996</v>
      </c>
      <c r="AJ67" s="912">
        <f>V67/G67</f>
        <v>0.85471698113207595</v>
      </c>
      <c r="AK67" s="912">
        <f>W67/H67</f>
        <v>0.71594675209898395</v>
      </c>
      <c r="AL67" s="912">
        <f>X67/I67</f>
        <v>0.69079350328426303</v>
      </c>
      <c r="AM67" s="939">
        <f>Y67/J67</f>
        <v>0.67093491388950999</v>
      </c>
      <c r="AN67" s="939">
        <f>AB67/M67</f>
        <v>0.84464337279815205</v>
      </c>
    </row>
    <row r="68" spans="1:40">
      <c r="A68" s="850"/>
      <c r="B68" s="851"/>
      <c r="C68" s="852">
        <f t="shared" ref="C68:K68" si="55">C67/$B67</f>
        <v>0.41533170284316701</v>
      </c>
      <c r="D68" s="852">
        <f t="shared" si="55"/>
        <v>0.40408132069703501</v>
      </c>
      <c r="E68" s="853">
        <f t="shared" si="55"/>
        <v>0</v>
      </c>
      <c r="F68" s="852">
        <f t="shared" si="55"/>
        <v>0.120055029043106</v>
      </c>
      <c r="G68" s="852">
        <f t="shared" si="55"/>
        <v>7.6964231121981003E-2</v>
      </c>
      <c r="H68" s="852">
        <f t="shared" si="55"/>
        <v>0.27673494344237198</v>
      </c>
      <c r="I68" s="852">
        <f t="shared" si="55"/>
        <v>0.36186945888107602</v>
      </c>
      <c r="J68" s="852">
        <f t="shared" si="55"/>
        <v>0.136686028737389</v>
      </c>
      <c r="K68" s="874">
        <f t="shared" si="55"/>
        <v>5.2934882298991098E-2</v>
      </c>
      <c r="L68" s="852"/>
      <c r="M68" s="874">
        <f t="shared" ref="M68" si="56">M67/$B67</f>
        <v>5.2934882298991098E-2</v>
      </c>
      <c r="P68" s="850"/>
      <c r="Q68" s="851"/>
      <c r="R68" s="852"/>
      <c r="S68" s="852"/>
      <c r="T68" s="853"/>
      <c r="U68" s="852"/>
      <c r="V68" s="852"/>
      <c r="W68" s="852"/>
      <c r="X68" s="852"/>
      <c r="Y68" s="852"/>
      <c r="Z68" s="874"/>
      <c r="AA68" s="852"/>
      <c r="AB68" s="874"/>
      <c r="AD68" s="914"/>
      <c r="AE68" s="915"/>
      <c r="AF68" s="916"/>
      <c r="AG68" s="940"/>
      <c r="AH68" s="916"/>
      <c r="AI68" s="916"/>
      <c r="AJ68" s="916"/>
      <c r="AK68" s="941"/>
      <c r="AL68" s="942"/>
      <c r="AM68" s="943"/>
      <c r="AN68" s="915"/>
    </row>
    <row r="69" spans="1:40">
      <c r="A69" s="854" t="s">
        <v>55</v>
      </c>
      <c r="B69" s="849">
        <v>228705</v>
      </c>
      <c r="C69" s="855">
        <v>70530</v>
      </c>
      <c r="D69" s="855">
        <v>68305</v>
      </c>
      <c r="E69" s="855">
        <v>24859</v>
      </c>
      <c r="F69" s="855"/>
      <c r="G69" s="855">
        <v>13930</v>
      </c>
      <c r="H69" s="855">
        <v>46450</v>
      </c>
      <c r="I69" s="855">
        <v>56459</v>
      </c>
      <c r="J69" s="855">
        <v>16208</v>
      </c>
      <c r="K69" s="894">
        <v>5696</v>
      </c>
      <c r="L69" s="855"/>
      <c r="M69" s="894">
        <v>5696</v>
      </c>
      <c r="P69" s="854" t="s">
        <v>55</v>
      </c>
      <c r="Q69" s="849">
        <v>228705</v>
      </c>
      <c r="R69" s="855">
        <v>34168</v>
      </c>
      <c r="S69" s="855">
        <v>34052</v>
      </c>
      <c r="T69" s="855">
        <v>15306</v>
      </c>
      <c r="U69" s="855"/>
      <c r="V69" s="855">
        <v>9504</v>
      </c>
      <c r="W69" s="855">
        <v>25573</v>
      </c>
      <c r="X69" s="855">
        <v>27746</v>
      </c>
      <c r="Y69" s="855">
        <v>3228</v>
      </c>
      <c r="Z69" s="894">
        <v>4532</v>
      </c>
      <c r="AA69" s="855"/>
      <c r="AB69" s="894">
        <v>4532</v>
      </c>
      <c r="AD69" s="910" t="s">
        <v>55</v>
      </c>
      <c r="AE69" s="918">
        <v>0.149397695721563</v>
      </c>
      <c r="AF69" s="912">
        <f>R69/C69</f>
        <v>0.48444633489295302</v>
      </c>
      <c r="AG69" s="912">
        <f>S69/D69</f>
        <v>0.498528658224142</v>
      </c>
      <c r="AH69" s="912">
        <f>T69/E69</f>
        <v>0.61571261917213105</v>
      </c>
      <c r="AI69" s="912"/>
      <c r="AJ69" s="912">
        <f>V69/G69</f>
        <v>0.68226848528356099</v>
      </c>
      <c r="AK69" s="912">
        <f>W69/H69</f>
        <v>0.55054897739504804</v>
      </c>
      <c r="AL69" s="912">
        <f>X69/I69</f>
        <v>0.49143626348323599</v>
      </c>
      <c r="AM69" s="945">
        <f>Y69/J69</f>
        <v>0.199160908193485</v>
      </c>
      <c r="AN69" s="945">
        <f>AB69/M69</f>
        <v>0.79564606741572996</v>
      </c>
    </row>
    <row r="70" spans="1:40">
      <c r="A70" s="850"/>
      <c r="B70" s="851"/>
      <c r="C70" s="852">
        <f t="shared" ref="C70:K70" si="57">C69/$B69</f>
        <v>0.30838853544959699</v>
      </c>
      <c r="D70" s="852">
        <f t="shared" si="57"/>
        <v>0.29865984565269699</v>
      </c>
      <c r="E70" s="852">
        <f t="shared" si="57"/>
        <v>0.108694606589274</v>
      </c>
      <c r="F70" s="853">
        <f t="shared" si="57"/>
        <v>0</v>
      </c>
      <c r="G70" s="852">
        <f t="shared" si="57"/>
        <v>6.0908156795872401E-2</v>
      </c>
      <c r="H70" s="852">
        <f t="shared" si="57"/>
        <v>0.20310006340045</v>
      </c>
      <c r="I70" s="852">
        <f t="shared" si="57"/>
        <v>0.24686386392951601</v>
      </c>
      <c r="J70" s="852">
        <f t="shared" si="57"/>
        <v>7.0868586169956893E-2</v>
      </c>
      <c r="K70" s="874">
        <f t="shared" si="57"/>
        <v>2.4905445880063801E-2</v>
      </c>
      <c r="L70" s="852"/>
      <c r="M70" s="874">
        <f t="shared" ref="M70" si="58">M69/$B69</f>
        <v>2.4905445880063801E-2</v>
      </c>
      <c r="P70" s="850"/>
      <c r="Q70" s="851"/>
      <c r="R70" s="852"/>
      <c r="S70" s="852"/>
      <c r="T70" s="852"/>
      <c r="U70" s="853"/>
      <c r="V70" s="852"/>
      <c r="W70" s="852"/>
      <c r="X70" s="852"/>
      <c r="Y70" s="852"/>
      <c r="Z70" s="874"/>
      <c r="AA70" s="852"/>
      <c r="AB70" s="874"/>
      <c r="AD70" s="914"/>
      <c r="AE70" s="915"/>
      <c r="AF70" s="916"/>
      <c r="AG70" s="940"/>
      <c r="AH70" s="916"/>
      <c r="AI70" s="916"/>
      <c r="AJ70" s="916"/>
      <c r="AK70" s="941"/>
      <c r="AL70" s="942"/>
      <c r="AM70" s="943"/>
      <c r="AN70" s="915"/>
    </row>
    <row r="71" spans="1:40">
      <c r="A71" s="848" t="s">
        <v>56</v>
      </c>
      <c r="B71" s="849">
        <v>161646</v>
      </c>
      <c r="C71" s="849">
        <v>26452</v>
      </c>
      <c r="D71" s="849">
        <v>26257</v>
      </c>
      <c r="E71" s="849">
        <v>9628</v>
      </c>
      <c r="F71" s="849">
        <v>5901</v>
      </c>
      <c r="G71" s="849"/>
      <c r="H71" s="849">
        <v>16896</v>
      </c>
      <c r="I71" s="849">
        <v>23743</v>
      </c>
      <c r="J71" s="849">
        <v>3198</v>
      </c>
      <c r="K71" s="887">
        <v>3496</v>
      </c>
      <c r="L71" s="849"/>
      <c r="M71" s="887">
        <v>3496</v>
      </c>
      <c r="P71" s="848" t="s">
        <v>56</v>
      </c>
      <c r="Q71" s="849">
        <v>161646</v>
      </c>
      <c r="R71" s="849">
        <v>12129</v>
      </c>
      <c r="S71" s="849">
        <v>12056</v>
      </c>
      <c r="T71" s="849">
        <v>6062</v>
      </c>
      <c r="U71" s="849">
        <v>4224</v>
      </c>
      <c r="V71" s="849"/>
      <c r="W71" s="849">
        <v>7684</v>
      </c>
      <c r="X71" s="849">
        <v>9694</v>
      </c>
      <c r="Y71" s="849">
        <v>1013</v>
      </c>
      <c r="Z71" s="887">
        <v>2636</v>
      </c>
      <c r="AA71" s="849"/>
      <c r="AB71" s="887">
        <v>2636</v>
      </c>
      <c r="AD71" s="910" t="s">
        <v>56</v>
      </c>
      <c r="AE71" s="918">
        <v>7.50343342860324E-2</v>
      </c>
      <c r="AF71" s="912">
        <f>R71/C71</f>
        <v>0.45852865567821</v>
      </c>
      <c r="AG71" s="912">
        <f>S71/D71</f>
        <v>0.45915374947632998</v>
      </c>
      <c r="AH71" s="912">
        <f>T71/E71</f>
        <v>0.62962193601994199</v>
      </c>
      <c r="AI71" s="912">
        <f>U71/F71</f>
        <v>0.715810879511947</v>
      </c>
      <c r="AJ71" s="912"/>
      <c r="AK71" s="912">
        <f>W71/H71</f>
        <v>0.45478219696969702</v>
      </c>
      <c r="AL71" s="912">
        <f>X71/I71</f>
        <v>0.408288758792065</v>
      </c>
      <c r="AM71" s="945">
        <f>Y71/J71</f>
        <v>0.31676047529706097</v>
      </c>
      <c r="AN71" s="945">
        <f>AB71/M71</f>
        <v>0.75400457665903897</v>
      </c>
    </row>
    <row r="72" spans="1:40">
      <c r="A72" s="850"/>
      <c r="B72" s="851"/>
      <c r="C72" s="852">
        <f t="shared" ref="C72:K72" si="59">C71/$B71</f>
        <v>0.16364153768110601</v>
      </c>
      <c r="D72" s="852">
        <f t="shared" si="59"/>
        <v>0.162435197901587</v>
      </c>
      <c r="E72" s="852">
        <f t="shared" si="59"/>
        <v>5.9562253318980997E-2</v>
      </c>
      <c r="F72" s="852">
        <f t="shared" si="59"/>
        <v>3.6505697635574E-2</v>
      </c>
      <c r="G72" s="853">
        <f t="shared" si="59"/>
        <v>0</v>
      </c>
      <c r="H72" s="852">
        <f t="shared" si="59"/>
        <v>0.10452470212687</v>
      </c>
      <c r="I72" s="852">
        <f t="shared" si="59"/>
        <v>0.146882694282568</v>
      </c>
      <c r="J72" s="852">
        <f t="shared" si="59"/>
        <v>1.9783972384098601E-2</v>
      </c>
      <c r="K72" s="874">
        <f t="shared" si="59"/>
        <v>2.1627507021516199E-2</v>
      </c>
      <c r="L72" s="852"/>
      <c r="M72" s="874">
        <f t="shared" ref="M72" si="60">M71/$B71</f>
        <v>2.1627507021516199E-2</v>
      </c>
      <c r="P72" s="850"/>
      <c r="Q72" s="851"/>
      <c r="R72" s="852"/>
      <c r="S72" s="852"/>
      <c r="T72" s="852"/>
      <c r="U72" s="852"/>
      <c r="V72" s="853"/>
      <c r="W72" s="852"/>
      <c r="X72" s="852"/>
      <c r="Y72" s="852"/>
      <c r="Z72" s="874"/>
      <c r="AA72" s="852"/>
      <c r="AB72" s="874"/>
      <c r="AD72" s="910"/>
      <c r="AE72" s="915"/>
      <c r="AF72" s="916"/>
      <c r="AG72" s="940"/>
      <c r="AH72" s="916"/>
      <c r="AI72" s="916"/>
      <c r="AJ72" s="916"/>
      <c r="AK72" s="941"/>
      <c r="AL72" s="942"/>
      <c r="AM72" s="943"/>
      <c r="AN72" s="915"/>
    </row>
    <row r="73" spans="1:40" ht="15.6">
      <c r="A73" s="854" t="s">
        <v>57</v>
      </c>
      <c r="B73" s="849">
        <v>1393195</v>
      </c>
      <c r="C73" s="855">
        <v>35510</v>
      </c>
      <c r="D73" s="855">
        <v>33166</v>
      </c>
      <c r="E73" s="855">
        <v>13770</v>
      </c>
      <c r="F73" s="855">
        <v>7408</v>
      </c>
      <c r="G73" s="855">
        <v>4009</v>
      </c>
      <c r="H73" s="855"/>
      <c r="I73" s="855">
        <v>29772</v>
      </c>
      <c r="J73" s="855">
        <v>7632</v>
      </c>
      <c r="K73" s="894">
        <v>2468</v>
      </c>
      <c r="L73" s="855"/>
      <c r="M73" s="894">
        <v>2468</v>
      </c>
      <c r="P73" s="854" t="s">
        <v>57</v>
      </c>
      <c r="Q73" s="849">
        <v>1393195</v>
      </c>
      <c r="R73" s="855">
        <v>20525</v>
      </c>
      <c r="S73" s="855">
        <v>20020</v>
      </c>
      <c r="T73" s="855">
        <v>10744</v>
      </c>
      <c r="U73" s="855">
        <v>5517</v>
      </c>
      <c r="V73" s="855">
        <v>3542</v>
      </c>
      <c r="W73" s="855"/>
      <c r="X73" s="855">
        <v>17346</v>
      </c>
      <c r="Y73" s="855">
        <v>3468</v>
      </c>
      <c r="Z73" s="894">
        <v>2043</v>
      </c>
      <c r="AA73" s="855"/>
      <c r="AB73" s="894">
        <v>2043</v>
      </c>
      <c r="AD73" s="919" t="s">
        <v>57</v>
      </c>
      <c r="AE73" s="918">
        <v>1.47323239029712E-2</v>
      </c>
      <c r="AF73" s="912">
        <f>R73/C73</f>
        <v>0.57800619543790499</v>
      </c>
      <c r="AG73" s="912">
        <f>S73/D73</f>
        <v>0.60363022372309005</v>
      </c>
      <c r="AH73" s="912">
        <f>T73/E73</f>
        <v>0.780246913580247</v>
      </c>
      <c r="AI73" s="912">
        <f>U73/F73</f>
        <v>0.74473542116630698</v>
      </c>
      <c r="AJ73" s="912">
        <f>V73/G73</f>
        <v>0.88351209777999495</v>
      </c>
      <c r="AK73" s="936"/>
      <c r="AL73" s="912">
        <f>X73/I73</f>
        <v>0.58262797259169696</v>
      </c>
      <c r="AM73" s="945">
        <f>Y73/J73</f>
        <v>0.45440251572327001</v>
      </c>
      <c r="AN73" s="945">
        <f>AB73/M73</f>
        <v>0.82779578606158799</v>
      </c>
    </row>
    <row r="74" spans="1:40" ht="15.6">
      <c r="A74" s="850"/>
      <c r="B74" s="851"/>
      <c r="C74" s="852">
        <f t="shared" ref="C74:K74" si="61">C73/$B73</f>
        <v>2.5488176457710499E-2</v>
      </c>
      <c r="D74" s="852">
        <f t="shared" si="61"/>
        <v>2.3805712768133699E-2</v>
      </c>
      <c r="E74" s="852">
        <f t="shared" si="61"/>
        <v>9.8837564016523195E-3</v>
      </c>
      <c r="F74" s="852">
        <f t="shared" si="61"/>
        <v>5.3172743226899298E-3</v>
      </c>
      <c r="G74" s="852">
        <f t="shared" si="61"/>
        <v>2.8775584178811998E-3</v>
      </c>
      <c r="H74" s="853">
        <f t="shared" si="61"/>
        <v>0</v>
      </c>
      <c r="I74" s="852">
        <f t="shared" si="61"/>
        <v>2.1369585736382899E-2</v>
      </c>
      <c r="J74" s="852">
        <f t="shared" si="61"/>
        <v>5.4780558356870403E-3</v>
      </c>
      <c r="K74" s="874">
        <f t="shared" si="61"/>
        <v>1.7714677414145199E-3</v>
      </c>
      <c r="L74" s="852"/>
      <c r="M74" s="874">
        <f t="shared" ref="M74" si="62">M73/$B73</f>
        <v>1.7714677414145199E-3</v>
      </c>
      <c r="P74" s="850"/>
      <c r="Q74" s="851"/>
      <c r="R74" s="852"/>
      <c r="S74" s="852"/>
      <c r="T74" s="852"/>
      <c r="U74" s="852"/>
      <c r="V74" s="852"/>
      <c r="W74" s="853"/>
      <c r="X74" s="852"/>
      <c r="Y74" s="852"/>
      <c r="Z74" s="874"/>
      <c r="AA74" s="852"/>
      <c r="AB74" s="874"/>
      <c r="AD74" s="919"/>
      <c r="AE74" s="920"/>
      <c r="AF74" s="912"/>
      <c r="AG74" s="946"/>
      <c r="AH74" s="936"/>
      <c r="AI74" s="936"/>
      <c r="AJ74" s="936"/>
      <c r="AK74" s="947"/>
      <c r="AL74" s="937"/>
      <c r="AM74" s="944"/>
      <c r="AN74" s="945"/>
    </row>
    <row r="75" spans="1:40" ht="15.6">
      <c r="A75" s="848" t="s">
        <v>58</v>
      </c>
      <c r="B75" s="849">
        <v>250372</v>
      </c>
      <c r="C75" s="849">
        <v>92406</v>
      </c>
      <c r="D75" s="849">
        <v>84350</v>
      </c>
      <c r="E75" s="849">
        <v>68584</v>
      </c>
      <c r="F75" s="849">
        <v>29439</v>
      </c>
      <c r="G75" s="849">
        <v>20805</v>
      </c>
      <c r="H75" s="849">
        <v>59408</v>
      </c>
      <c r="I75" s="849"/>
      <c r="J75" s="849">
        <v>47299</v>
      </c>
      <c r="K75" s="887">
        <v>13208</v>
      </c>
      <c r="L75" s="849"/>
      <c r="M75" s="887">
        <v>13208</v>
      </c>
      <c r="P75" s="848" t="s">
        <v>58</v>
      </c>
      <c r="Q75" s="849">
        <v>250372</v>
      </c>
      <c r="R75" s="849">
        <v>60343</v>
      </c>
      <c r="S75" s="849">
        <v>57679</v>
      </c>
      <c r="T75" s="849">
        <v>50403</v>
      </c>
      <c r="U75" s="849">
        <v>24969</v>
      </c>
      <c r="V75" s="849">
        <v>17225</v>
      </c>
      <c r="W75" s="849">
        <v>39839</v>
      </c>
      <c r="X75" s="849"/>
      <c r="Y75" s="849">
        <v>25758</v>
      </c>
      <c r="Z75" s="887">
        <v>11573</v>
      </c>
      <c r="AA75" s="849"/>
      <c r="AB75" s="887">
        <v>11573</v>
      </c>
      <c r="AD75" s="919" t="s">
        <v>58</v>
      </c>
      <c r="AE75" s="918">
        <v>0.241013372102312</v>
      </c>
      <c r="AF75" s="912">
        <f t="shared" ref="AF75:AK75" si="63">R75/C75</f>
        <v>0.65302036664285901</v>
      </c>
      <c r="AG75" s="912">
        <f t="shared" si="63"/>
        <v>0.68380557202133996</v>
      </c>
      <c r="AH75" s="912">
        <f t="shared" si="63"/>
        <v>0.73490901668027497</v>
      </c>
      <c r="AI75" s="912">
        <f t="shared" si="63"/>
        <v>0.848160603281361</v>
      </c>
      <c r="AJ75" s="912">
        <f t="shared" si="63"/>
        <v>0.82792597933189105</v>
      </c>
      <c r="AK75" s="912">
        <f t="shared" si="63"/>
        <v>0.67059991920280104</v>
      </c>
      <c r="AL75" s="954"/>
      <c r="AM75" s="945">
        <f>Y75/J75</f>
        <v>0.54457810947377305</v>
      </c>
      <c r="AN75" s="945">
        <f>AB75/M75</f>
        <v>0.87621138703815904</v>
      </c>
    </row>
    <row r="76" spans="1:40">
      <c r="A76" s="856"/>
      <c r="B76" s="857"/>
      <c r="C76" s="852">
        <f t="shared" ref="C76:K76" si="64">C75/$B75</f>
        <v>0.36907481667279102</v>
      </c>
      <c r="D76" s="858">
        <f t="shared" si="64"/>
        <v>0.336898694742224</v>
      </c>
      <c r="E76" s="858">
        <f t="shared" si="64"/>
        <v>0.27392839454891099</v>
      </c>
      <c r="F76" s="858">
        <f t="shared" si="64"/>
        <v>0.117581039413353</v>
      </c>
      <c r="G76" s="858">
        <f t="shared" si="64"/>
        <v>8.3096352627290607E-2</v>
      </c>
      <c r="H76" s="858">
        <f t="shared" si="64"/>
        <v>0.23727892895371699</v>
      </c>
      <c r="I76" s="876">
        <f t="shared" si="64"/>
        <v>0</v>
      </c>
      <c r="J76" s="858">
        <f t="shared" si="64"/>
        <v>0.18891489463677999</v>
      </c>
      <c r="K76" s="895">
        <f t="shared" si="64"/>
        <v>5.2753502787851701E-2</v>
      </c>
      <c r="L76" s="858"/>
      <c r="M76" s="895">
        <f t="shared" ref="M76" si="65">M75/$B75</f>
        <v>5.2753502787851701E-2</v>
      </c>
      <c r="P76" s="856"/>
      <c r="Q76" s="857"/>
      <c r="R76" s="852"/>
      <c r="S76" s="858"/>
      <c r="T76" s="858"/>
      <c r="U76" s="858"/>
      <c r="V76" s="858"/>
      <c r="W76" s="858"/>
      <c r="X76" s="876"/>
      <c r="Y76" s="858"/>
      <c r="Z76" s="895"/>
      <c r="AA76" s="858"/>
      <c r="AB76" s="895"/>
      <c r="AD76" s="922"/>
      <c r="AE76" s="923"/>
      <c r="AF76" s="924"/>
      <c r="AG76" s="924"/>
      <c r="AH76" s="949"/>
      <c r="AI76" s="949"/>
      <c r="AJ76" s="949"/>
      <c r="AK76" s="950"/>
      <c r="AL76" s="951"/>
      <c r="AM76" s="952"/>
      <c r="AN76" s="953"/>
    </row>
    <row r="77" spans="1:40">
      <c r="A77" s="1380" t="s">
        <v>331</v>
      </c>
      <c r="B77" s="859">
        <f t="shared" ref="B77:K77" si="66">B67+B69+B71+B73+B75</f>
        <v>2164758</v>
      </c>
      <c r="C77" s="860">
        <f t="shared" si="66"/>
        <v>279240</v>
      </c>
      <c r="D77" s="860">
        <f t="shared" si="66"/>
        <v>264948</v>
      </c>
      <c r="E77" s="860">
        <f t="shared" si="66"/>
        <v>116841</v>
      </c>
      <c r="F77" s="860">
        <f t="shared" si="66"/>
        <v>58456</v>
      </c>
      <c r="G77" s="860">
        <f t="shared" si="66"/>
        <v>48814</v>
      </c>
      <c r="H77" s="860">
        <f t="shared" si="66"/>
        <v>158962</v>
      </c>
      <c r="I77" s="860">
        <f t="shared" si="66"/>
        <v>157321</v>
      </c>
      <c r="J77" s="860">
        <f t="shared" si="66"/>
        <v>92221</v>
      </c>
      <c r="K77" s="896">
        <f t="shared" si="66"/>
        <v>31794</v>
      </c>
      <c r="L77" s="860"/>
      <c r="M77" s="896">
        <f t="shared" ref="M77" si="67">M67+M69+M71+M73+M75</f>
        <v>31794</v>
      </c>
      <c r="P77" s="1380" t="s">
        <v>331</v>
      </c>
      <c r="Q77" s="859">
        <f t="shared" ref="Q77:Z77" si="68">Q67+Q69+Q71+Q73+Q75</f>
        <v>2164758</v>
      </c>
      <c r="R77" s="860">
        <f t="shared" si="68"/>
        <v>164160</v>
      </c>
      <c r="S77" s="860">
        <f t="shared" si="68"/>
        <v>160273</v>
      </c>
      <c r="T77" s="860">
        <f t="shared" si="68"/>
        <v>82515</v>
      </c>
      <c r="U77" s="860">
        <f t="shared" si="68"/>
        <v>48068</v>
      </c>
      <c r="V77" s="860">
        <f t="shared" si="68"/>
        <v>38878</v>
      </c>
      <c r="W77" s="860">
        <f t="shared" si="68"/>
        <v>99019</v>
      </c>
      <c r="X77" s="860">
        <f t="shared" si="68"/>
        <v>87493</v>
      </c>
      <c r="Y77" s="860">
        <v>45466</v>
      </c>
      <c r="Z77" s="896">
        <f t="shared" si="68"/>
        <v>26634</v>
      </c>
      <c r="AA77" s="860"/>
      <c r="AB77" s="896">
        <v>26634</v>
      </c>
    </row>
    <row r="78" spans="1:40">
      <c r="A78" s="1381"/>
      <c r="B78" s="861"/>
      <c r="C78" s="852">
        <f t="shared" ref="C78:K78" si="69">C77/$B77</f>
        <v>0.12899363346849901</v>
      </c>
      <c r="D78" s="862">
        <f t="shared" si="69"/>
        <v>0.12239150981310599</v>
      </c>
      <c r="E78" s="862">
        <f t="shared" si="69"/>
        <v>5.39741624698927E-2</v>
      </c>
      <c r="F78" s="862">
        <f t="shared" si="69"/>
        <v>2.7003480296642901E-2</v>
      </c>
      <c r="G78" s="862">
        <f t="shared" si="69"/>
        <v>2.2549402750792501E-2</v>
      </c>
      <c r="H78" s="862">
        <f t="shared" si="69"/>
        <v>7.3431764659144305E-2</v>
      </c>
      <c r="I78" s="862">
        <f t="shared" si="69"/>
        <v>7.2673712257906004E-2</v>
      </c>
      <c r="J78" s="862">
        <f t="shared" si="69"/>
        <v>4.2601066724317502E-2</v>
      </c>
      <c r="K78" s="897">
        <f t="shared" si="69"/>
        <v>1.46870920444687E-2</v>
      </c>
      <c r="L78" s="862"/>
      <c r="M78" s="897">
        <f t="shared" ref="M78" si="70">M77/$B77</f>
        <v>1.46870920444687E-2</v>
      </c>
      <c r="P78" s="1381"/>
      <c r="Q78" s="861"/>
      <c r="R78" s="858"/>
      <c r="S78" s="862"/>
      <c r="T78" s="862"/>
      <c r="U78" s="862"/>
      <c r="V78" s="862"/>
      <c r="W78" s="862"/>
      <c r="X78" s="862"/>
      <c r="Y78" s="862"/>
      <c r="Z78" s="897"/>
      <c r="AA78" s="862"/>
      <c r="AB78" s="897"/>
    </row>
    <row r="79" spans="1:40">
      <c r="A79" s="848" t="s">
        <v>59</v>
      </c>
      <c r="B79" s="849">
        <v>90428</v>
      </c>
      <c r="C79" s="849">
        <v>19966</v>
      </c>
      <c r="D79" s="849">
        <v>9016</v>
      </c>
      <c r="E79" s="849">
        <v>6862</v>
      </c>
      <c r="F79" s="849">
        <v>3402</v>
      </c>
      <c r="G79" s="849">
        <v>1885</v>
      </c>
      <c r="H79" s="849">
        <v>8373</v>
      </c>
      <c r="I79" s="849">
        <v>16263</v>
      </c>
      <c r="J79" s="883"/>
      <c r="K79" s="887">
        <v>990</v>
      </c>
      <c r="L79" s="883"/>
      <c r="M79" s="887">
        <v>990</v>
      </c>
      <c r="P79" s="848" t="s">
        <v>59</v>
      </c>
      <c r="Q79" s="849">
        <v>90428</v>
      </c>
      <c r="R79" s="899">
        <v>7038</v>
      </c>
      <c r="S79" s="849">
        <v>5074</v>
      </c>
      <c r="T79" s="849">
        <v>4816</v>
      </c>
      <c r="U79" s="849">
        <v>2384</v>
      </c>
      <c r="V79" s="849">
        <v>1425</v>
      </c>
      <c r="W79" s="849">
        <v>3761</v>
      </c>
      <c r="X79" s="849">
        <v>5451</v>
      </c>
      <c r="Y79" s="883"/>
      <c r="Z79" s="887">
        <v>783</v>
      </c>
      <c r="AA79" s="883"/>
      <c r="AB79" s="887">
        <v>783</v>
      </c>
    </row>
    <row r="80" spans="1:40">
      <c r="A80" s="850"/>
      <c r="B80" s="851"/>
      <c r="C80" s="852">
        <f t="shared" ref="C80:K80" si="71">C79/$B79</f>
        <v>0.22079444419870001</v>
      </c>
      <c r="D80" s="852">
        <f t="shared" si="71"/>
        <v>9.9703631618525204E-2</v>
      </c>
      <c r="E80" s="852">
        <f t="shared" si="71"/>
        <v>7.5883575883575902E-2</v>
      </c>
      <c r="F80" s="852">
        <f t="shared" si="71"/>
        <v>3.76210908125802E-2</v>
      </c>
      <c r="G80" s="852">
        <f t="shared" si="71"/>
        <v>2.08453133985049E-2</v>
      </c>
      <c r="H80" s="852">
        <f t="shared" si="71"/>
        <v>9.2593002167470295E-2</v>
      </c>
      <c r="I80" s="852">
        <f t="shared" si="71"/>
        <v>0.17984473835537701</v>
      </c>
      <c r="J80" s="853">
        <f t="shared" si="71"/>
        <v>0</v>
      </c>
      <c r="K80" s="898">
        <f t="shared" si="71"/>
        <v>1.09479364798514E-2</v>
      </c>
      <c r="L80" s="853"/>
      <c r="M80" s="898">
        <f t="shared" ref="M80" si="72">M79/$B79</f>
        <v>1.09479364798514E-2</v>
      </c>
      <c r="P80" s="850"/>
      <c r="Q80" s="851"/>
      <c r="R80" s="852"/>
      <c r="S80" s="852"/>
      <c r="T80" s="852"/>
      <c r="U80" s="852"/>
      <c r="V80" s="852"/>
      <c r="W80" s="852"/>
      <c r="X80" s="852"/>
      <c r="Y80" s="853"/>
      <c r="Z80" s="898"/>
      <c r="AA80" s="853"/>
      <c r="AB80" s="898"/>
    </row>
    <row r="81" spans="1:40">
      <c r="A81" s="848" t="s">
        <v>332</v>
      </c>
      <c r="B81" s="849">
        <f t="shared" ref="B81:K81" si="73">B77+B79</f>
        <v>2255186</v>
      </c>
      <c r="C81" s="849">
        <f t="shared" si="73"/>
        <v>299206</v>
      </c>
      <c r="D81" s="849">
        <f t="shared" si="73"/>
        <v>273964</v>
      </c>
      <c r="E81" s="849">
        <f t="shared" si="73"/>
        <v>123703</v>
      </c>
      <c r="F81" s="849">
        <f t="shared" si="73"/>
        <v>61858</v>
      </c>
      <c r="G81" s="849">
        <f t="shared" si="73"/>
        <v>50699</v>
      </c>
      <c r="H81" s="849">
        <f t="shared" si="73"/>
        <v>167335</v>
      </c>
      <c r="I81" s="849">
        <f t="shared" si="73"/>
        <v>173584</v>
      </c>
      <c r="J81" s="849">
        <f t="shared" si="73"/>
        <v>92221</v>
      </c>
      <c r="K81" s="887">
        <f t="shared" si="73"/>
        <v>32784</v>
      </c>
      <c r="L81" s="849"/>
      <c r="M81" s="887">
        <f t="shared" ref="M81" si="74">M77+M79</f>
        <v>32784</v>
      </c>
      <c r="P81" s="848" t="s">
        <v>333</v>
      </c>
      <c r="Q81" s="849">
        <f t="shared" ref="Q81:Z81" si="75">Q77+Q79</f>
        <v>2255186</v>
      </c>
      <c r="R81" s="849">
        <f t="shared" si="75"/>
        <v>171198</v>
      </c>
      <c r="S81" s="849">
        <f t="shared" si="75"/>
        <v>165347</v>
      </c>
      <c r="T81" s="849">
        <f t="shared" si="75"/>
        <v>87331</v>
      </c>
      <c r="U81" s="849">
        <f t="shared" si="75"/>
        <v>50452</v>
      </c>
      <c r="V81" s="849">
        <f t="shared" si="75"/>
        <v>40303</v>
      </c>
      <c r="W81" s="849">
        <f t="shared" si="75"/>
        <v>102780</v>
      </c>
      <c r="X81" s="849">
        <f t="shared" si="75"/>
        <v>92944</v>
      </c>
      <c r="Y81" s="849">
        <v>45466</v>
      </c>
      <c r="Z81" s="887">
        <f t="shared" si="75"/>
        <v>27417</v>
      </c>
      <c r="AA81" s="849"/>
      <c r="AB81" s="887">
        <v>27417</v>
      </c>
    </row>
    <row r="82" spans="1:40">
      <c r="A82" s="864"/>
      <c r="B82" s="865"/>
      <c r="C82" s="866">
        <f t="shared" ref="C82:K82" si="76">C81/$B81</f>
        <v>0.132674644131349</v>
      </c>
      <c r="D82" s="866">
        <f t="shared" si="76"/>
        <v>0.12148177578257401</v>
      </c>
      <c r="E82" s="866">
        <f t="shared" si="76"/>
        <v>5.4852681774363601E-2</v>
      </c>
      <c r="F82" s="866">
        <f t="shared" si="76"/>
        <v>2.74292231328148E-2</v>
      </c>
      <c r="G82" s="866">
        <f t="shared" si="76"/>
        <v>2.24810725146396E-2</v>
      </c>
      <c r="H82" s="866">
        <f t="shared" si="76"/>
        <v>7.4200088152374097E-2</v>
      </c>
      <c r="I82" s="866">
        <f t="shared" si="76"/>
        <v>7.6971034761655996E-2</v>
      </c>
      <c r="J82" s="866">
        <f t="shared" si="76"/>
        <v>4.0892857617952597E-2</v>
      </c>
      <c r="K82" s="889">
        <f t="shared" si="76"/>
        <v>1.45371601278121E-2</v>
      </c>
      <c r="L82" s="866"/>
      <c r="M82" s="889">
        <f t="shared" ref="M82" si="77">M81/$B81</f>
        <v>1.45371601278121E-2</v>
      </c>
      <c r="P82" s="864"/>
      <c r="Q82" s="865"/>
      <c r="R82" s="866"/>
      <c r="S82" s="866"/>
      <c r="T82" s="866"/>
      <c r="U82" s="866"/>
      <c r="V82" s="866"/>
      <c r="W82" s="866"/>
      <c r="X82" s="866"/>
      <c r="Y82" s="866"/>
      <c r="Z82" s="889"/>
      <c r="AA82" s="866"/>
      <c r="AB82" s="889"/>
    </row>
    <row r="84" spans="1:40">
      <c r="A84" t="s">
        <v>334</v>
      </c>
      <c r="B84" t="s">
        <v>337</v>
      </c>
      <c r="P84" t="s">
        <v>334</v>
      </c>
      <c r="Q84" t="s">
        <v>337</v>
      </c>
    </row>
    <row r="87" spans="1:40">
      <c r="A87" s="843" t="s">
        <v>309</v>
      </c>
      <c r="C87" s="843">
        <v>2017</v>
      </c>
      <c r="P87" s="843" t="s">
        <v>309</v>
      </c>
      <c r="R87" s="843">
        <f>C87</f>
        <v>2017</v>
      </c>
      <c r="AD87" t="s">
        <v>310</v>
      </c>
      <c r="AF87">
        <f>R87</f>
        <v>2017</v>
      </c>
    </row>
    <row r="89" spans="1:40" ht="15.6">
      <c r="A89" s="1384" t="s">
        <v>311</v>
      </c>
      <c r="B89" s="1377" t="s">
        <v>312</v>
      </c>
      <c r="C89" s="1368" t="s">
        <v>313</v>
      </c>
      <c r="D89" s="1368"/>
      <c r="E89" s="1368"/>
      <c r="F89" s="1368"/>
      <c r="G89" s="1368"/>
      <c r="H89" s="1368"/>
      <c r="I89" s="1368"/>
      <c r="J89" s="1368"/>
      <c r="K89" s="867"/>
      <c r="L89" s="890"/>
      <c r="M89" s="1371" t="s">
        <v>314</v>
      </c>
      <c r="P89" s="1384" t="s">
        <v>311</v>
      </c>
      <c r="Q89" s="1377" t="s">
        <v>312</v>
      </c>
      <c r="R89" s="1368" t="s">
        <v>313</v>
      </c>
      <c r="S89" s="1368"/>
      <c r="T89" s="1368"/>
      <c r="U89" s="1368"/>
      <c r="V89" s="1368"/>
      <c r="W89" s="1368"/>
      <c r="X89" s="1368"/>
      <c r="Y89" s="1368"/>
      <c r="Z89" s="867"/>
      <c r="AA89" s="890"/>
      <c r="AB89" s="1371" t="s">
        <v>314</v>
      </c>
      <c r="AD89" s="900" t="s">
        <v>315</v>
      </c>
      <c r="AE89" s="901" t="s">
        <v>316</v>
      </c>
      <c r="AF89" s="902" t="s">
        <v>317</v>
      </c>
      <c r="AG89" s="902"/>
      <c r="AH89" s="902"/>
      <c r="AI89" s="902"/>
      <c r="AJ89" s="902"/>
      <c r="AK89" s="930"/>
      <c r="AL89" s="930"/>
      <c r="AM89" s="930"/>
      <c r="AN89" s="1371" t="s">
        <v>314</v>
      </c>
    </row>
    <row r="90" spans="1:40">
      <c r="A90" s="1385"/>
      <c r="B90" s="1378"/>
      <c r="C90" s="1369" t="s">
        <v>318</v>
      </c>
      <c r="D90" s="1370"/>
      <c r="E90" s="1370"/>
      <c r="F90" s="1370"/>
      <c r="G90" s="1370"/>
      <c r="H90" s="1370"/>
      <c r="I90" s="1370"/>
      <c r="J90" s="1370"/>
      <c r="K90" s="929"/>
      <c r="L90" s="892"/>
      <c r="M90" s="1372"/>
      <c r="P90" s="1385"/>
      <c r="Q90" s="1378"/>
      <c r="R90" s="1369" t="s">
        <v>318</v>
      </c>
      <c r="S90" s="1370"/>
      <c r="T90" s="1370"/>
      <c r="U90" s="1370"/>
      <c r="V90" s="1370"/>
      <c r="W90" s="1370"/>
      <c r="X90" s="1370"/>
      <c r="Y90" s="1370"/>
      <c r="Z90" s="929"/>
      <c r="AA90" s="892"/>
      <c r="AB90" s="1372"/>
      <c r="AD90" s="903" t="s">
        <v>319</v>
      </c>
      <c r="AE90" s="904" t="s">
        <v>320</v>
      </c>
      <c r="AF90" s="905" t="s">
        <v>321</v>
      </c>
      <c r="AG90" s="905"/>
      <c r="AH90" s="905"/>
      <c r="AI90" s="905"/>
      <c r="AJ90" s="905"/>
      <c r="AK90" s="931"/>
      <c r="AL90" s="931"/>
      <c r="AM90" s="931"/>
      <c r="AN90" s="1372"/>
    </row>
    <row r="91" spans="1:40">
      <c r="A91" s="1385"/>
      <c r="B91" s="1378"/>
      <c r="C91" s="1382" t="s">
        <v>322</v>
      </c>
      <c r="D91" s="1389" t="s">
        <v>323</v>
      </c>
      <c r="E91" s="1366" t="s">
        <v>66</v>
      </c>
      <c r="F91" s="1366" t="s">
        <v>55</v>
      </c>
      <c r="G91" s="1366" t="s">
        <v>56</v>
      </c>
      <c r="H91" s="1366" t="s">
        <v>57</v>
      </c>
      <c r="I91" s="1366" t="s">
        <v>58</v>
      </c>
      <c r="J91" s="1391" t="s">
        <v>324</v>
      </c>
      <c r="K91" s="1393"/>
      <c r="L91" s="893"/>
      <c r="M91" s="1372"/>
      <c r="P91" s="1385"/>
      <c r="Q91" s="1378"/>
      <c r="R91" s="1382" t="s">
        <v>322</v>
      </c>
      <c r="S91" s="1389" t="s">
        <v>323</v>
      </c>
      <c r="T91" s="1366" t="s">
        <v>66</v>
      </c>
      <c r="U91" s="1366" t="s">
        <v>55</v>
      </c>
      <c r="V91" s="1366" t="s">
        <v>56</v>
      </c>
      <c r="W91" s="1366" t="s">
        <v>57</v>
      </c>
      <c r="X91" s="1366" t="s">
        <v>58</v>
      </c>
      <c r="Y91" s="1391" t="s">
        <v>324</v>
      </c>
      <c r="Z91" s="1393"/>
      <c r="AA91" s="893"/>
      <c r="AB91" s="1372"/>
      <c r="AD91" s="903" t="s">
        <v>325</v>
      </c>
      <c r="AE91" s="904" t="s">
        <v>61</v>
      </c>
      <c r="AF91" s="906" t="s">
        <v>326</v>
      </c>
      <c r="AG91" s="906" t="s">
        <v>327</v>
      </c>
      <c r="AH91" s="906"/>
      <c r="AI91" s="906"/>
      <c r="AJ91" s="906"/>
      <c r="AK91" s="932"/>
      <c r="AL91" s="933"/>
      <c r="AM91" s="1394" t="s">
        <v>324</v>
      </c>
      <c r="AN91" s="1375"/>
    </row>
    <row r="92" spans="1:40">
      <c r="A92" s="1386"/>
      <c r="B92" s="1379"/>
      <c r="C92" s="1383"/>
      <c r="D92" s="1390"/>
      <c r="E92" s="1367"/>
      <c r="F92" s="1367"/>
      <c r="G92" s="1367"/>
      <c r="H92" s="1367"/>
      <c r="I92" s="1367"/>
      <c r="J92" s="1392"/>
      <c r="K92" s="1392"/>
      <c r="L92" s="847"/>
      <c r="M92" s="1373"/>
      <c r="P92" s="1386"/>
      <c r="Q92" s="1379"/>
      <c r="R92" s="1383"/>
      <c r="S92" s="1390"/>
      <c r="T92" s="1367"/>
      <c r="U92" s="1367"/>
      <c r="V92" s="1367"/>
      <c r="W92" s="1367"/>
      <c r="X92" s="1367"/>
      <c r="Y92" s="1392"/>
      <c r="Z92" s="1392"/>
      <c r="AA92" s="847"/>
      <c r="AB92" s="1373"/>
      <c r="AD92" s="907"/>
      <c r="AE92" s="908"/>
      <c r="AF92" s="909" t="s">
        <v>328</v>
      </c>
      <c r="AG92" s="909" t="s">
        <v>328</v>
      </c>
      <c r="AH92" s="909" t="s">
        <v>54</v>
      </c>
      <c r="AI92" s="909" t="s">
        <v>55</v>
      </c>
      <c r="AJ92" s="909" t="s">
        <v>329</v>
      </c>
      <c r="AK92" s="934" t="s">
        <v>330</v>
      </c>
      <c r="AL92" s="935" t="s">
        <v>58</v>
      </c>
      <c r="AM92" s="1395"/>
      <c r="AN92" s="1376"/>
    </row>
    <row r="93" spans="1:40" ht="15.6">
      <c r="A93" s="848" t="s">
        <v>66</v>
      </c>
      <c r="B93" s="849">
        <v>131482.25</v>
      </c>
      <c r="C93" s="849">
        <v>53256</v>
      </c>
      <c r="D93" s="849">
        <v>51863</v>
      </c>
      <c r="E93" s="849"/>
      <c r="F93" s="849">
        <v>16066</v>
      </c>
      <c r="G93" s="849">
        <v>10098</v>
      </c>
      <c r="H93" s="849">
        <v>35311</v>
      </c>
      <c r="I93" s="849">
        <v>46492</v>
      </c>
      <c r="J93" s="849">
        <v>18401</v>
      </c>
      <c r="K93" s="886"/>
      <c r="L93" s="849"/>
      <c r="M93" s="887">
        <v>6979</v>
      </c>
      <c r="P93" s="848" t="s">
        <v>66</v>
      </c>
      <c r="Q93" s="849">
        <f>B93</f>
        <v>131482.25</v>
      </c>
      <c r="R93" s="849">
        <v>36787</v>
      </c>
      <c r="S93" s="849">
        <v>36176</v>
      </c>
      <c r="T93" s="849"/>
      <c r="U93" s="849">
        <v>13667</v>
      </c>
      <c r="V93" s="849">
        <v>8672</v>
      </c>
      <c r="W93" s="849">
        <v>25830</v>
      </c>
      <c r="X93" s="849">
        <v>32449</v>
      </c>
      <c r="Y93" s="849">
        <v>14059</v>
      </c>
      <c r="Z93" s="886"/>
      <c r="AA93" s="849"/>
      <c r="AB93" s="887">
        <v>5955</v>
      </c>
      <c r="AD93" s="910" t="s">
        <v>54</v>
      </c>
      <c r="AE93" s="911">
        <v>0.31894038929209101</v>
      </c>
      <c r="AF93" s="912">
        <f>R93/C93</f>
        <v>0.69075784888087699</v>
      </c>
      <c r="AG93" s="912">
        <f t="shared" ref="AG93" si="78">S93/D93</f>
        <v>0.697530031043326</v>
      </c>
      <c r="AH93" s="936"/>
      <c r="AI93" s="912">
        <f t="shared" ref="AI93:AM93" si="79">U93/F93</f>
        <v>0.850678451388024</v>
      </c>
      <c r="AJ93" s="912">
        <f t="shared" si="79"/>
        <v>0.85878391760744699</v>
      </c>
      <c r="AK93" s="912">
        <f t="shared" si="79"/>
        <v>0.73150009911925495</v>
      </c>
      <c r="AL93" s="937">
        <f t="shared" si="79"/>
        <v>0.69794803407037798</v>
      </c>
      <c r="AM93" s="938">
        <f t="shared" si="79"/>
        <v>0.76403456333894904</v>
      </c>
      <c r="AN93" s="939">
        <f t="shared" ref="AN93" si="80">AB93/M93</f>
        <v>0.85327410803840098</v>
      </c>
    </row>
    <row r="94" spans="1:40">
      <c r="A94" s="850"/>
      <c r="B94" s="851"/>
      <c r="C94" s="852">
        <f t="shared" ref="C94:M94" si="81">C93/$B93</f>
        <v>0.40504326629640103</v>
      </c>
      <c r="D94" s="852">
        <f t="shared" si="81"/>
        <v>0.39444868033517799</v>
      </c>
      <c r="E94" s="853">
        <f t="shared" si="81"/>
        <v>0</v>
      </c>
      <c r="F94" s="852">
        <f t="shared" si="81"/>
        <v>0.12219139845872699</v>
      </c>
      <c r="G94" s="852">
        <f t="shared" si="81"/>
        <v>7.6801241232181502E-2</v>
      </c>
      <c r="H94" s="852">
        <f t="shared" si="81"/>
        <v>0.26856096545351199</v>
      </c>
      <c r="I94" s="852">
        <f t="shared" si="81"/>
        <v>0.35359905994915702</v>
      </c>
      <c r="J94" s="852">
        <f t="shared" si="81"/>
        <v>0.13995044958540001</v>
      </c>
      <c r="K94" s="873"/>
      <c r="L94" s="852"/>
      <c r="M94" s="874">
        <f t="shared" si="81"/>
        <v>5.3079408056981102E-2</v>
      </c>
      <c r="P94" s="850"/>
      <c r="Q94" s="851"/>
      <c r="R94" s="852"/>
      <c r="S94" s="852"/>
      <c r="T94" s="853"/>
      <c r="U94" s="852"/>
      <c r="V94" s="852"/>
      <c r="W94" s="852"/>
      <c r="X94" s="852"/>
      <c r="Y94" s="852"/>
      <c r="Z94" s="873"/>
      <c r="AA94" s="852"/>
      <c r="AB94" s="874"/>
      <c r="AD94" s="914"/>
      <c r="AE94" s="915"/>
      <c r="AF94" s="916"/>
      <c r="AG94" s="940"/>
      <c r="AH94" s="916"/>
      <c r="AI94" s="916"/>
      <c r="AJ94" s="916"/>
      <c r="AK94" s="941"/>
      <c r="AL94" s="942"/>
      <c r="AM94" s="943"/>
      <c r="AN94" s="915"/>
    </row>
    <row r="95" spans="1:40">
      <c r="A95" s="854" t="s">
        <v>55</v>
      </c>
      <c r="B95" s="849">
        <v>236216</v>
      </c>
      <c r="C95" s="855">
        <v>70081</v>
      </c>
      <c r="D95" s="855">
        <v>68120</v>
      </c>
      <c r="E95" s="855">
        <v>25931</v>
      </c>
      <c r="F95" s="855"/>
      <c r="G95" s="855">
        <v>14614</v>
      </c>
      <c r="H95" s="855">
        <v>46196</v>
      </c>
      <c r="I95" s="855">
        <v>57046</v>
      </c>
      <c r="J95" s="855">
        <v>16425</v>
      </c>
      <c r="K95" s="917"/>
      <c r="L95" s="855"/>
      <c r="M95" s="894">
        <v>6138</v>
      </c>
      <c r="P95" s="854" t="s">
        <v>55</v>
      </c>
      <c r="Q95" s="849">
        <f>B95</f>
        <v>236216</v>
      </c>
      <c r="R95" s="855">
        <v>33143</v>
      </c>
      <c r="S95" s="855">
        <v>33012</v>
      </c>
      <c r="T95" s="855">
        <v>15419</v>
      </c>
      <c r="U95" s="855"/>
      <c r="V95" s="855">
        <v>9629</v>
      </c>
      <c r="W95" s="855">
        <v>25609</v>
      </c>
      <c r="X95" s="855">
        <v>27255</v>
      </c>
      <c r="Y95" s="855">
        <v>4321</v>
      </c>
      <c r="Z95" s="917"/>
      <c r="AA95" s="855"/>
      <c r="AB95" s="894">
        <v>4801</v>
      </c>
      <c r="AD95" s="910" t="s">
        <v>55</v>
      </c>
      <c r="AE95" s="918">
        <v>0.15646696244115599</v>
      </c>
      <c r="AF95" s="912">
        <f t="shared" ref="AF95:AH95" si="82">R95/C95</f>
        <v>0.47292418772563199</v>
      </c>
      <c r="AG95" s="912">
        <f t="shared" si="82"/>
        <v>0.484615384615385</v>
      </c>
      <c r="AH95" s="912">
        <f t="shared" si="82"/>
        <v>0.59461648220276897</v>
      </c>
      <c r="AI95" s="912"/>
      <c r="AJ95" s="912">
        <f t="shared" ref="AJ95:AM95" si="83">V95/G95</f>
        <v>0.658888736827699</v>
      </c>
      <c r="AK95" s="912">
        <f t="shared" si="83"/>
        <v>0.55435535544202996</v>
      </c>
      <c r="AL95" s="937">
        <f t="shared" si="83"/>
        <v>0.47777232408933101</v>
      </c>
      <c r="AM95" s="944">
        <f t="shared" si="83"/>
        <v>0.26307458143074602</v>
      </c>
      <c r="AN95" s="945">
        <f t="shared" ref="AN95" si="84">AB95/M95</f>
        <v>0.78217660475725004</v>
      </c>
    </row>
    <row r="96" spans="1:40">
      <c r="A96" s="850"/>
      <c r="B96" s="851"/>
      <c r="C96" s="852">
        <f t="shared" ref="C96:M96" si="85">C95/$B95</f>
        <v>0.29668185050970303</v>
      </c>
      <c r="D96" s="852">
        <f t="shared" si="85"/>
        <v>0.28838012666373097</v>
      </c>
      <c r="E96" s="852">
        <f t="shared" si="85"/>
        <v>0.109776645104481</v>
      </c>
      <c r="F96" s="853">
        <f t="shared" si="85"/>
        <v>0</v>
      </c>
      <c r="G96" s="852">
        <f t="shared" si="85"/>
        <v>6.1867104683848699E-2</v>
      </c>
      <c r="H96" s="852">
        <f t="shared" si="85"/>
        <v>0.19556676939750101</v>
      </c>
      <c r="I96" s="852">
        <f t="shared" si="85"/>
        <v>0.24149930572018799</v>
      </c>
      <c r="J96" s="852">
        <f t="shared" si="85"/>
        <v>6.9533816506925902E-2</v>
      </c>
      <c r="K96" s="873"/>
      <c r="L96" s="852"/>
      <c r="M96" s="874">
        <f t="shared" si="85"/>
        <v>2.5984691976834801E-2</v>
      </c>
      <c r="P96" s="850"/>
      <c r="Q96" s="851"/>
      <c r="R96" s="852"/>
      <c r="S96" s="852"/>
      <c r="T96" s="852"/>
      <c r="U96" s="853"/>
      <c r="V96" s="852"/>
      <c r="W96" s="852"/>
      <c r="X96" s="852"/>
      <c r="Y96" s="852"/>
      <c r="Z96" s="873"/>
      <c r="AA96" s="852"/>
      <c r="AB96" s="874"/>
      <c r="AD96" s="914"/>
      <c r="AE96" s="915"/>
      <c r="AF96" s="916"/>
      <c r="AG96" s="940"/>
      <c r="AH96" s="916"/>
      <c r="AI96" s="916"/>
      <c r="AJ96" s="916"/>
      <c r="AK96" s="941"/>
      <c r="AL96" s="942"/>
      <c r="AM96" s="943"/>
      <c r="AN96" s="915"/>
    </row>
    <row r="97" spans="1:40">
      <c r="A97" s="848" t="s">
        <v>56</v>
      </c>
      <c r="B97" s="849">
        <v>158190</v>
      </c>
      <c r="C97" s="849">
        <v>23833</v>
      </c>
      <c r="D97" s="849">
        <v>23582</v>
      </c>
      <c r="E97" s="849">
        <v>8575</v>
      </c>
      <c r="F97" s="849">
        <v>5433</v>
      </c>
      <c r="G97" s="849"/>
      <c r="H97" s="849">
        <v>14555</v>
      </c>
      <c r="I97" s="849">
        <v>21144</v>
      </c>
      <c r="J97" s="849">
        <v>2987</v>
      </c>
      <c r="K97" s="886"/>
      <c r="L97" s="849"/>
      <c r="M97" s="887">
        <v>3155</v>
      </c>
      <c r="P97" s="848" t="s">
        <v>56</v>
      </c>
      <c r="Q97" s="849">
        <f>B97</f>
        <v>158190</v>
      </c>
      <c r="R97" s="849">
        <v>10379</v>
      </c>
      <c r="S97" s="849">
        <v>10318</v>
      </c>
      <c r="T97" s="849">
        <v>5306</v>
      </c>
      <c r="U97" s="849">
        <v>3870</v>
      </c>
      <c r="V97" s="849"/>
      <c r="W97" s="849">
        <v>6855</v>
      </c>
      <c r="X97" s="849">
        <v>8294</v>
      </c>
      <c r="Y97" s="849">
        <v>1047</v>
      </c>
      <c r="Z97" s="886"/>
      <c r="AA97" s="849"/>
      <c r="AB97" s="887">
        <v>2383</v>
      </c>
      <c r="AD97" s="910" t="s">
        <v>56</v>
      </c>
      <c r="AE97" s="918">
        <v>6.5825905556609096E-2</v>
      </c>
      <c r="AF97" s="912">
        <f t="shared" ref="AF97:AI97" si="86">R97/C97</f>
        <v>0.43548860823228303</v>
      </c>
      <c r="AG97" s="912">
        <f t="shared" si="86"/>
        <v>0.43753710457128298</v>
      </c>
      <c r="AH97" s="912">
        <f t="shared" si="86"/>
        <v>0.61877551020408195</v>
      </c>
      <c r="AI97" s="912">
        <f t="shared" si="86"/>
        <v>0.71231363887355004</v>
      </c>
      <c r="AJ97" s="912"/>
      <c r="AK97" s="912">
        <f t="shared" ref="AK97:AM97" si="87">W97/H97</f>
        <v>0.47097217451047801</v>
      </c>
      <c r="AL97" s="937">
        <f t="shared" si="87"/>
        <v>0.39226258040105899</v>
      </c>
      <c r="AM97" s="944">
        <f t="shared" si="87"/>
        <v>0.35051891529963197</v>
      </c>
      <c r="AN97" s="945">
        <f t="shared" ref="AN97" si="88">AB97/M97</f>
        <v>0.75530903328050703</v>
      </c>
    </row>
    <row r="98" spans="1:40">
      <c r="A98" s="850"/>
      <c r="B98" s="851"/>
      <c r="C98" s="852">
        <f t="shared" ref="C98:M98" si="89">C97/$B97</f>
        <v>0.150660598015045</v>
      </c>
      <c r="D98" s="852">
        <f t="shared" si="89"/>
        <v>0.149073898476516</v>
      </c>
      <c r="E98" s="852">
        <f t="shared" si="89"/>
        <v>5.4206966306340497E-2</v>
      </c>
      <c r="F98" s="852">
        <f t="shared" si="89"/>
        <v>3.4344775270244599E-2</v>
      </c>
      <c r="G98" s="853">
        <f t="shared" si="89"/>
        <v>0</v>
      </c>
      <c r="H98" s="852">
        <f t="shared" si="89"/>
        <v>9.2009608698400705E-2</v>
      </c>
      <c r="I98" s="852">
        <f t="shared" si="89"/>
        <v>0.13366205196282999</v>
      </c>
      <c r="J98" s="852">
        <f t="shared" si="89"/>
        <v>1.8882356659712999E-2</v>
      </c>
      <c r="K98" s="873"/>
      <c r="L98" s="852"/>
      <c r="M98" s="874">
        <f t="shared" si="89"/>
        <v>1.9944370693469899E-2</v>
      </c>
      <c r="P98" s="850"/>
      <c r="Q98" s="851"/>
      <c r="R98" s="852"/>
      <c r="S98" s="852"/>
      <c r="T98" s="852"/>
      <c r="U98" s="852"/>
      <c r="V98" s="853"/>
      <c r="W98" s="852"/>
      <c r="X98" s="852"/>
      <c r="Y98" s="852"/>
      <c r="Z98" s="873"/>
      <c r="AA98" s="852"/>
      <c r="AB98" s="874"/>
      <c r="AD98" s="910"/>
      <c r="AE98" s="915"/>
      <c r="AF98" s="916"/>
      <c r="AG98" s="940"/>
      <c r="AH98" s="916"/>
      <c r="AI98" s="916"/>
      <c r="AJ98" s="916"/>
      <c r="AK98" s="941"/>
      <c r="AL98" s="942"/>
      <c r="AM98" s="943"/>
      <c r="AN98" s="915"/>
    </row>
    <row r="99" spans="1:40" ht="15.6">
      <c r="A99" s="854" t="s">
        <v>57</v>
      </c>
      <c r="B99" s="849">
        <v>1245128</v>
      </c>
      <c r="C99" s="855">
        <v>31658</v>
      </c>
      <c r="D99" s="855">
        <v>29979</v>
      </c>
      <c r="E99" s="855">
        <v>12763</v>
      </c>
      <c r="F99" s="855">
        <v>6121</v>
      </c>
      <c r="G99" s="855">
        <v>3593</v>
      </c>
      <c r="H99" s="855"/>
      <c r="I99" s="855">
        <v>27245</v>
      </c>
      <c r="J99" s="855">
        <v>7181</v>
      </c>
      <c r="K99" s="917"/>
      <c r="L99" s="855"/>
      <c r="M99" s="894">
        <v>2412</v>
      </c>
      <c r="P99" s="854" t="s">
        <v>57</v>
      </c>
      <c r="Q99" s="849">
        <f>B99</f>
        <v>1245128</v>
      </c>
      <c r="R99" s="855">
        <v>18482</v>
      </c>
      <c r="S99" s="855">
        <v>18121</v>
      </c>
      <c r="T99" s="855">
        <v>9750</v>
      </c>
      <c r="U99" s="855">
        <v>4878</v>
      </c>
      <c r="V99" s="855">
        <v>3121</v>
      </c>
      <c r="W99" s="855"/>
      <c r="X99" s="855">
        <v>16139</v>
      </c>
      <c r="Y99" s="855">
        <v>3387</v>
      </c>
      <c r="Z99" s="917"/>
      <c r="AA99" s="855"/>
      <c r="AB99" s="894">
        <v>2024</v>
      </c>
      <c r="AD99" s="919" t="s">
        <v>57</v>
      </c>
      <c r="AE99" s="918">
        <v>1.5378338612576399E-2</v>
      </c>
      <c r="AF99" s="912">
        <f t="shared" ref="AF99:AJ99" si="90">R99/C99</f>
        <v>0.58380188262050703</v>
      </c>
      <c r="AG99" s="912">
        <f t="shared" si="90"/>
        <v>0.60445645285032901</v>
      </c>
      <c r="AH99" s="912">
        <f t="shared" si="90"/>
        <v>0.763926976416203</v>
      </c>
      <c r="AI99" s="912">
        <f t="shared" si="90"/>
        <v>0.79692860643685703</v>
      </c>
      <c r="AJ99" s="912">
        <f t="shared" si="90"/>
        <v>0.86863345393821301</v>
      </c>
      <c r="AK99" s="936"/>
      <c r="AL99" s="937">
        <f t="shared" ref="AL99:AM99" si="91">X99/I99</f>
        <v>0.59236557166452597</v>
      </c>
      <c r="AM99" s="944">
        <f t="shared" si="91"/>
        <v>0.47166132850577902</v>
      </c>
      <c r="AN99" s="945">
        <f t="shared" ref="AN99" si="92">AB99/M99</f>
        <v>0.83913764510779398</v>
      </c>
    </row>
    <row r="100" spans="1:40" ht="15.6">
      <c r="A100" s="850"/>
      <c r="B100" s="851"/>
      <c r="C100" s="852">
        <f t="shared" ref="C100:M100" si="93">C99/$B99</f>
        <v>2.5425498422652099E-2</v>
      </c>
      <c r="D100" s="852">
        <f t="shared" si="93"/>
        <v>2.40770426815556E-2</v>
      </c>
      <c r="E100" s="852">
        <f t="shared" si="93"/>
        <v>1.0250351771062901E-2</v>
      </c>
      <c r="F100" s="852">
        <f t="shared" si="93"/>
        <v>4.9159604474399397E-3</v>
      </c>
      <c r="G100" s="852">
        <f t="shared" si="93"/>
        <v>2.8856470981296701E-3</v>
      </c>
      <c r="H100" s="853">
        <f t="shared" si="93"/>
        <v>0</v>
      </c>
      <c r="I100" s="852">
        <f t="shared" si="93"/>
        <v>2.18812844944456E-2</v>
      </c>
      <c r="J100" s="852">
        <f t="shared" si="93"/>
        <v>5.7672785448564298E-3</v>
      </c>
      <c r="K100" s="873"/>
      <c r="L100" s="852"/>
      <c r="M100" s="874">
        <f t="shared" si="93"/>
        <v>1.93715023676281E-3</v>
      </c>
      <c r="P100" s="850"/>
      <c r="Q100" s="851"/>
      <c r="R100" s="852"/>
      <c r="S100" s="852"/>
      <c r="T100" s="852"/>
      <c r="U100" s="852"/>
      <c r="V100" s="852"/>
      <c r="W100" s="853"/>
      <c r="X100" s="852"/>
      <c r="Y100" s="852"/>
      <c r="Z100" s="873"/>
      <c r="AA100" s="852"/>
      <c r="AB100" s="874"/>
      <c r="AD100" s="919"/>
      <c r="AE100" s="920"/>
      <c r="AF100" s="912"/>
      <c r="AG100" s="946"/>
      <c r="AH100" s="936"/>
      <c r="AI100" s="936"/>
      <c r="AJ100" s="936"/>
      <c r="AK100" s="947"/>
      <c r="AL100" s="937"/>
      <c r="AM100" s="944"/>
      <c r="AN100" s="945"/>
    </row>
    <row r="101" spans="1:40" ht="15.6">
      <c r="A101" s="848" t="s">
        <v>58</v>
      </c>
      <c r="B101" s="849">
        <v>260824</v>
      </c>
      <c r="C101" s="849">
        <v>89718</v>
      </c>
      <c r="D101" s="849">
        <v>81939</v>
      </c>
      <c r="E101" s="849">
        <v>68071</v>
      </c>
      <c r="F101" s="849">
        <v>29164</v>
      </c>
      <c r="G101" s="849">
        <v>20244</v>
      </c>
      <c r="H101" s="849">
        <v>58015</v>
      </c>
      <c r="I101" s="849"/>
      <c r="J101" s="849">
        <v>46601</v>
      </c>
      <c r="K101" s="886"/>
      <c r="L101" s="849"/>
      <c r="M101" s="887">
        <v>13086</v>
      </c>
      <c r="P101" s="848" t="s">
        <v>58</v>
      </c>
      <c r="Q101" s="849">
        <f>B101</f>
        <v>260824</v>
      </c>
      <c r="R101" s="849">
        <v>59165</v>
      </c>
      <c r="S101" s="849">
        <v>56559</v>
      </c>
      <c r="T101" s="849">
        <v>49855</v>
      </c>
      <c r="U101" s="849">
        <v>25054</v>
      </c>
      <c r="V101" s="849">
        <v>25054</v>
      </c>
      <c r="W101" s="849">
        <v>16672</v>
      </c>
      <c r="X101" s="849"/>
      <c r="Y101" s="849">
        <v>28945</v>
      </c>
      <c r="Z101" s="886"/>
      <c r="AA101" s="849"/>
      <c r="AB101" s="887">
        <v>11708</v>
      </c>
      <c r="AD101" s="919" t="s">
        <v>58</v>
      </c>
      <c r="AE101" s="918">
        <v>0.25544811827132502</v>
      </c>
      <c r="AF101" s="912">
        <f t="shared" ref="AF101:AK101" si="94">R101/C101</f>
        <v>0.65945518179183704</v>
      </c>
      <c r="AG101" s="912">
        <f t="shared" si="94"/>
        <v>0.69025738659246505</v>
      </c>
      <c r="AH101" s="912">
        <f t="shared" si="94"/>
        <v>0.73239705601504301</v>
      </c>
      <c r="AI101" s="912">
        <f t="shared" si="94"/>
        <v>0.85907282951584096</v>
      </c>
      <c r="AJ101" s="912">
        <f t="shared" si="94"/>
        <v>1.2376012645722201</v>
      </c>
      <c r="AK101" s="912">
        <f t="shared" si="94"/>
        <v>0.28737395501163499</v>
      </c>
      <c r="AL101" s="948"/>
      <c r="AM101" s="944">
        <f t="shared" ref="AM101" si="95">Y101/J101</f>
        <v>0.62112401021437302</v>
      </c>
      <c r="AN101" s="945">
        <f t="shared" ref="AN101" si="96">AB101/M101</f>
        <v>0.89469662234448999</v>
      </c>
    </row>
    <row r="102" spans="1:40">
      <c r="A102" s="856"/>
      <c r="B102" s="857"/>
      <c r="C102" s="852">
        <f t="shared" ref="C102:M102" si="97">C101/$B101</f>
        <v>0.34397908167960001</v>
      </c>
      <c r="D102" s="858">
        <f t="shared" si="97"/>
        <v>0.31415437229702797</v>
      </c>
      <c r="E102" s="858">
        <f t="shared" si="97"/>
        <v>0.26098441861178401</v>
      </c>
      <c r="F102" s="858">
        <f t="shared" si="97"/>
        <v>0.111814863662853</v>
      </c>
      <c r="G102" s="858">
        <f t="shared" si="97"/>
        <v>7.7615556850596595E-2</v>
      </c>
      <c r="H102" s="858">
        <f t="shared" si="97"/>
        <v>0.22242968438487301</v>
      </c>
      <c r="I102" s="876">
        <f t="shared" si="97"/>
        <v>0</v>
      </c>
      <c r="J102" s="858">
        <f t="shared" si="97"/>
        <v>0.178668374076005</v>
      </c>
      <c r="K102" s="921"/>
      <c r="L102" s="858"/>
      <c r="M102" s="895">
        <f t="shared" si="97"/>
        <v>5.01717633346625E-2</v>
      </c>
      <c r="P102" s="856"/>
      <c r="Q102" s="857"/>
      <c r="R102" s="852"/>
      <c r="S102" s="858"/>
      <c r="T102" s="858"/>
      <c r="U102" s="858"/>
      <c r="V102" s="858"/>
      <c r="W102" s="858"/>
      <c r="X102" s="876"/>
      <c r="Y102" s="858"/>
      <c r="Z102" s="921"/>
      <c r="AA102" s="858"/>
      <c r="AB102" s="895"/>
      <c r="AD102" s="922"/>
      <c r="AE102" s="923"/>
      <c r="AF102" s="924"/>
      <c r="AG102" s="924"/>
      <c r="AH102" s="949"/>
      <c r="AI102" s="949"/>
      <c r="AJ102" s="949"/>
      <c r="AK102" s="950"/>
      <c r="AL102" s="951"/>
      <c r="AM102" s="952"/>
      <c r="AN102" s="953"/>
    </row>
    <row r="103" spans="1:40">
      <c r="A103" s="1380" t="s">
        <v>331</v>
      </c>
      <c r="B103" s="859">
        <f t="shared" ref="B103:M103" si="98">B93+B95+B97+B99+B101</f>
        <v>2031840.25</v>
      </c>
      <c r="C103" s="860">
        <f t="shared" si="98"/>
        <v>268546</v>
      </c>
      <c r="D103" s="860">
        <f t="shared" si="98"/>
        <v>255483</v>
      </c>
      <c r="E103" s="860">
        <f t="shared" si="98"/>
        <v>115340</v>
      </c>
      <c r="F103" s="860">
        <f t="shared" si="98"/>
        <v>56784</v>
      </c>
      <c r="G103" s="860">
        <f t="shared" si="98"/>
        <v>48549</v>
      </c>
      <c r="H103" s="860">
        <f t="shared" si="98"/>
        <v>154077</v>
      </c>
      <c r="I103" s="860">
        <f t="shared" si="98"/>
        <v>151927</v>
      </c>
      <c r="J103" s="860">
        <f t="shared" si="98"/>
        <v>91595</v>
      </c>
      <c r="K103" s="925"/>
      <c r="L103" s="860"/>
      <c r="M103" s="896">
        <f t="shared" si="98"/>
        <v>31770</v>
      </c>
      <c r="P103" s="1380" t="s">
        <v>331</v>
      </c>
      <c r="Q103" s="859">
        <f t="shared" ref="Q103:AB103" si="99">Q93+Q95+Q97+Q99+Q101</f>
        <v>2031840.25</v>
      </c>
      <c r="R103" s="860">
        <f t="shared" si="99"/>
        <v>157956</v>
      </c>
      <c r="S103" s="860">
        <f t="shared" si="99"/>
        <v>154186</v>
      </c>
      <c r="T103" s="860">
        <f t="shared" si="99"/>
        <v>80330</v>
      </c>
      <c r="U103" s="860">
        <f t="shared" si="99"/>
        <v>47469</v>
      </c>
      <c r="V103" s="860">
        <f t="shared" si="99"/>
        <v>46476</v>
      </c>
      <c r="W103" s="860">
        <f t="shared" si="99"/>
        <v>74966</v>
      </c>
      <c r="X103" s="860">
        <f t="shared" si="99"/>
        <v>84137</v>
      </c>
      <c r="Y103" s="860">
        <f t="shared" si="99"/>
        <v>51759</v>
      </c>
      <c r="Z103" s="925"/>
      <c r="AA103" s="860"/>
      <c r="AB103" s="896">
        <f t="shared" si="99"/>
        <v>26871</v>
      </c>
    </row>
    <row r="104" spans="1:40">
      <c r="A104" s="1381"/>
      <c r="B104" s="861"/>
      <c r="C104" s="852">
        <f t="shared" ref="C104:M104" si="100">C103/$B103</f>
        <v>0.13216885530247799</v>
      </c>
      <c r="D104" s="862">
        <f t="shared" si="100"/>
        <v>0.125739708129121</v>
      </c>
      <c r="E104" s="862">
        <f t="shared" si="100"/>
        <v>5.6766273824922997E-2</v>
      </c>
      <c r="F104" s="862">
        <f t="shared" si="100"/>
        <v>2.79470790087951E-2</v>
      </c>
      <c r="G104" s="862">
        <f t="shared" si="100"/>
        <v>2.3894102895146398E-2</v>
      </c>
      <c r="H104" s="862">
        <f t="shared" si="100"/>
        <v>7.5831256911068706E-2</v>
      </c>
      <c r="I104" s="862">
        <f t="shared" si="100"/>
        <v>7.4773102855896306E-2</v>
      </c>
      <c r="J104" s="862">
        <f t="shared" si="100"/>
        <v>4.5079823573728299E-2</v>
      </c>
      <c r="K104" s="926"/>
      <c r="L104" s="862"/>
      <c r="M104" s="897">
        <f t="shared" si="100"/>
        <v>1.5636071782710301E-2</v>
      </c>
      <c r="P104" s="1381"/>
      <c r="Q104" s="861"/>
      <c r="R104" s="858"/>
      <c r="S104" s="862"/>
      <c r="T104" s="862"/>
      <c r="U104" s="862"/>
      <c r="V104" s="862"/>
      <c r="W104" s="862"/>
      <c r="X104" s="862"/>
      <c r="Y104" s="862"/>
      <c r="Z104" s="926"/>
      <c r="AA104" s="862"/>
      <c r="AB104" s="897"/>
    </row>
    <row r="105" spans="1:40">
      <c r="A105" s="848" t="s">
        <v>59</v>
      </c>
      <c r="B105" s="849">
        <v>89036</v>
      </c>
      <c r="C105" s="849">
        <v>18406</v>
      </c>
      <c r="D105" s="849">
        <v>17365</v>
      </c>
      <c r="E105" s="849">
        <v>7015</v>
      </c>
      <c r="F105" s="849">
        <v>3212</v>
      </c>
      <c r="G105" s="849">
        <v>1768</v>
      </c>
      <c r="H105" s="849">
        <v>7779</v>
      </c>
      <c r="I105" s="849">
        <v>14896</v>
      </c>
      <c r="J105" s="883"/>
      <c r="K105" s="927"/>
      <c r="L105" s="883"/>
      <c r="M105" s="887">
        <v>1156</v>
      </c>
      <c r="P105" s="848" t="s">
        <v>59</v>
      </c>
      <c r="Q105" s="849">
        <f>B105</f>
        <v>89036</v>
      </c>
      <c r="R105" s="899">
        <v>6534</v>
      </c>
      <c r="S105" s="849">
        <v>5695</v>
      </c>
      <c r="T105" s="849">
        <v>4552</v>
      </c>
      <c r="U105" s="849">
        <v>2227</v>
      </c>
      <c r="V105" s="849">
        <v>1374</v>
      </c>
      <c r="W105" s="849">
        <v>3639</v>
      </c>
      <c r="X105" s="849">
        <v>5209</v>
      </c>
      <c r="Y105" s="883">
        <v>0</v>
      </c>
      <c r="Z105" s="927"/>
      <c r="AA105" s="883"/>
      <c r="AB105" s="887">
        <v>1026</v>
      </c>
    </row>
    <row r="106" spans="1:40">
      <c r="A106" s="850"/>
      <c r="B106" s="851"/>
      <c r="C106" s="852">
        <f t="shared" ref="C106:M106" si="101">C105/$B105</f>
        <v>0.20672536951345499</v>
      </c>
      <c r="D106" s="852">
        <f t="shared" si="101"/>
        <v>0.19503346960779899</v>
      </c>
      <c r="E106" s="852">
        <f t="shared" si="101"/>
        <v>7.8788355272024796E-2</v>
      </c>
      <c r="F106" s="852">
        <f t="shared" si="101"/>
        <v>3.6075295386135901E-2</v>
      </c>
      <c r="G106" s="852">
        <f t="shared" si="101"/>
        <v>1.9857136439193099E-2</v>
      </c>
      <c r="H106" s="852">
        <f t="shared" si="101"/>
        <v>8.7369154050047207E-2</v>
      </c>
      <c r="I106" s="852">
        <f t="shared" si="101"/>
        <v>0.16730311334740999</v>
      </c>
      <c r="J106" s="853">
        <f t="shared" si="101"/>
        <v>0</v>
      </c>
      <c r="K106" s="928"/>
      <c r="L106" s="853"/>
      <c r="M106" s="898">
        <f t="shared" si="101"/>
        <v>1.2983512287164699E-2</v>
      </c>
      <c r="P106" s="850"/>
      <c r="Q106" s="851"/>
      <c r="R106" s="852"/>
      <c r="S106" s="852"/>
      <c r="T106" s="852"/>
      <c r="U106" s="852"/>
      <c r="V106" s="852"/>
      <c r="W106" s="852"/>
      <c r="X106" s="852"/>
      <c r="Y106" s="853"/>
      <c r="Z106" s="928"/>
      <c r="AA106" s="853"/>
      <c r="AB106" s="898"/>
    </row>
    <row r="107" spans="1:40">
      <c r="A107" s="848" t="s">
        <v>332</v>
      </c>
      <c r="B107" s="849">
        <f t="shared" ref="B107:M107" si="102">B103+B105</f>
        <v>2120876.25</v>
      </c>
      <c r="C107" s="849">
        <f t="shared" si="102"/>
        <v>286952</v>
      </c>
      <c r="D107" s="849">
        <f t="shared" si="102"/>
        <v>272848</v>
      </c>
      <c r="E107" s="849">
        <f t="shared" si="102"/>
        <v>122355</v>
      </c>
      <c r="F107" s="849">
        <f t="shared" si="102"/>
        <v>59996</v>
      </c>
      <c r="G107" s="849">
        <f t="shared" si="102"/>
        <v>50317</v>
      </c>
      <c r="H107" s="849">
        <v>161856</v>
      </c>
      <c r="I107" s="849">
        <f t="shared" si="102"/>
        <v>166823</v>
      </c>
      <c r="J107" s="849">
        <f t="shared" si="102"/>
        <v>91595</v>
      </c>
      <c r="K107" s="886"/>
      <c r="L107" s="849"/>
      <c r="M107" s="887">
        <f t="shared" si="102"/>
        <v>32926</v>
      </c>
      <c r="P107" s="848" t="s">
        <v>333</v>
      </c>
      <c r="Q107" s="849">
        <f t="shared" ref="Q107:AB107" si="103">Q103+Q105</f>
        <v>2120876.25</v>
      </c>
      <c r="R107" s="849">
        <f t="shared" si="103"/>
        <v>164490</v>
      </c>
      <c r="S107" s="849">
        <f t="shared" si="103"/>
        <v>159881</v>
      </c>
      <c r="T107" s="849">
        <f t="shared" si="103"/>
        <v>84882</v>
      </c>
      <c r="U107" s="849">
        <f t="shared" si="103"/>
        <v>49696</v>
      </c>
      <c r="V107" s="849">
        <f t="shared" si="103"/>
        <v>47850</v>
      </c>
      <c r="W107" s="849">
        <f t="shared" si="103"/>
        <v>78605</v>
      </c>
      <c r="X107" s="849">
        <f t="shared" si="103"/>
        <v>89346</v>
      </c>
      <c r="Y107" s="849">
        <f t="shared" si="103"/>
        <v>51759</v>
      </c>
      <c r="Z107" s="886"/>
      <c r="AA107" s="849"/>
      <c r="AB107" s="887">
        <f t="shared" si="103"/>
        <v>27897</v>
      </c>
    </row>
    <row r="108" spans="1:40">
      <c r="A108" s="864"/>
      <c r="B108" s="865"/>
      <c r="C108" s="866">
        <f t="shared" ref="C108:M108" si="104">C107/$B107</f>
        <v>0.13529879454305699</v>
      </c>
      <c r="D108" s="866">
        <f t="shared" si="104"/>
        <v>0.128648713002468</v>
      </c>
      <c r="E108" s="866">
        <f t="shared" si="104"/>
        <v>5.7690777573656198E-2</v>
      </c>
      <c r="F108" s="866">
        <f t="shared" si="104"/>
        <v>2.8288307721867301E-2</v>
      </c>
      <c r="G108" s="866">
        <f t="shared" si="104"/>
        <v>2.3724627969217899E-2</v>
      </c>
      <c r="H108" s="866">
        <f t="shared" si="104"/>
        <v>7.6315626618950499E-2</v>
      </c>
      <c r="I108" s="866">
        <f t="shared" si="104"/>
        <v>7.8657583156961697E-2</v>
      </c>
      <c r="J108" s="866">
        <f t="shared" si="104"/>
        <v>4.3187338252290798E-2</v>
      </c>
      <c r="K108" s="888"/>
      <c r="L108" s="866"/>
      <c r="M108" s="889">
        <f t="shared" si="104"/>
        <v>1.55247153151911E-2</v>
      </c>
      <c r="P108" s="864"/>
      <c r="Q108" s="865"/>
      <c r="R108" s="866"/>
      <c r="S108" s="866"/>
      <c r="T108" s="866"/>
      <c r="U108" s="866"/>
      <c r="V108" s="866"/>
      <c r="W108" s="866"/>
      <c r="X108" s="866"/>
      <c r="Y108" s="866"/>
      <c r="Z108" s="888"/>
      <c r="AA108" s="866"/>
      <c r="AB108" s="889"/>
    </row>
    <row r="110" spans="1:40">
      <c r="A110" t="s">
        <v>334</v>
      </c>
      <c r="B110" t="s">
        <v>337</v>
      </c>
      <c r="P110" t="s">
        <v>334</v>
      </c>
      <c r="Q110" t="s">
        <v>337</v>
      </c>
    </row>
    <row r="113" spans="1:28">
      <c r="A113" s="955" t="s">
        <v>338</v>
      </c>
      <c r="B113" s="956"/>
      <c r="C113" s="955">
        <v>2017</v>
      </c>
      <c r="D113" s="957"/>
      <c r="E113" s="839"/>
      <c r="F113" s="839"/>
      <c r="G113" s="839"/>
      <c r="N113" s="958"/>
      <c r="O113" s="958"/>
      <c r="P113" s="955" t="s">
        <v>338</v>
      </c>
      <c r="Q113" s="955"/>
      <c r="R113" s="955">
        <f>C113</f>
        <v>2017</v>
      </c>
      <c r="S113" s="839"/>
      <c r="T113" s="958"/>
      <c r="U113" s="958"/>
      <c r="V113" s="958"/>
      <c r="W113" s="989"/>
      <c r="X113" s="989"/>
      <c r="Y113" s="989"/>
      <c r="Z113" s="989"/>
      <c r="AA113" s="989"/>
      <c r="AB113" s="989"/>
    </row>
    <row r="114" spans="1:28">
      <c r="A114" s="958"/>
      <c r="B114" s="842"/>
      <c r="C114" s="958"/>
      <c r="D114" s="958"/>
      <c r="E114" s="958"/>
      <c r="F114" s="958"/>
      <c r="G114" s="958"/>
      <c r="H114" s="958"/>
      <c r="I114" s="958"/>
      <c r="J114" s="958"/>
      <c r="K114" s="958"/>
      <c r="L114" s="958"/>
      <c r="M114" s="958"/>
      <c r="N114" s="958"/>
      <c r="O114" s="958"/>
      <c r="P114" s="958"/>
      <c r="Q114" s="958"/>
      <c r="R114" s="958"/>
      <c r="S114" s="958"/>
      <c r="T114" s="958"/>
      <c r="U114" s="958"/>
      <c r="V114" s="958"/>
      <c r="W114" s="989"/>
      <c r="X114" s="989"/>
      <c r="Y114" s="989"/>
      <c r="Z114" s="989"/>
      <c r="AA114" s="989"/>
      <c r="AB114" s="989"/>
    </row>
    <row r="115" spans="1:28">
      <c r="A115" s="959" t="s">
        <v>315</v>
      </c>
      <c r="B115" s="960" t="s">
        <v>316</v>
      </c>
      <c r="C115" s="961"/>
      <c r="D115" s="961"/>
      <c r="E115" s="961" t="s">
        <v>339</v>
      </c>
      <c r="F115" s="961"/>
      <c r="G115" s="961"/>
      <c r="H115" s="961"/>
      <c r="I115" s="961"/>
      <c r="J115" s="961"/>
      <c r="K115" s="959" t="s">
        <v>340</v>
      </c>
      <c r="L115" s="959" t="s">
        <v>341</v>
      </c>
      <c r="M115" s="959" t="s">
        <v>342</v>
      </c>
      <c r="N115" s="958"/>
      <c r="O115" s="958"/>
      <c r="P115" s="959" t="s">
        <v>315</v>
      </c>
      <c r="Q115" s="990" t="s">
        <v>316</v>
      </c>
      <c r="R115" s="961"/>
      <c r="S115" s="961"/>
      <c r="T115" s="961" t="s">
        <v>343</v>
      </c>
      <c r="U115" s="961"/>
      <c r="V115" s="961"/>
      <c r="W115" s="961"/>
      <c r="X115" s="961"/>
      <c r="Y115" s="961"/>
      <c r="Z115" s="959" t="s">
        <v>340</v>
      </c>
      <c r="AA115" s="959" t="s">
        <v>341</v>
      </c>
      <c r="AB115" s="959" t="s">
        <v>342</v>
      </c>
    </row>
    <row r="116" spans="1:28">
      <c r="A116" s="962" t="s">
        <v>344</v>
      </c>
      <c r="B116" s="963" t="s">
        <v>320</v>
      </c>
      <c r="C116" s="964"/>
      <c r="D116" s="964"/>
      <c r="E116" s="964" t="s">
        <v>345</v>
      </c>
      <c r="F116" s="964"/>
      <c r="G116" s="964"/>
      <c r="H116" s="964"/>
      <c r="I116" s="964"/>
      <c r="J116" s="964"/>
      <c r="K116" s="982" t="s">
        <v>346</v>
      </c>
      <c r="L116" s="982" t="s">
        <v>346</v>
      </c>
      <c r="M116" s="982" t="s">
        <v>346</v>
      </c>
      <c r="N116" s="958"/>
      <c r="O116" s="958"/>
      <c r="P116" s="962" t="s">
        <v>344</v>
      </c>
      <c r="Q116" s="991" t="s">
        <v>320</v>
      </c>
      <c r="R116" s="964"/>
      <c r="S116" s="964"/>
      <c r="T116" s="964" t="s">
        <v>347</v>
      </c>
      <c r="U116" s="964"/>
      <c r="V116" s="964"/>
      <c r="W116" s="964"/>
      <c r="X116" s="964"/>
      <c r="Y116" s="964"/>
      <c r="Z116" s="982" t="s">
        <v>346</v>
      </c>
      <c r="AA116" s="982" t="s">
        <v>346</v>
      </c>
      <c r="AB116" s="982" t="s">
        <v>346</v>
      </c>
    </row>
    <row r="117" spans="1:28">
      <c r="A117" s="962" t="s">
        <v>325</v>
      </c>
      <c r="B117" s="963" t="s">
        <v>61</v>
      </c>
      <c r="C117" s="965" t="s">
        <v>326</v>
      </c>
      <c r="D117" s="965" t="s">
        <v>348</v>
      </c>
      <c r="E117" s="965"/>
      <c r="F117" s="965"/>
      <c r="G117" s="965"/>
      <c r="H117" s="965"/>
      <c r="I117" s="965"/>
      <c r="J117" s="983" t="s">
        <v>126</v>
      </c>
      <c r="K117" s="962" t="s">
        <v>349</v>
      </c>
      <c r="L117" s="962" t="s">
        <v>350</v>
      </c>
      <c r="M117" s="962" t="s">
        <v>350</v>
      </c>
      <c r="N117" s="958"/>
      <c r="O117" s="958"/>
      <c r="P117" s="962" t="s">
        <v>325</v>
      </c>
      <c r="Q117" s="991" t="s">
        <v>61</v>
      </c>
      <c r="R117" s="965" t="s">
        <v>326</v>
      </c>
      <c r="S117" s="965" t="s">
        <v>351</v>
      </c>
      <c r="T117" s="965"/>
      <c r="U117" s="965"/>
      <c r="V117" s="965"/>
      <c r="W117" s="965"/>
      <c r="X117" s="965"/>
      <c r="Y117" s="983" t="s">
        <v>126</v>
      </c>
      <c r="Z117" s="962" t="s">
        <v>349</v>
      </c>
      <c r="AA117" s="962" t="s">
        <v>350</v>
      </c>
      <c r="AB117" s="962" t="s">
        <v>350</v>
      </c>
    </row>
    <row r="118" spans="1:28">
      <c r="A118" s="966"/>
      <c r="B118" s="967"/>
      <c r="C118" s="968" t="s">
        <v>328</v>
      </c>
      <c r="D118" s="968" t="s">
        <v>352</v>
      </c>
      <c r="E118" s="968" t="s">
        <v>54</v>
      </c>
      <c r="F118" s="968" t="s">
        <v>55</v>
      </c>
      <c r="G118" s="968" t="s">
        <v>329</v>
      </c>
      <c r="H118" s="968" t="s">
        <v>353</v>
      </c>
      <c r="I118" s="968" t="s">
        <v>330</v>
      </c>
      <c r="J118" s="964" t="s">
        <v>354</v>
      </c>
      <c r="K118" s="984" t="s">
        <v>355</v>
      </c>
      <c r="L118" s="984" t="s">
        <v>356</v>
      </c>
      <c r="M118" s="984" t="s">
        <v>357</v>
      </c>
      <c r="N118" s="958"/>
      <c r="O118" s="958"/>
      <c r="P118" s="966"/>
      <c r="Q118" s="992"/>
      <c r="R118" s="968" t="s">
        <v>328</v>
      </c>
      <c r="S118" s="968" t="s">
        <v>358</v>
      </c>
      <c r="T118" s="968" t="s">
        <v>54</v>
      </c>
      <c r="U118" s="968" t="s">
        <v>55</v>
      </c>
      <c r="V118" s="968" t="s">
        <v>329</v>
      </c>
      <c r="W118" s="968" t="s">
        <v>359</v>
      </c>
      <c r="X118" s="968" t="s">
        <v>330</v>
      </c>
      <c r="Y118" s="964" t="s">
        <v>354</v>
      </c>
      <c r="Z118" s="984" t="s">
        <v>355</v>
      </c>
      <c r="AA118" s="984" t="s">
        <v>356</v>
      </c>
      <c r="AB118" s="984" t="s">
        <v>357</v>
      </c>
    </row>
    <row r="119" spans="1:28">
      <c r="A119" s="969" t="s">
        <v>54</v>
      </c>
      <c r="B119" s="970">
        <v>130216.25</v>
      </c>
      <c r="C119" s="971">
        <v>52961</v>
      </c>
      <c r="D119" s="971">
        <v>51628</v>
      </c>
      <c r="E119" s="971"/>
      <c r="F119" s="971">
        <v>16074</v>
      </c>
      <c r="G119" s="971">
        <v>10126</v>
      </c>
      <c r="H119" s="971">
        <v>45254</v>
      </c>
      <c r="I119" s="971">
        <v>35374</v>
      </c>
      <c r="J119" s="985">
        <v>13653</v>
      </c>
      <c r="K119" s="986"/>
      <c r="L119" s="986"/>
      <c r="M119" s="986">
        <v>6758</v>
      </c>
      <c r="N119" s="958"/>
      <c r="O119" s="958"/>
      <c r="P119" s="969" t="s">
        <v>54</v>
      </c>
      <c r="Q119" s="993">
        <v>0.31932069833250898</v>
      </c>
      <c r="R119" s="994">
        <v>0.68971507335586602</v>
      </c>
      <c r="S119" s="994">
        <v>0.69563027814364298</v>
      </c>
      <c r="T119" s="971"/>
      <c r="U119" s="994">
        <v>0.84963294761727004</v>
      </c>
      <c r="V119" s="994">
        <v>0.8562117321746</v>
      </c>
      <c r="W119" s="994">
        <v>0.68849162504971895</v>
      </c>
      <c r="X119" s="994">
        <v>0.73011251201447402</v>
      </c>
      <c r="Y119" s="1001">
        <v>0.74445176884201303</v>
      </c>
      <c r="Z119" s="996"/>
      <c r="AA119" s="996"/>
      <c r="AB119" s="996">
        <v>0.84181710565255996</v>
      </c>
    </row>
    <row r="120" spans="1:28">
      <c r="A120" s="972"/>
      <c r="B120" s="973"/>
      <c r="C120" s="974">
        <v>0.40671575168229801</v>
      </c>
      <c r="D120" s="974">
        <v>0.39647893408080798</v>
      </c>
      <c r="E120" s="974"/>
      <c r="F120" s="974">
        <v>0.12344081479846</v>
      </c>
      <c r="G120" s="974">
        <v>7.7762952012517594E-2</v>
      </c>
      <c r="H120" s="974">
        <v>0.34752959020091601</v>
      </c>
      <c r="I120" s="974">
        <v>0.271655803327158</v>
      </c>
      <c r="J120" s="987">
        <v>0.104848665201156</v>
      </c>
      <c r="K120" s="987"/>
      <c r="L120" s="987"/>
      <c r="M120" s="987">
        <v>5.1898284584297301E-2</v>
      </c>
      <c r="N120" s="958"/>
      <c r="O120" s="958"/>
      <c r="P120" s="972"/>
      <c r="Q120" s="995"/>
      <c r="R120" s="974"/>
      <c r="S120" s="974"/>
      <c r="T120" s="974"/>
      <c r="U120" s="974"/>
      <c r="V120" s="974"/>
      <c r="W120" s="974"/>
      <c r="X120" s="974"/>
      <c r="Y120" s="1002"/>
      <c r="Z120" s="1003"/>
      <c r="AA120" s="1003"/>
      <c r="AB120" s="1003"/>
    </row>
    <row r="121" spans="1:28">
      <c r="A121" s="969" t="s">
        <v>55</v>
      </c>
      <c r="B121" s="975">
        <v>236216</v>
      </c>
      <c r="C121" s="971">
        <v>69531</v>
      </c>
      <c r="D121" s="971">
        <v>67586</v>
      </c>
      <c r="E121" s="971">
        <v>25925</v>
      </c>
      <c r="F121" s="976"/>
      <c r="G121" s="971">
        <v>14613</v>
      </c>
      <c r="H121" s="971">
        <v>54500</v>
      </c>
      <c r="I121" s="971">
        <v>46197</v>
      </c>
      <c r="J121" s="985">
        <v>13932</v>
      </c>
      <c r="K121" s="986"/>
      <c r="L121" s="986"/>
      <c r="M121" s="986">
        <v>5931</v>
      </c>
      <c r="N121" s="958"/>
      <c r="O121" s="958"/>
      <c r="P121" s="969" t="s">
        <v>55</v>
      </c>
      <c r="Q121" s="996">
        <v>0.15495986724015301</v>
      </c>
      <c r="R121" s="994">
        <v>0.46858235894780698</v>
      </c>
      <c r="S121" s="994">
        <v>0.480454532003669</v>
      </c>
      <c r="T121" s="994">
        <v>0.59452266152362598</v>
      </c>
      <c r="U121" s="971"/>
      <c r="V121" s="994">
        <v>0.65893382604530204</v>
      </c>
      <c r="W121" s="994">
        <v>0.45216513761467902</v>
      </c>
      <c r="X121" s="994">
        <v>0.55434335562915305</v>
      </c>
      <c r="Y121" s="1001">
        <v>0.212173413723801</v>
      </c>
      <c r="Z121" s="996"/>
      <c r="AA121" s="996"/>
      <c r="AB121" s="996">
        <v>0.77204518630922303</v>
      </c>
    </row>
    <row r="122" spans="1:28">
      <c r="A122" s="972"/>
      <c r="B122" s="973"/>
      <c r="C122" s="974">
        <v>0.29435347309242399</v>
      </c>
      <c r="D122" s="974">
        <v>0.28611948386222802</v>
      </c>
      <c r="E122" s="974">
        <v>0.109751244623565</v>
      </c>
      <c r="F122" s="974"/>
      <c r="G122" s="974">
        <v>6.1862871270362697E-2</v>
      </c>
      <c r="H122" s="974">
        <v>0.23072103498492899</v>
      </c>
      <c r="I122" s="974">
        <v>0.19557100281098699</v>
      </c>
      <c r="J122" s="987">
        <v>5.89799166864226E-2</v>
      </c>
      <c r="K122" s="987"/>
      <c r="L122" s="987"/>
      <c r="M122" s="987">
        <v>2.5108375385240599E-2</v>
      </c>
      <c r="N122" s="958"/>
      <c r="O122" s="958"/>
      <c r="P122" s="972"/>
      <c r="Q122" s="995"/>
      <c r="R122" s="974"/>
      <c r="S122" s="974"/>
      <c r="T122" s="974"/>
      <c r="U122" s="974"/>
      <c r="V122" s="974"/>
      <c r="W122" s="974"/>
      <c r="X122" s="974"/>
      <c r="Y122" s="1002"/>
      <c r="Z122" s="1003"/>
      <c r="AA122" s="1003"/>
      <c r="AB122" s="1003"/>
    </row>
    <row r="123" spans="1:28">
      <c r="A123" s="969" t="s">
        <v>329</v>
      </c>
      <c r="B123" s="975">
        <v>158190</v>
      </c>
      <c r="C123" s="971">
        <v>23749</v>
      </c>
      <c r="D123" s="971">
        <v>23506</v>
      </c>
      <c r="E123" s="971">
        <v>8576</v>
      </c>
      <c r="F123" s="971">
        <v>5429</v>
      </c>
      <c r="G123" s="976"/>
      <c r="H123" s="971">
        <v>20858</v>
      </c>
      <c r="I123" s="971">
        <v>14554</v>
      </c>
      <c r="J123" s="985">
        <v>2617</v>
      </c>
      <c r="K123" s="986"/>
      <c r="L123" s="986"/>
      <c r="M123" s="986">
        <v>3095</v>
      </c>
      <c r="N123" s="958"/>
      <c r="O123" s="958"/>
      <c r="P123" s="969" t="s">
        <v>329</v>
      </c>
      <c r="Q123" s="996">
        <v>6.5326506100259196E-2</v>
      </c>
      <c r="R123" s="994">
        <v>0.43357615057476101</v>
      </c>
      <c r="S123" s="994">
        <v>0.43563345528801201</v>
      </c>
      <c r="T123" s="994">
        <v>0.61881996268656703</v>
      </c>
      <c r="U123" s="994">
        <v>0.712285872167987</v>
      </c>
      <c r="V123" s="971"/>
      <c r="W123" s="994">
        <v>0.38311439255920998</v>
      </c>
      <c r="X123" s="994">
        <v>0.470935825202693</v>
      </c>
      <c r="Y123" s="1001">
        <v>0.37332823844096302</v>
      </c>
      <c r="Z123" s="996"/>
      <c r="AA123" s="996"/>
      <c r="AB123" s="996">
        <v>0.74959612277867504</v>
      </c>
    </row>
    <row r="124" spans="1:28">
      <c r="A124" s="972"/>
      <c r="B124" s="973"/>
      <c r="C124" s="974">
        <v>0.150129590998167</v>
      </c>
      <c r="D124" s="974">
        <v>0.14859346355648301</v>
      </c>
      <c r="E124" s="974">
        <v>5.4213287818446199E-2</v>
      </c>
      <c r="F124" s="974">
        <v>3.4319489221821903E-2</v>
      </c>
      <c r="G124" s="974"/>
      <c r="H124" s="974">
        <v>0.13185409950060101</v>
      </c>
      <c r="I124" s="974">
        <v>9.2003287186294996E-2</v>
      </c>
      <c r="J124" s="987">
        <v>1.6543397180605601E-2</v>
      </c>
      <c r="K124" s="987"/>
      <c r="L124" s="987"/>
      <c r="M124" s="987">
        <v>1.9565079967128099E-2</v>
      </c>
      <c r="N124" s="958"/>
      <c r="O124" s="958"/>
      <c r="P124" s="972"/>
      <c r="Q124" s="995"/>
      <c r="R124" s="974"/>
      <c r="S124" s="974"/>
      <c r="T124" s="974"/>
      <c r="U124" s="974"/>
      <c r="V124" s="997"/>
      <c r="W124" s="974"/>
      <c r="X124" s="974"/>
      <c r="Y124" s="1002"/>
      <c r="Z124" s="1003"/>
      <c r="AA124" s="1003"/>
      <c r="AB124" s="1003"/>
    </row>
    <row r="125" spans="1:28">
      <c r="A125" s="969" t="s">
        <v>360</v>
      </c>
      <c r="B125" s="975">
        <v>260824</v>
      </c>
      <c r="C125" s="971">
        <v>89555</v>
      </c>
      <c r="D125" s="971">
        <v>81903</v>
      </c>
      <c r="E125" s="971">
        <v>68029</v>
      </c>
      <c r="F125" s="971">
        <v>29143</v>
      </c>
      <c r="G125" s="971">
        <v>20239</v>
      </c>
      <c r="H125" s="976"/>
      <c r="I125" s="976">
        <v>58004</v>
      </c>
      <c r="J125" s="985">
        <v>38096</v>
      </c>
      <c r="K125" s="986"/>
      <c r="L125" s="986"/>
      <c r="M125" s="986">
        <v>13073</v>
      </c>
      <c r="N125" s="958"/>
      <c r="O125" s="958"/>
      <c r="P125" s="969" t="s">
        <v>360</v>
      </c>
      <c r="Q125" s="996">
        <v>0.253381590651167</v>
      </c>
      <c r="R125" s="994">
        <v>0.659672826754508</v>
      </c>
      <c r="S125" s="994">
        <v>0.69026775575986199</v>
      </c>
      <c r="T125" s="994">
        <v>0.732393538049949</v>
      </c>
      <c r="U125" s="994">
        <v>0.85907422022441104</v>
      </c>
      <c r="V125" s="994">
        <v>0.823509066653491</v>
      </c>
      <c r="W125" s="998"/>
      <c r="X125" s="998">
        <v>0.687969795186539</v>
      </c>
      <c r="Y125" s="1001">
        <v>0.64345338093238102</v>
      </c>
      <c r="Z125" s="996"/>
      <c r="AA125" s="996"/>
      <c r="AB125" s="996">
        <v>0.89466840052015595</v>
      </c>
    </row>
    <row r="126" spans="1:28">
      <c r="A126" s="972"/>
      <c r="B126" s="973"/>
      <c r="C126" s="974">
        <v>0.34335413918964502</v>
      </c>
      <c r="D126" s="974">
        <v>0.31401634818881702</v>
      </c>
      <c r="E126" s="974">
        <v>0.26082339048553799</v>
      </c>
      <c r="F126" s="974">
        <v>0.11173434959973</v>
      </c>
      <c r="G126" s="974">
        <v>7.7596386835567299E-2</v>
      </c>
      <c r="H126" s="974"/>
      <c r="I126" s="974">
        <v>0.22238751035180801</v>
      </c>
      <c r="J126" s="987">
        <v>0.14606017851118</v>
      </c>
      <c r="K126" s="987"/>
      <c r="L126" s="987"/>
      <c r="M126" s="987">
        <v>5.0121921295586298E-2</v>
      </c>
      <c r="N126" s="958"/>
      <c r="O126" s="958"/>
      <c r="P126" s="972"/>
      <c r="Q126" s="999"/>
      <c r="R126" s="974"/>
      <c r="S126" s="974"/>
      <c r="T126" s="974"/>
      <c r="U126" s="974"/>
      <c r="V126" s="974"/>
      <c r="W126" s="974"/>
      <c r="X126" s="974"/>
      <c r="Y126" s="1002"/>
      <c r="Z126" s="1003"/>
      <c r="AA126" s="1003"/>
      <c r="AB126" s="1003"/>
    </row>
    <row r="127" spans="1:28">
      <c r="A127" s="969" t="s">
        <v>330</v>
      </c>
      <c r="B127" s="977">
        <v>1245128</v>
      </c>
      <c r="C127" s="971">
        <v>31211</v>
      </c>
      <c r="D127" s="971">
        <v>29528</v>
      </c>
      <c r="E127" s="971">
        <v>12760</v>
      </c>
      <c r="F127" s="971">
        <v>6121</v>
      </c>
      <c r="G127" s="971">
        <v>3591</v>
      </c>
      <c r="H127" s="976">
        <v>25456</v>
      </c>
      <c r="I127" s="976"/>
      <c r="J127" s="985">
        <v>6649</v>
      </c>
      <c r="K127" s="986"/>
      <c r="L127" s="986"/>
      <c r="M127" s="986">
        <v>2210</v>
      </c>
      <c r="N127" s="958"/>
      <c r="O127" s="958"/>
      <c r="P127" s="969" t="s">
        <v>330</v>
      </c>
      <c r="Q127" s="996">
        <v>1.5008095553228301E-2</v>
      </c>
      <c r="R127" s="994">
        <v>0.576335266412483</v>
      </c>
      <c r="S127" s="994">
        <v>0.59709428339203496</v>
      </c>
      <c r="T127" s="994">
        <v>0.763949843260188</v>
      </c>
      <c r="U127" s="994">
        <v>0.79692860643685703</v>
      </c>
      <c r="V127" s="994">
        <v>0.868003341687552</v>
      </c>
      <c r="W127" s="994">
        <v>0.55833595223130095</v>
      </c>
      <c r="X127" s="998"/>
      <c r="Y127" s="1001">
        <v>0.459317190554971</v>
      </c>
      <c r="Z127" s="996"/>
      <c r="AA127" s="996"/>
      <c r="AB127" s="996">
        <v>0.804977375565611</v>
      </c>
    </row>
    <row r="128" spans="1:28">
      <c r="A128" s="978"/>
      <c r="B128" s="979"/>
      <c r="C128" s="980">
        <v>2.5066499187232201E-2</v>
      </c>
      <c r="D128" s="981">
        <v>2.3714830925013301E-2</v>
      </c>
      <c r="E128" s="981">
        <v>1.0247942380221101E-2</v>
      </c>
      <c r="F128" s="981">
        <v>4.9159604474399397E-3</v>
      </c>
      <c r="G128" s="981">
        <v>2.8840408375685098E-3</v>
      </c>
      <c r="H128" s="981">
        <v>2.0444484422485101E-2</v>
      </c>
      <c r="I128" s="981"/>
      <c r="J128" s="987">
        <v>5.3400132355870197E-3</v>
      </c>
      <c r="K128" s="988"/>
      <c r="L128" s="988"/>
      <c r="M128" s="987">
        <v>1.77491792008532E-3</v>
      </c>
      <c r="N128" s="958"/>
      <c r="O128" s="958"/>
      <c r="P128" s="978"/>
      <c r="Q128" s="1000"/>
      <c r="R128" s="981"/>
      <c r="S128" s="981"/>
      <c r="T128" s="981"/>
      <c r="U128" s="981"/>
      <c r="V128" s="981"/>
      <c r="W128" s="981"/>
      <c r="X128" s="981"/>
      <c r="Y128" s="1004"/>
      <c r="Z128" s="988"/>
      <c r="AA128" s="988"/>
      <c r="AB128" s="988"/>
    </row>
    <row r="129" spans="1:28">
      <c r="A129" s="1005" t="s">
        <v>361</v>
      </c>
      <c r="B129" s="1006">
        <f>B119+B121+B123+B125+B127</f>
        <v>2030574.25</v>
      </c>
      <c r="C129" s="1007">
        <f>C119+C121+C123+C125+C127</f>
        <v>267007</v>
      </c>
      <c r="D129" s="1007">
        <f t="shared" ref="D129:J129" si="105">D119+D121+D123+D125+D127</f>
        <v>254151</v>
      </c>
      <c r="E129" s="1007">
        <f t="shared" si="105"/>
        <v>115290</v>
      </c>
      <c r="F129" s="1007">
        <f t="shared" si="105"/>
        <v>56767</v>
      </c>
      <c r="G129" s="1007">
        <f t="shared" si="105"/>
        <v>48569</v>
      </c>
      <c r="H129" s="1007">
        <f t="shared" si="105"/>
        <v>146068</v>
      </c>
      <c r="I129" s="1007">
        <f t="shared" si="105"/>
        <v>154129</v>
      </c>
      <c r="J129" s="1019">
        <f t="shared" si="105"/>
        <v>74947</v>
      </c>
      <c r="K129" s="1020"/>
      <c r="L129" s="1020"/>
      <c r="M129" s="1020">
        <f>M119+M121+M123+M125+M127</f>
        <v>31067</v>
      </c>
      <c r="N129" s="958"/>
      <c r="O129" s="958"/>
      <c r="P129" s="1005" t="s">
        <v>361</v>
      </c>
      <c r="Q129" s="1033"/>
      <c r="R129" s="1034"/>
      <c r="S129" s="1034"/>
      <c r="T129" s="1034"/>
      <c r="U129" s="1034"/>
      <c r="V129" s="1034"/>
      <c r="W129" s="1034"/>
      <c r="X129" s="1034"/>
      <c r="Y129" s="1061"/>
      <c r="Z129" s="1033"/>
      <c r="AA129" s="1033"/>
      <c r="AB129" s="1033"/>
    </row>
    <row r="130" spans="1:28">
      <c r="A130" s="1008" t="s">
        <v>362</v>
      </c>
      <c r="B130" s="1009"/>
      <c r="C130" s="1010">
        <v>0.127034118762031</v>
      </c>
      <c r="D130" s="1010">
        <v>0.120642950340536</v>
      </c>
      <c r="E130" s="1010">
        <v>5.43705326746231E-2</v>
      </c>
      <c r="F130" s="1010">
        <v>2.7255421863343302E-2</v>
      </c>
      <c r="G130" s="1010">
        <v>2.3768692219564201E-2</v>
      </c>
      <c r="H130" s="1010">
        <v>7.1934330891864698E-2</v>
      </c>
      <c r="I130" s="1010">
        <v>7.5904143864721996E-2</v>
      </c>
      <c r="J130" s="1021">
        <v>3.6909263475590703E-2</v>
      </c>
      <c r="K130" s="1022"/>
      <c r="L130" s="1022"/>
      <c r="M130" s="1022">
        <v>1.5299612905068601E-2</v>
      </c>
      <c r="N130" s="958"/>
      <c r="O130" s="958"/>
      <c r="P130" s="1008" t="s">
        <v>362</v>
      </c>
      <c r="Q130" s="1035"/>
      <c r="R130" s="1036"/>
      <c r="S130" s="1036"/>
      <c r="T130" s="1036"/>
      <c r="U130" s="1036"/>
      <c r="V130" s="1036"/>
      <c r="W130" s="1036"/>
      <c r="X130" s="1036"/>
      <c r="Y130" s="1062"/>
      <c r="Z130" s="1063"/>
      <c r="AA130" s="1063"/>
      <c r="AB130" s="1063"/>
    </row>
    <row r="131" spans="1:28">
      <c r="A131" s="969" t="s">
        <v>59</v>
      </c>
      <c r="B131" s="975">
        <v>89036</v>
      </c>
      <c r="C131" s="971">
        <v>18214</v>
      </c>
      <c r="D131" s="971">
        <v>17210</v>
      </c>
      <c r="E131" s="971">
        <v>6738</v>
      </c>
      <c r="F131" s="971">
        <v>3192</v>
      </c>
      <c r="G131" s="971">
        <v>1739</v>
      </c>
      <c r="H131" s="971">
        <v>14764</v>
      </c>
      <c r="I131" s="971">
        <v>7716</v>
      </c>
      <c r="J131" s="1023"/>
      <c r="K131" s="1024"/>
      <c r="L131" s="1024"/>
      <c r="M131" s="1024">
        <v>1137</v>
      </c>
      <c r="N131" s="958"/>
      <c r="O131" s="958"/>
      <c r="P131" s="969" t="s">
        <v>59</v>
      </c>
      <c r="Q131" s="996"/>
      <c r="R131" s="994"/>
      <c r="S131" s="994"/>
      <c r="T131" s="994"/>
      <c r="U131" s="994"/>
      <c r="V131" s="994"/>
      <c r="W131" s="994"/>
      <c r="X131" s="994"/>
      <c r="Y131" s="976"/>
      <c r="Z131" s="996"/>
      <c r="AA131" s="996"/>
      <c r="AB131" s="996"/>
    </row>
    <row r="132" spans="1:28">
      <c r="A132" s="1011"/>
      <c r="B132" s="967"/>
      <c r="C132" s="1012">
        <v>0.20456893840693699</v>
      </c>
      <c r="D132" s="1012">
        <v>0.19329260074576601</v>
      </c>
      <c r="E132" s="1012">
        <v>7.5677254144390999E-2</v>
      </c>
      <c r="F132" s="1012">
        <v>3.5850667145873601E-2</v>
      </c>
      <c r="G132" s="1012">
        <v>1.9531425490812701E-2</v>
      </c>
      <c r="H132" s="1012">
        <v>0.16582056696167799</v>
      </c>
      <c r="I132" s="1012">
        <v>8.66615750932207E-2</v>
      </c>
      <c r="J132" s="1025">
        <v>0</v>
      </c>
      <c r="K132" s="1026"/>
      <c r="L132" s="1026"/>
      <c r="M132" s="1026">
        <v>1.27701154589155E-2</v>
      </c>
      <c r="N132" s="958"/>
      <c r="O132" s="958"/>
      <c r="P132" s="1011"/>
      <c r="Q132" s="992"/>
      <c r="R132" s="1012"/>
      <c r="S132" s="1012"/>
      <c r="T132" s="1012"/>
      <c r="U132" s="1012"/>
      <c r="V132" s="1012"/>
      <c r="W132" s="1012"/>
      <c r="X132" s="1012"/>
      <c r="Y132" s="1025"/>
      <c r="Z132" s="1026"/>
      <c r="AA132" s="1026"/>
      <c r="AB132" s="1026"/>
    </row>
    <row r="133" spans="1:28">
      <c r="A133" s="1005" t="s">
        <v>333</v>
      </c>
      <c r="B133" s="1013">
        <f>B129+B131</f>
        <v>2119610.25</v>
      </c>
      <c r="C133" s="1014">
        <f t="shared" ref="C133:J133" si="106">C129+C131</f>
        <v>285221</v>
      </c>
      <c r="D133" s="1015">
        <f t="shared" si="106"/>
        <v>271361</v>
      </c>
      <c r="E133" s="1015">
        <f t="shared" si="106"/>
        <v>122028</v>
      </c>
      <c r="F133" s="1015">
        <f t="shared" si="106"/>
        <v>59959</v>
      </c>
      <c r="G133" s="1015">
        <f t="shared" si="106"/>
        <v>50308</v>
      </c>
      <c r="H133" s="1015">
        <f t="shared" si="106"/>
        <v>160832</v>
      </c>
      <c r="I133" s="1015">
        <f t="shared" si="106"/>
        <v>161845</v>
      </c>
      <c r="J133" s="1027">
        <f t="shared" si="106"/>
        <v>74947</v>
      </c>
      <c r="K133" s="1028"/>
      <c r="L133" s="1028"/>
      <c r="M133" s="1028">
        <f>M129+M131</f>
        <v>32204</v>
      </c>
      <c r="N133" s="958"/>
      <c r="O133" s="958"/>
      <c r="P133" s="1005" t="s">
        <v>333</v>
      </c>
      <c r="Q133" s="1037"/>
      <c r="R133" s="1038"/>
      <c r="S133" s="1039"/>
      <c r="T133" s="1039"/>
      <c r="U133" s="1039"/>
      <c r="V133" s="1039"/>
      <c r="W133" s="1039"/>
      <c r="X133" s="1039"/>
      <c r="Y133" s="1064"/>
      <c r="Z133" s="1065"/>
      <c r="AA133" s="1065"/>
      <c r="AB133" s="1065"/>
    </row>
    <row r="134" spans="1:28">
      <c r="A134" s="1016"/>
      <c r="B134" s="1017"/>
      <c r="C134" s="1018">
        <f>C133/$B133</f>
        <v>0.13456294618314901</v>
      </c>
      <c r="D134" s="1018">
        <f t="shared" ref="D134:J134" si="107">D133/$B133</f>
        <v>0.12802400818735399</v>
      </c>
      <c r="E134" s="1018">
        <f t="shared" si="107"/>
        <v>5.75709614538805E-2</v>
      </c>
      <c r="F134" s="1018">
        <f t="shared" si="107"/>
        <v>2.8287747712108902E-2</v>
      </c>
      <c r="G134" s="1018">
        <f t="shared" si="107"/>
        <v>2.37345521423101E-2</v>
      </c>
      <c r="H134" s="1018">
        <f t="shared" si="107"/>
        <v>7.5878100702711698E-2</v>
      </c>
      <c r="I134" s="1018">
        <f t="shared" si="107"/>
        <v>7.6356018753919494E-2</v>
      </c>
      <c r="J134" s="1029">
        <f t="shared" si="107"/>
        <v>3.5358859016651797E-2</v>
      </c>
      <c r="K134" s="1030"/>
      <c r="L134" s="1030"/>
      <c r="M134" s="1030">
        <f>M133/$B133</f>
        <v>1.5193359250833999E-2</v>
      </c>
      <c r="N134" s="1031"/>
      <c r="O134" s="958"/>
      <c r="P134" s="1016"/>
      <c r="Q134" s="1017"/>
      <c r="R134" s="1018"/>
      <c r="S134" s="1018"/>
      <c r="T134" s="1018"/>
      <c r="U134" s="1018"/>
      <c r="V134" s="1018"/>
      <c r="W134" s="1018"/>
      <c r="X134" s="1018"/>
      <c r="Y134" s="1029"/>
      <c r="Z134" s="1030"/>
      <c r="AA134" s="1030"/>
      <c r="AB134" s="1030"/>
    </row>
    <row r="137" spans="1:28">
      <c r="A137" s="955" t="s">
        <v>338</v>
      </c>
      <c r="B137" s="956"/>
      <c r="C137" s="955">
        <v>2016</v>
      </c>
      <c r="D137" s="839"/>
      <c r="E137" s="839"/>
      <c r="F137" s="839"/>
      <c r="G137" s="839"/>
      <c r="N137" s="958"/>
      <c r="O137" s="958"/>
      <c r="P137" s="955" t="s">
        <v>338</v>
      </c>
      <c r="Q137" s="955"/>
      <c r="R137" s="955">
        <v>2016</v>
      </c>
      <c r="S137" s="839"/>
      <c r="T137" s="958"/>
      <c r="U137" s="958"/>
      <c r="V137" s="958"/>
      <c r="W137" s="958"/>
      <c r="X137" s="958"/>
      <c r="Y137" s="958"/>
      <c r="Z137" s="958"/>
      <c r="AA137" s="958"/>
      <c r="AB137" s="958"/>
    </row>
    <row r="138" spans="1:28">
      <c r="A138" s="958"/>
      <c r="B138" s="842"/>
      <c r="C138" s="958"/>
      <c r="D138" s="958"/>
      <c r="E138" s="958"/>
      <c r="F138" s="958"/>
      <c r="G138" s="958"/>
      <c r="H138" s="958"/>
      <c r="I138" s="958"/>
      <c r="J138" s="958"/>
      <c r="K138" s="958"/>
      <c r="L138" s="958"/>
      <c r="M138" s="958"/>
      <c r="N138" s="958"/>
      <c r="O138" s="958"/>
      <c r="P138" s="958"/>
      <c r="Q138" s="958"/>
      <c r="R138" s="958"/>
      <c r="S138" s="958"/>
      <c r="T138" s="958"/>
      <c r="U138" s="958"/>
      <c r="V138" s="958"/>
      <c r="W138" s="958"/>
      <c r="X138" s="958"/>
      <c r="Y138" s="958"/>
      <c r="Z138" s="958"/>
      <c r="AA138" s="958"/>
      <c r="AB138" s="958"/>
    </row>
    <row r="139" spans="1:28">
      <c r="A139" s="959" t="s">
        <v>315</v>
      </c>
      <c r="B139" s="960" t="s">
        <v>316</v>
      </c>
      <c r="C139" s="961"/>
      <c r="D139" s="961"/>
      <c r="E139" s="961" t="s">
        <v>339</v>
      </c>
      <c r="F139" s="961"/>
      <c r="G139" s="961"/>
      <c r="H139" s="961"/>
      <c r="I139" s="961"/>
      <c r="J139" s="961"/>
      <c r="K139" s="959" t="s">
        <v>340</v>
      </c>
      <c r="L139" s="959" t="s">
        <v>341</v>
      </c>
      <c r="M139" s="959" t="s">
        <v>342</v>
      </c>
      <c r="N139" s="958"/>
      <c r="O139" s="958"/>
      <c r="P139" s="959" t="s">
        <v>315</v>
      </c>
      <c r="Q139" s="990" t="s">
        <v>316</v>
      </c>
      <c r="R139" s="961"/>
      <c r="S139" s="961"/>
      <c r="T139" s="961" t="s">
        <v>343</v>
      </c>
      <c r="U139" s="961"/>
      <c r="V139" s="961"/>
      <c r="W139" s="961"/>
      <c r="X139" s="961"/>
      <c r="Y139" s="961"/>
      <c r="Z139" s="959" t="s">
        <v>340</v>
      </c>
      <c r="AA139" s="959" t="s">
        <v>341</v>
      </c>
      <c r="AB139" s="959" t="s">
        <v>342</v>
      </c>
    </row>
    <row r="140" spans="1:28">
      <c r="A140" s="962" t="s">
        <v>344</v>
      </c>
      <c r="B140" s="963" t="s">
        <v>320</v>
      </c>
      <c r="C140" s="964"/>
      <c r="D140" s="964"/>
      <c r="E140" s="964" t="s">
        <v>345</v>
      </c>
      <c r="F140" s="964"/>
      <c r="G140" s="964"/>
      <c r="H140" s="964"/>
      <c r="I140" s="964"/>
      <c r="J140" s="964"/>
      <c r="K140" s="982" t="s">
        <v>346</v>
      </c>
      <c r="L140" s="982" t="s">
        <v>346</v>
      </c>
      <c r="M140" s="982" t="s">
        <v>346</v>
      </c>
      <c r="N140" s="958"/>
      <c r="O140" s="958"/>
      <c r="P140" s="962" t="s">
        <v>344</v>
      </c>
      <c r="Q140" s="991" t="s">
        <v>320</v>
      </c>
      <c r="R140" s="964"/>
      <c r="S140" s="964"/>
      <c r="T140" s="964" t="s">
        <v>347</v>
      </c>
      <c r="U140" s="964"/>
      <c r="V140" s="964"/>
      <c r="W140" s="964"/>
      <c r="X140" s="964"/>
      <c r="Y140" s="964"/>
      <c r="Z140" s="982" t="s">
        <v>346</v>
      </c>
      <c r="AA140" s="982" t="s">
        <v>346</v>
      </c>
      <c r="AB140" s="982" t="s">
        <v>346</v>
      </c>
    </row>
    <row r="141" spans="1:28">
      <c r="A141" s="962" t="s">
        <v>325</v>
      </c>
      <c r="B141" s="963" t="s">
        <v>61</v>
      </c>
      <c r="C141" s="965" t="s">
        <v>326</v>
      </c>
      <c r="D141" s="965" t="s">
        <v>348</v>
      </c>
      <c r="E141" s="965"/>
      <c r="F141" s="965"/>
      <c r="G141" s="965"/>
      <c r="H141" s="965"/>
      <c r="I141" s="965"/>
      <c r="J141" s="983" t="s">
        <v>126</v>
      </c>
      <c r="K141" s="962" t="s">
        <v>349</v>
      </c>
      <c r="L141" s="962" t="s">
        <v>350</v>
      </c>
      <c r="M141" s="962" t="s">
        <v>350</v>
      </c>
      <c r="N141" s="958"/>
      <c r="O141" s="958"/>
      <c r="P141" s="962" t="s">
        <v>325</v>
      </c>
      <c r="Q141" s="991" t="s">
        <v>61</v>
      </c>
      <c r="R141" s="965" t="s">
        <v>326</v>
      </c>
      <c r="S141" s="965" t="s">
        <v>351</v>
      </c>
      <c r="T141" s="965"/>
      <c r="U141" s="965"/>
      <c r="V141" s="965"/>
      <c r="W141" s="965"/>
      <c r="X141" s="965"/>
      <c r="Y141" s="983" t="s">
        <v>126</v>
      </c>
      <c r="Z141" s="962" t="s">
        <v>349</v>
      </c>
      <c r="AA141" s="962" t="s">
        <v>350</v>
      </c>
      <c r="AB141" s="962" t="s">
        <v>350</v>
      </c>
    </row>
    <row r="142" spans="1:28">
      <c r="A142" s="966"/>
      <c r="B142" s="967"/>
      <c r="C142" s="968" t="s">
        <v>328</v>
      </c>
      <c r="D142" s="968" t="s">
        <v>352</v>
      </c>
      <c r="E142" s="968" t="s">
        <v>54</v>
      </c>
      <c r="F142" s="968" t="s">
        <v>55</v>
      </c>
      <c r="G142" s="968" t="s">
        <v>329</v>
      </c>
      <c r="H142" s="968" t="s">
        <v>353</v>
      </c>
      <c r="I142" s="968" t="s">
        <v>330</v>
      </c>
      <c r="J142" s="964" t="s">
        <v>354</v>
      </c>
      <c r="K142" s="984" t="s">
        <v>355</v>
      </c>
      <c r="L142" s="984" t="s">
        <v>356</v>
      </c>
      <c r="M142" s="984" t="s">
        <v>357</v>
      </c>
      <c r="N142" s="958"/>
      <c r="O142" s="958"/>
      <c r="P142" s="966"/>
      <c r="Q142" s="992"/>
      <c r="R142" s="968" t="s">
        <v>328</v>
      </c>
      <c r="S142" s="968" t="s">
        <v>358</v>
      </c>
      <c r="T142" s="968" t="s">
        <v>54</v>
      </c>
      <c r="U142" s="968" t="s">
        <v>55</v>
      </c>
      <c r="V142" s="968" t="s">
        <v>329</v>
      </c>
      <c r="W142" s="968" t="s">
        <v>359</v>
      </c>
      <c r="X142" s="968" t="s">
        <v>330</v>
      </c>
      <c r="Y142" s="964" t="s">
        <v>354</v>
      </c>
      <c r="Z142" s="984" t="s">
        <v>355</v>
      </c>
      <c r="AA142" s="984" t="s">
        <v>356</v>
      </c>
      <c r="AB142" s="984" t="s">
        <v>357</v>
      </c>
    </row>
    <row r="143" spans="1:28">
      <c r="A143" s="969" t="s">
        <v>54</v>
      </c>
      <c r="B143" s="970">
        <v>130034.25</v>
      </c>
      <c r="C143" s="971">
        <v>52184</v>
      </c>
      <c r="D143" s="971">
        <v>50845</v>
      </c>
      <c r="E143" s="971"/>
      <c r="F143" s="971">
        <v>16552</v>
      </c>
      <c r="G143" s="971">
        <v>10278</v>
      </c>
      <c r="H143" s="971">
        <v>45718</v>
      </c>
      <c r="I143" s="971">
        <v>33665</v>
      </c>
      <c r="J143" s="985">
        <v>14043</v>
      </c>
      <c r="K143" s="986"/>
      <c r="L143" s="986"/>
      <c r="M143" s="986">
        <v>7153</v>
      </c>
      <c r="N143" s="958"/>
      <c r="O143" s="958"/>
      <c r="P143" s="969" t="s">
        <v>54</v>
      </c>
      <c r="Q143" s="993">
        <v>0.31376430418009699</v>
      </c>
      <c r="R143" s="994">
        <v>0.692721907097961</v>
      </c>
      <c r="S143" s="994">
        <v>0.69774805782279503</v>
      </c>
      <c r="T143" s="971"/>
      <c r="U143" s="994">
        <v>0.84751087481875298</v>
      </c>
      <c r="V143" s="994">
        <v>0.86855419342284501</v>
      </c>
      <c r="W143" s="994">
        <v>0.69521851349577801</v>
      </c>
      <c r="X143" s="994">
        <v>0.74558146442893203</v>
      </c>
      <c r="Y143" s="1001">
        <v>0.772413302000997</v>
      </c>
      <c r="Z143" s="996"/>
      <c r="AA143" s="996"/>
      <c r="AB143" s="996">
        <v>0.86257514329651896</v>
      </c>
    </row>
    <row r="144" spans="1:28">
      <c r="A144" s="972"/>
      <c r="B144" s="973"/>
      <c r="C144" s="974">
        <v>0.40130965495629001</v>
      </c>
      <c r="D144" s="974">
        <v>0.39101236789538102</v>
      </c>
      <c r="E144" s="974"/>
      <c r="F144" s="974">
        <v>0.127289541024768</v>
      </c>
      <c r="G144" s="974">
        <v>7.9040714273354906E-2</v>
      </c>
      <c r="H144" s="974">
        <v>0.351584294137891</v>
      </c>
      <c r="I144" s="974">
        <v>0.25889333002651199</v>
      </c>
      <c r="J144" s="987">
        <v>0.10799462449316199</v>
      </c>
      <c r="K144" s="987"/>
      <c r="L144" s="987"/>
      <c r="M144" s="987">
        <v>5.5008584276834797E-2</v>
      </c>
      <c r="N144" s="958"/>
      <c r="O144" s="958"/>
      <c r="P144" s="972"/>
      <c r="Q144" s="995"/>
      <c r="R144" s="974"/>
      <c r="S144" s="974"/>
      <c r="T144" s="974"/>
      <c r="U144" s="974"/>
      <c r="V144" s="974"/>
      <c r="W144" s="974"/>
      <c r="X144" s="974"/>
      <c r="Y144" s="1002"/>
      <c r="Z144" s="1003"/>
      <c r="AA144" s="1003"/>
      <c r="AB144" s="1003"/>
    </row>
    <row r="145" spans="1:28">
      <c r="A145" s="969" t="s">
        <v>55</v>
      </c>
      <c r="B145" s="975">
        <v>238167</v>
      </c>
      <c r="C145" s="971">
        <v>67680</v>
      </c>
      <c r="D145" s="971">
        <v>65955</v>
      </c>
      <c r="E145" s="971">
        <v>25342</v>
      </c>
      <c r="F145" s="976"/>
      <c r="G145" s="971">
        <v>14816</v>
      </c>
      <c r="H145" s="971">
        <v>55959</v>
      </c>
      <c r="I145" s="971">
        <v>42090</v>
      </c>
      <c r="J145" s="985">
        <v>13481</v>
      </c>
      <c r="K145" s="986"/>
      <c r="L145" s="986"/>
      <c r="M145" s="986">
        <v>6308</v>
      </c>
      <c r="N145" s="958"/>
      <c r="O145" s="958"/>
      <c r="P145" s="969" t="s">
        <v>55</v>
      </c>
      <c r="Q145" s="996">
        <v>0.150797549618545</v>
      </c>
      <c r="R145" s="994">
        <v>0.48061465721040197</v>
      </c>
      <c r="S145" s="994">
        <v>0.49122886816769001</v>
      </c>
      <c r="T145" s="994">
        <v>0.61999842159261298</v>
      </c>
      <c r="U145" s="971"/>
      <c r="V145" s="994">
        <v>0.68284287257019405</v>
      </c>
      <c r="W145" s="994">
        <v>0.48263907503708098</v>
      </c>
      <c r="X145" s="994">
        <v>0.586790211451651</v>
      </c>
      <c r="Y145" s="1001">
        <v>0.247385208812403</v>
      </c>
      <c r="Z145" s="996"/>
      <c r="AA145" s="996"/>
      <c r="AB145" s="996">
        <v>0.80992390615091903</v>
      </c>
    </row>
    <row r="146" spans="1:28">
      <c r="A146" s="972"/>
      <c r="B146" s="973"/>
      <c r="C146" s="974">
        <v>0.28417035105619198</v>
      </c>
      <c r="D146" s="974">
        <v>0.27692753404123999</v>
      </c>
      <c r="E146" s="974">
        <v>0.106404329735018</v>
      </c>
      <c r="F146" s="974"/>
      <c r="G146" s="974">
        <v>6.2208450373057597E-2</v>
      </c>
      <c r="H146" s="974">
        <v>0.23495698396503301</v>
      </c>
      <c r="I146" s="974">
        <v>0.17672473516482101</v>
      </c>
      <c r="J146" s="987">
        <v>5.6603139813660198E-2</v>
      </c>
      <c r="K146" s="987"/>
      <c r="L146" s="987"/>
      <c r="M146" s="987">
        <v>2.6485617234965401E-2</v>
      </c>
      <c r="N146" s="958"/>
      <c r="O146" s="958"/>
      <c r="P146" s="972"/>
      <c r="Q146" s="995"/>
      <c r="R146" s="974"/>
      <c r="S146" s="974"/>
      <c r="T146" s="974"/>
      <c r="U146" s="974"/>
      <c r="V146" s="974"/>
      <c r="W146" s="974"/>
      <c r="X146" s="974"/>
      <c r="Y146" s="1002"/>
      <c r="Z146" s="1003"/>
      <c r="AA146" s="1003"/>
      <c r="AB146" s="1003"/>
    </row>
    <row r="147" spans="1:28">
      <c r="A147" s="969" t="s">
        <v>329</v>
      </c>
      <c r="B147" s="975">
        <v>162297</v>
      </c>
      <c r="C147" s="971">
        <v>25202</v>
      </c>
      <c r="D147" s="971">
        <v>24901</v>
      </c>
      <c r="E147" s="971">
        <v>8536</v>
      </c>
      <c r="F147" s="971">
        <v>5030</v>
      </c>
      <c r="G147" s="976"/>
      <c r="H147" s="971">
        <v>22221</v>
      </c>
      <c r="I147" s="971">
        <v>14570</v>
      </c>
      <c r="J147" s="985">
        <v>2670</v>
      </c>
      <c r="K147" s="986"/>
      <c r="L147" s="986"/>
      <c r="M147" s="986">
        <v>2885</v>
      </c>
      <c r="N147" s="958"/>
      <c r="O147" s="958"/>
      <c r="P147" s="969" t="s">
        <v>329</v>
      </c>
      <c r="Q147" s="996">
        <v>5.93603085700906E-2</v>
      </c>
      <c r="R147" s="994">
        <v>0.38088246964526601</v>
      </c>
      <c r="S147" s="994">
        <v>0.38159110075900599</v>
      </c>
      <c r="T147" s="994">
        <v>0.56419868791002803</v>
      </c>
      <c r="U147" s="994">
        <v>0.67693836978131205</v>
      </c>
      <c r="V147" s="971"/>
      <c r="W147" s="994">
        <v>0.33468340758741699</v>
      </c>
      <c r="X147" s="994">
        <v>0.42971859986273198</v>
      </c>
      <c r="Y147" s="1001">
        <v>0.38426966292134801</v>
      </c>
      <c r="Z147" s="996"/>
      <c r="AA147" s="996"/>
      <c r="AB147" s="996">
        <v>0.69913344887348305</v>
      </c>
    </row>
    <row r="148" spans="1:28">
      <c r="A148" s="972"/>
      <c r="B148" s="973"/>
      <c r="C148" s="974">
        <v>0.15528321533977801</v>
      </c>
      <c r="D148" s="974">
        <v>0.153428590793422</v>
      </c>
      <c r="E148" s="974">
        <v>5.2594933979063098E-2</v>
      </c>
      <c r="F148" s="974">
        <v>3.0992563017184501E-2</v>
      </c>
      <c r="G148" s="974"/>
      <c r="H148" s="974">
        <v>0.13691565463317301</v>
      </c>
      <c r="I148" s="974">
        <v>8.9773686512997802E-2</v>
      </c>
      <c r="J148" s="987">
        <v>1.64513207268157E-2</v>
      </c>
      <c r="K148" s="987"/>
      <c r="L148" s="987"/>
      <c r="M148" s="987">
        <v>1.7776052545641598E-2</v>
      </c>
      <c r="N148" s="958"/>
      <c r="O148" s="958"/>
      <c r="P148" s="972"/>
      <c r="Q148" s="995"/>
      <c r="R148" s="974"/>
      <c r="S148" s="974"/>
      <c r="T148" s="974"/>
      <c r="U148" s="974"/>
      <c r="V148" s="997"/>
      <c r="W148" s="974"/>
      <c r="X148" s="974"/>
      <c r="Y148" s="1002"/>
      <c r="Z148" s="1003"/>
      <c r="AA148" s="1003"/>
      <c r="AB148" s="1003"/>
    </row>
    <row r="149" spans="1:28">
      <c r="A149" s="969" t="s">
        <v>360</v>
      </c>
      <c r="B149" s="975">
        <v>264685</v>
      </c>
      <c r="C149" s="971">
        <v>85564</v>
      </c>
      <c r="D149" s="971">
        <v>77861</v>
      </c>
      <c r="E149" s="971">
        <v>64636</v>
      </c>
      <c r="F149" s="971">
        <v>28072</v>
      </c>
      <c r="G149" s="971">
        <v>19398</v>
      </c>
      <c r="H149" s="976"/>
      <c r="I149" s="976">
        <v>53726</v>
      </c>
      <c r="J149" s="985">
        <v>38621</v>
      </c>
      <c r="K149" s="986"/>
      <c r="L149" s="986"/>
      <c r="M149" s="986">
        <v>12346</v>
      </c>
      <c r="O149" s="958"/>
      <c r="P149" s="969" t="s">
        <v>360</v>
      </c>
      <c r="Q149" s="996">
        <v>0.243376088558097</v>
      </c>
      <c r="R149" s="994">
        <v>0.669709223505212</v>
      </c>
      <c r="S149" s="994">
        <v>0.70110838545613297</v>
      </c>
      <c r="T149" s="994">
        <v>0.74654991026672401</v>
      </c>
      <c r="U149" s="994">
        <v>0.85718865773724695</v>
      </c>
      <c r="V149" s="994">
        <v>0.83426126404783996</v>
      </c>
      <c r="W149" s="998"/>
      <c r="X149" s="998">
        <v>0.707367010386033</v>
      </c>
      <c r="Y149" s="1001">
        <v>0.66730535201056396</v>
      </c>
      <c r="Z149" s="996"/>
      <c r="AA149" s="996"/>
      <c r="AB149" s="996">
        <v>0.908472379718127</v>
      </c>
    </row>
    <row r="150" spans="1:28">
      <c r="A150" s="972"/>
      <c r="B150" s="973"/>
      <c r="C150" s="974">
        <v>0.32326727997430899</v>
      </c>
      <c r="D150" s="974">
        <v>0.29416476188677099</v>
      </c>
      <c r="E150" s="974">
        <v>0.24419970908816099</v>
      </c>
      <c r="F150" s="974">
        <v>0.106058144586962</v>
      </c>
      <c r="G150" s="974">
        <v>7.3287114872395503E-2</v>
      </c>
      <c r="H150" s="974"/>
      <c r="I150" s="974">
        <v>0.20298090182670001</v>
      </c>
      <c r="J150" s="987">
        <v>0.14591306647524399</v>
      </c>
      <c r="K150" s="987"/>
      <c r="L150" s="987"/>
      <c r="M150" s="1003">
        <v>4.6644124147571603E-2</v>
      </c>
      <c r="O150" s="958"/>
      <c r="P150" s="972"/>
      <c r="Q150" s="999"/>
      <c r="R150" s="974"/>
      <c r="S150" s="974"/>
      <c r="T150" s="974"/>
      <c r="U150" s="974"/>
      <c r="V150" s="974"/>
      <c r="W150" s="974"/>
      <c r="X150" s="974"/>
      <c r="Y150" s="1002"/>
      <c r="Z150" s="1003"/>
      <c r="AA150" s="1003"/>
      <c r="AB150" s="1003"/>
    </row>
    <row r="151" spans="1:28">
      <c r="A151" s="969" t="s">
        <v>330</v>
      </c>
      <c r="B151" s="975">
        <v>1200383</v>
      </c>
      <c r="C151" s="971">
        <v>24914</v>
      </c>
      <c r="D151" s="971">
        <v>23200</v>
      </c>
      <c r="E151" s="971">
        <v>10037</v>
      </c>
      <c r="F151" s="971">
        <v>4748</v>
      </c>
      <c r="G151" s="971">
        <v>2949</v>
      </c>
      <c r="H151" s="976">
        <v>21332</v>
      </c>
      <c r="I151" s="976"/>
      <c r="J151" s="985">
        <v>5280</v>
      </c>
      <c r="K151" s="986"/>
      <c r="L151" s="986"/>
      <c r="M151" s="986">
        <v>1907</v>
      </c>
      <c r="N151" s="958"/>
      <c r="O151" s="958"/>
      <c r="P151" s="969" t="s">
        <v>330</v>
      </c>
      <c r="Q151" s="996">
        <v>1.23927113263017E-2</v>
      </c>
      <c r="R151" s="994">
        <v>0.58140001605522995</v>
      </c>
      <c r="S151" s="994">
        <v>0.61073275862068999</v>
      </c>
      <c r="T151" s="994">
        <v>0.71993623592707001</v>
      </c>
      <c r="U151" s="994">
        <v>0.81339511373209805</v>
      </c>
      <c r="V151" s="994">
        <v>0.85554425228891195</v>
      </c>
      <c r="W151" s="994">
        <v>0.59900618788674298</v>
      </c>
      <c r="X151" s="994"/>
      <c r="Y151" s="1001">
        <v>0.45189393939393901</v>
      </c>
      <c r="Z151" s="996"/>
      <c r="AA151" s="996"/>
      <c r="AB151" s="996">
        <v>0.84320922915574203</v>
      </c>
    </row>
    <row r="152" spans="1:28">
      <c r="A152" s="978"/>
      <c r="B152" s="979"/>
      <c r="C152" s="980">
        <v>2.07550423489836E-2</v>
      </c>
      <c r="D152" s="981">
        <v>1.9327164746585E-2</v>
      </c>
      <c r="E152" s="981">
        <v>8.3614979552359501E-3</v>
      </c>
      <c r="F152" s="981">
        <v>3.9554042334821503E-3</v>
      </c>
      <c r="G152" s="981">
        <v>2.4567158981758301E-3</v>
      </c>
      <c r="H152" s="981">
        <v>1.7770994757506601E-2</v>
      </c>
      <c r="I152" s="981"/>
      <c r="J152" s="1032">
        <v>4.3985961147400502E-3</v>
      </c>
      <c r="K152" s="988"/>
      <c r="L152" s="988"/>
      <c r="M152" s="1003">
        <v>1.5886596194714499E-3</v>
      </c>
      <c r="N152" s="958"/>
      <c r="O152" s="958"/>
      <c r="P152" s="978"/>
      <c r="Q152" s="1000"/>
      <c r="R152" s="981"/>
      <c r="S152" s="981"/>
      <c r="T152" s="981"/>
      <c r="U152" s="981"/>
      <c r="V152" s="981"/>
      <c r="W152" s="981"/>
      <c r="X152" s="981"/>
      <c r="Y152" s="1004"/>
      <c r="Z152" s="988"/>
      <c r="AA152" s="988"/>
      <c r="AB152" s="988"/>
    </row>
    <row r="153" spans="1:28">
      <c r="A153" s="1005" t="s">
        <v>361</v>
      </c>
      <c r="B153" s="1006">
        <f>B143+B145+B147+B149+B151</f>
        <v>1995566.25</v>
      </c>
      <c r="C153" s="1007">
        <f t="shared" ref="C153:J153" si="108">C143+C145+C147+C149+C151</f>
        <v>255544</v>
      </c>
      <c r="D153" s="1007">
        <f t="shared" si="108"/>
        <v>242762</v>
      </c>
      <c r="E153" s="1007">
        <f t="shared" si="108"/>
        <v>108551</v>
      </c>
      <c r="F153" s="1007">
        <f t="shared" si="108"/>
        <v>54402</v>
      </c>
      <c r="G153" s="1007">
        <f t="shared" si="108"/>
        <v>47441</v>
      </c>
      <c r="H153" s="1007">
        <f t="shared" si="108"/>
        <v>145230</v>
      </c>
      <c r="I153" s="1007">
        <f t="shared" si="108"/>
        <v>144051</v>
      </c>
      <c r="J153" s="1019">
        <f t="shared" si="108"/>
        <v>74095</v>
      </c>
      <c r="K153" s="1020"/>
      <c r="L153" s="1020"/>
      <c r="M153" s="1020">
        <f>M143+M145+M147+M149+M151</f>
        <v>30599</v>
      </c>
      <c r="N153" s="958"/>
      <c r="O153" s="958"/>
      <c r="P153" s="1005" t="s">
        <v>361</v>
      </c>
      <c r="Q153" s="1033"/>
      <c r="R153" s="1034"/>
      <c r="S153" s="1034"/>
      <c r="T153" s="1034"/>
      <c r="U153" s="1034"/>
      <c r="V153" s="1034"/>
      <c r="W153" s="1034"/>
      <c r="X153" s="1034"/>
      <c r="Y153" s="1061"/>
      <c r="Z153" s="1033"/>
      <c r="AA153" s="1033"/>
      <c r="AB153" s="1033"/>
    </row>
    <row r="154" spans="1:28">
      <c r="A154" s="1008" t="s">
        <v>362</v>
      </c>
      <c r="B154" s="1009"/>
      <c r="C154" s="1010">
        <f>C153/$B153</f>
        <v>0.12805588388759301</v>
      </c>
      <c r="D154" s="1010">
        <f t="shared" ref="D154:J154" si="109">D153/$B153</f>
        <v>0.121650684360893</v>
      </c>
      <c r="E154" s="1010">
        <f t="shared" si="109"/>
        <v>5.4396089330534601E-2</v>
      </c>
      <c r="F154" s="1010">
        <f t="shared" si="109"/>
        <v>2.7261435194145998E-2</v>
      </c>
      <c r="G154" s="1010">
        <f t="shared" si="109"/>
        <v>2.3773202217666298E-2</v>
      </c>
      <c r="H154" s="1010">
        <f t="shared" si="109"/>
        <v>7.2776336039958603E-2</v>
      </c>
      <c r="I154" s="1010">
        <f t="shared" si="109"/>
        <v>7.2185526288590998E-2</v>
      </c>
      <c r="J154" s="1021">
        <f t="shared" si="109"/>
        <v>3.71298121523152E-2</v>
      </c>
      <c r="K154" s="1022"/>
      <c r="L154" s="1022"/>
      <c r="M154" s="1022">
        <f>M153/$B153</f>
        <v>1.53334924360442E-2</v>
      </c>
      <c r="N154" s="958"/>
      <c r="O154" s="958"/>
      <c r="P154" s="1008" t="s">
        <v>362</v>
      </c>
      <c r="Q154" s="1035"/>
      <c r="R154" s="1036"/>
      <c r="S154" s="1036"/>
      <c r="T154" s="1036"/>
      <c r="U154" s="1036"/>
      <c r="V154" s="1036"/>
      <c r="W154" s="1036"/>
      <c r="X154" s="1036"/>
      <c r="Y154" s="1062"/>
      <c r="Z154" s="1063"/>
      <c r="AA154" s="1063"/>
      <c r="AB154" s="1063"/>
    </row>
    <row r="155" spans="1:28">
      <c r="A155" s="969" t="s">
        <v>59</v>
      </c>
      <c r="B155" s="975">
        <v>91795</v>
      </c>
      <c r="C155" s="971">
        <v>17972</v>
      </c>
      <c r="D155" s="971">
        <v>17148</v>
      </c>
      <c r="E155" s="971">
        <v>6411</v>
      </c>
      <c r="F155" s="971">
        <v>2966</v>
      </c>
      <c r="G155" s="971">
        <v>1473</v>
      </c>
      <c r="H155" s="971">
        <v>14764</v>
      </c>
      <c r="I155" s="971">
        <v>6924</v>
      </c>
      <c r="J155" s="1023"/>
      <c r="K155" s="1024"/>
      <c r="L155" s="1024"/>
      <c r="M155" s="1024">
        <v>905</v>
      </c>
      <c r="N155" s="958"/>
      <c r="O155" s="958"/>
      <c r="P155" s="969" t="s">
        <v>59</v>
      </c>
      <c r="Q155" s="996"/>
      <c r="R155" s="994"/>
      <c r="S155" s="994"/>
      <c r="T155" s="994"/>
      <c r="U155" s="994"/>
      <c r="V155" s="994"/>
      <c r="W155" s="994"/>
      <c r="X155" s="994"/>
      <c r="Y155" s="976"/>
      <c r="Z155" s="996"/>
      <c r="AA155" s="996"/>
      <c r="AB155" s="996"/>
    </row>
    <row r="156" spans="1:28">
      <c r="A156" s="1011"/>
      <c r="B156" s="967"/>
      <c r="C156" s="1012">
        <v>0.19578408410044101</v>
      </c>
      <c r="D156" s="1012">
        <v>0.186807560324636</v>
      </c>
      <c r="E156" s="1012">
        <v>6.9840405250830698E-2</v>
      </c>
      <c r="F156" s="1012">
        <v>3.23111280570837E-2</v>
      </c>
      <c r="G156" s="1012">
        <v>1.60466256332044E-2</v>
      </c>
      <c r="H156" s="1012">
        <v>0.16083664687619201</v>
      </c>
      <c r="I156" s="1012">
        <v>7.5428944931641206E-2</v>
      </c>
      <c r="J156" s="1025">
        <v>0</v>
      </c>
      <c r="K156" s="1026"/>
      <c r="L156" s="1026"/>
      <c r="M156" s="1026">
        <v>9.8589247780380192E-3</v>
      </c>
      <c r="N156" s="958"/>
      <c r="O156" s="958"/>
      <c r="P156" s="1011"/>
      <c r="Q156" s="992"/>
      <c r="R156" s="1012"/>
      <c r="S156" s="1012"/>
      <c r="T156" s="1012"/>
      <c r="U156" s="1012"/>
      <c r="V156" s="1012"/>
      <c r="W156" s="1012"/>
      <c r="X156" s="1012"/>
      <c r="Y156" s="1025"/>
      <c r="Z156" s="1026"/>
      <c r="AA156" s="1026"/>
      <c r="AB156" s="1026"/>
    </row>
    <row r="157" spans="1:28">
      <c r="A157" s="1005" t="s">
        <v>333</v>
      </c>
      <c r="B157" s="1013">
        <f>B153+B155</f>
        <v>2087361.25</v>
      </c>
      <c r="C157" s="1014">
        <f t="shared" ref="C157:J157" si="110">C153+C155</f>
        <v>273516</v>
      </c>
      <c r="D157" s="1015">
        <f t="shared" si="110"/>
        <v>259910</v>
      </c>
      <c r="E157" s="1015">
        <f t="shared" si="110"/>
        <v>114962</v>
      </c>
      <c r="F157" s="1015">
        <f t="shared" si="110"/>
        <v>57368</v>
      </c>
      <c r="G157" s="1015">
        <f t="shared" si="110"/>
        <v>48914</v>
      </c>
      <c r="H157" s="1015">
        <f t="shared" si="110"/>
        <v>159994</v>
      </c>
      <c r="I157" s="1015">
        <f t="shared" si="110"/>
        <v>150975</v>
      </c>
      <c r="J157" s="1027">
        <f t="shared" si="110"/>
        <v>74095</v>
      </c>
      <c r="K157" s="1028"/>
      <c r="L157" s="1028"/>
      <c r="M157" s="1028">
        <f>M153+M155</f>
        <v>31504</v>
      </c>
      <c r="N157" s="958"/>
      <c r="O157" s="958"/>
      <c r="P157" s="1005" t="s">
        <v>333</v>
      </c>
      <c r="Q157" s="1037"/>
      <c r="R157" s="1038"/>
      <c r="S157" s="1039"/>
      <c r="T157" s="1039"/>
      <c r="U157" s="1039"/>
      <c r="V157" s="1039"/>
      <c r="W157" s="1039"/>
      <c r="X157" s="1039"/>
      <c r="Y157" s="1064"/>
      <c r="Z157" s="1065"/>
      <c r="AA157" s="1065"/>
      <c r="AB157" s="1065"/>
    </row>
    <row r="158" spans="1:28">
      <c r="A158" s="1016"/>
      <c r="B158" s="1017"/>
      <c r="C158" s="1018">
        <f>C157/$B157</f>
        <v>0.131034338210504</v>
      </c>
      <c r="D158" s="1018">
        <f t="shared" ref="D158:J158" si="111">D157/$B157</f>
        <v>0.124516060648342</v>
      </c>
      <c r="E158" s="1018">
        <f t="shared" si="111"/>
        <v>5.5075277458561597E-2</v>
      </c>
      <c r="F158" s="1018">
        <f t="shared" si="111"/>
        <v>2.7483503394537E-2</v>
      </c>
      <c r="G158" s="1018">
        <f t="shared" si="111"/>
        <v>2.3433413837686198E-2</v>
      </c>
      <c r="H158" s="1018">
        <f t="shared" si="111"/>
        <v>7.6648926964606595E-2</v>
      </c>
      <c r="I158" s="1018">
        <f t="shared" si="111"/>
        <v>7.2328160734036806E-2</v>
      </c>
      <c r="J158" s="1029">
        <f t="shared" si="111"/>
        <v>3.5496970157896698E-2</v>
      </c>
      <c r="K158" s="1030"/>
      <c r="L158" s="1030"/>
      <c r="M158" s="1030">
        <f>M157/$B157</f>
        <v>1.50927396970697E-2</v>
      </c>
      <c r="N158" s="1031"/>
      <c r="O158" s="958"/>
      <c r="P158" s="1016"/>
      <c r="Q158" s="1017"/>
      <c r="R158" s="1018"/>
      <c r="S158" s="1018"/>
      <c r="T158" s="1018"/>
      <c r="U158" s="1018"/>
      <c r="V158" s="1018"/>
      <c r="W158" s="1018"/>
      <c r="X158" s="1018"/>
      <c r="Y158" s="1029"/>
      <c r="Z158" s="1030"/>
      <c r="AA158" s="1030"/>
      <c r="AB158" s="1030"/>
    </row>
    <row r="161" spans="1:28">
      <c r="A161" s="955" t="s">
        <v>338</v>
      </c>
      <c r="B161" s="956"/>
      <c r="C161" s="955">
        <v>2015</v>
      </c>
      <c r="D161" s="839"/>
      <c r="E161" s="839"/>
      <c r="F161" s="839"/>
      <c r="G161" s="839"/>
      <c r="H161" s="839"/>
      <c r="I161" s="839"/>
      <c r="J161" s="839"/>
      <c r="K161" s="839"/>
      <c r="L161" s="839"/>
      <c r="M161" s="839"/>
      <c r="N161" s="839"/>
      <c r="O161" s="958"/>
      <c r="P161" s="955" t="s">
        <v>338</v>
      </c>
      <c r="Q161" s="955"/>
      <c r="R161" s="955">
        <v>2015</v>
      </c>
      <c r="S161" s="839"/>
      <c r="T161" s="839"/>
      <c r="U161" s="839"/>
      <c r="V161" s="958"/>
      <c r="W161" s="958"/>
      <c r="X161" s="958"/>
      <c r="Y161" s="958"/>
      <c r="Z161" s="958"/>
      <c r="AA161" s="958"/>
      <c r="AB161" s="958"/>
    </row>
    <row r="162" spans="1:28">
      <c r="A162" s="958"/>
      <c r="B162" s="842"/>
      <c r="C162" s="958"/>
      <c r="D162" s="958"/>
      <c r="E162" s="958"/>
      <c r="F162" s="958"/>
      <c r="G162" s="958"/>
      <c r="H162" s="958"/>
      <c r="I162" s="958"/>
      <c r="J162" s="958"/>
      <c r="K162" s="958"/>
      <c r="L162" s="958"/>
      <c r="M162" s="958"/>
      <c r="N162" s="958"/>
      <c r="O162" s="958"/>
      <c r="P162" s="958"/>
      <c r="Q162" s="958"/>
      <c r="R162" s="958"/>
      <c r="S162" s="958"/>
      <c r="T162" s="958"/>
      <c r="U162" s="958"/>
      <c r="V162" s="958"/>
      <c r="W162" s="958"/>
      <c r="X162" s="958"/>
      <c r="Y162" s="958"/>
      <c r="Z162" s="958"/>
      <c r="AA162" s="958"/>
      <c r="AB162" s="958"/>
    </row>
    <row r="163" spans="1:28">
      <c r="A163" s="959" t="s">
        <v>315</v>
      </c>
      <c r="B163" s="960" t="s">
        <v>316</v>
      </c>
      <c r="C163" s="961"/>
      <c r="D163" s="961"/>
      <c r="E163" s="961" t="s">
        <v>339</v>
      </c>
      <c r="F163" s="961"/>
      <c r="G163" s="961"/>
      <c r="H163" s="961"/>
      <c r="I163" s="961"/>
      <c r="J163" s="961"/>
      <c r="K163" s="959" t="s">
        <v>340</v>
      </c>
      <c r="L163" s="959" t="s">
        <v>341</v>
      </c>
      <c r="M163" s="959" t="s">
        <v>342</v>
      </c>
      <c r="N163" s="958"/>
      <c r="O163" s="958"/>
      <c r="P163" s="959" t="s">
        <v>315</v>
      </c>
      <c r="Q163" s="990" t="s">
        <v>316</v>
      </c>
      <c r="R163" s="961"/>
      <c r="S163" s="961"/>
      <c r="T163" s="961" t="s">
        <v>343</v>
      </c>
      <c r="U163" s="961"/>
      <c r="V163" s="961"/>
      <c r="W163" s="961"/>
      <c r="X163" s="961"/>
      <c r="Y163" s="961"/>
      <c r="Z163" s="959" t="s">
        <v>340</v>
      </c>
      <c r="AA163" s="959" t="s">
        <v>341</v>
      </c>
      <c r="AB163" s="959" t="s">
        <v>342</v>
      </c>
    </row>
    <row r="164" spans="1:28">
      <c r="A164" s="962" t="s">
        <v>344</v>
      </c>
      <c r="B164" s="963" t="s">
        <v>320</v>
      </c>
      <c r="C164" s="964"/>
      <c r="D164" s="964"/>
      <c r="E164" s="964" t="s">
        <v>345</v>
      </c>
      <c r="F164" s="964"/>
      <c r="G164" s="964"/>
      <c r="H164" s="964"/>
      <c r="I164" s="964"/>
      <c r="J164" s="964"/>
      <c r="K164" s="982" t="s">
        <v>346</v>
      </c>
      <c r="L164" s="982" t="s">
        <v>346</v>
      </c>
      <c r="M164" s="982" t="s">
        <v>346</v>
      </c>
      <c r="N164" s="958"/>
      <c r="O164" s="958"/>
      <c r="P164" s="962" t="s">
        <v>344</v>
      </c>
      <c r="Q164" s="991" t="s">
        <v>320</v>
      </c>
      <c r="R164" s="964"/>
      <c r="S164" s="964"/>
      <c r="T164" s="964" t="s">
        <v>347</v>
      </c>
      <c r="U164" s="964"/>
      <c r="V164" s="964"/>
      <c r="W164" s="964"/>
      <c r="X164" s="964"/>
      <c r="Y164" s="964"/>
      <c r="Z164" s="982" t="s">
        <v>346</v>
      </c>
      <c r="AA164" s="982" t="s">
        <v>346</v>
      </c>
      <c r="AB164" s="982" t="s">
        <v>346</v>
      </c>
    </row>
    <row r="165" spans="1:28">
      <c r="A165" s="962" t="s">
        <v>325</v>
      </c>
      <c r="B165" s="963" t="s">
        <v>61</v>
      </c>
      <c r="C165" s="965" t="s">
        <v>326</v>
      </c>
      <c r="D165" s="965" t="s">
        <v>348</v>
      </c>
      <c r="E165" s="965"/>
      <c r="F165" s="965"/>
      <c r="G165" s="965"/>
      <c r="H165" s="965"/>
      <c r="I165" s="965"/>
      <c r="J165" s="983" t="s">
        <v>126</v>
      </c>
      <c r="K165" s="962" t="s">
        <v>349</v>
      </c>
      <c r="L165" s="962" t="s">
        <v>350</v>
      </c>
      <c r="M165" s="962" t="s">
        <v>350</v>
      </c>
      <c r="N165" s="958"/>
      <c r="O165" s="958"/>
      <c r="P165" s="962" t="s">
        <v>325</v>
      </c>
      <c r="Q165" s="991" t="s">
        <v>61</v>
      </c>
      <c r="R165" s="965" t="s">
        <v>326</v>
      </c>
      <c r="S165" s="965" t="s">
        <v>351</v>
      </c>
      <c r="T165" s="965"/>
      <c r="U165" s="965"/>
      <c r="V165" s="965"/>
      <c r="W165" s="965"/>
      <c r="X165" s="965"/>
      <c r="Y165" s="983" t="s">
        <v>126</v>
      </c>
      <c r="Z165" s="962" t="s">
        <v>349</v>
      </c>
      <c r="AA165" s="962" t="s">
        <v>350</v>
      </c>
      <c r="AB165" s="962" t="s">
        <v>350</v>
      </c>
    </row>
    <row r="166" spans="1:28">
      <c r="A166" s="966"/>
      <c r="B166" s="967"/>
      <c r="C166" s="968" t="s">
        <v>328</v>
      </c>
      <c r="D166" s="968" t="s">
        <v>352</v>
      </c>
      <c r="E166" s="968" t="s">
        <v>54</v>
      </c>
      <c r="F166" s="968" t="s">
        <v>55</v>
      </c>
      <c r="G166" s="968" t="s">
        <v>329</v>
      </c>
      <c r="H166" s="968" t="s">
        <v>353</v>
      </c>
      <c r="I166" s="968" t="s">
        <v>330</v>
      </c>
      <c r="J166" s="964" t="s">
        <v>354</v>
      </c>
      <c r="K166" s="984" t="s">
        <v>355</v>
      </c>
      <c r="L166" s="984" t="s">
        <v>356</v>
      </c>
      <c r="M166" s="984" t="s">
        <v>357</v>
      </c>
      <c r="N166" s="958"/>
      <c r="O166" s="958"/>
      <c r="P166" s="966"/>
      <c r="Q166" s="992"/>
      <c r="R166" s="968" t="s">
        <v>328</v>
      </c>
      <c r="S166" s="968" t="s">
        <v>358</v>
      </c>
      <c r="T166" s="968" t="s">
        <v>54</v>
      </c>
      <c r="U166" s="968" t="s">
        <v>55</v>
      </c>
      <c r="V166" s="968" t="s">
        <v>329</v>
      </c>
      <c r="W166" s="968" t="s">
        <v>353</v>
      </c>
      <c r="X166" s="968" t="s">
        <v>330</v>
      </c>
      <c r="Y166" s="964" t="s">
        <v>354</v>
      </c>
      <c r="Z166" s="984" t="s">
        <v>355</v>
      </c>
      <c r="AA166" s="984" t="s">
        <v>356</v>
      </c>
      <c r="AB166" s="984" t="s">
        <v>357</v>
      </c>
    </row>
    <row r="167" spans="1:28">
      <c r="A167" s="969" t="s">
        <v>54</v>
      </c>
      <c r="B167" s="970">
        <v>127357</v>
      </c>
      <c r="C167" s="971">
        <v>51878</v>
      </c>
      <c r="D167" s="971">
        <v>50368</v>
      </c>
      <c r="E167" s="971"/>
      <c r="F167" s="971">
        <v>16227</v>
      </c>
      <c r="G167" s="971">
        <v>9994</v>
      </c>
      <c r="H167" s="971">
        <v>45560</v>
      </c>
      <c r="I167" s="971">
        <v>32461</v>
      </c>
      <c r="J167" s="985">
        <v>14897</v>
      </c>
      <c r="K167" s="986"/>
      <c r="L167" s="986"/>
      <c r="M167" s="986">
        <v>6955</v>
      </c>
      <c r="N167" s="958"/>
      <c r="O167" s="958"/>
      <c r="P167" s="969" t="s">
        <v>54</v>
      </c>
      <c r="Q167" s="1040">
        <v>0.32170983927071101</v>
      </c>
      <c r="R167" s="912">
        <v>0.69293342071783803</v>
      </c>
      <c r="S167" s="912">
        <v>0.69794313850063505</v>
      </c>
      <c r="T167" s="1041"/>
      <c r="U167" s="912">
        <v>0.85203672890860904</v>
      </c>
      <c r="V167" s="912">
        <v>0.86551931158695194</v>
      </c>
      <c r="W167" s="912">
        <v>0.69589552238805996</v>
      </c>
      <c r="X167" s="912">
        <v>0.74859061643202596</v>
      </c>
      <c r="Y167" s="937">
        <v>0.77190038262737504</v>
      </c>
      <c r="Z167" s="1054"/>
      <c r="AA167" s="1054"/>
      <c r="AB167" s="1066">
        <v>0.86671459381739802</v>
      </c>
    </row>
    <row r="168" spans="1:28">
      <c r="A168" s="972"/>
      <c r="B168" s="973"/>
      <c r="C168" s="974">
        <v>0.40734313779376102</v>
      </c>
      <c r="D168" s="974">
        <v>0.39548670273326197</v>
      </c>
      <c r="E168" s="974">
        <v>0</v>
      </c>
      <c r="F168" s="974">
        <v>0.12741349120974901</v>
      </c>
      <c r="G168" s="974">
        <v>7.8472325824257796E-2</v>
      </c>
      <c r="H168" s="974">
        <v>0.35773455718963199</v>
      </c>
      <c r="I168" s="974">
        <v>0.25488194602573899</v>
      </c>
      <c r="J168" s="987">
        <v>0.116970406024011</v>
      </c>
      <c r="K168" s="987"/>
      <c r="L168" s="987"/>
      <c r="M168" s="987">
        <v>5.4610268772034502E-2</v>
      </c>
      <c r="N168" s="958"/>
      <c r="O168" s="958"/>
      <c r="P168" s="972"/>
      <c r="Q168" s="1042"/>
      <c r="R168" s="1043"/>
      <c r="S168" s="1043"/>
      <c r="T168" s="1043"/>
      <c r="U168" s="1043"/>
      <c r="V168" s="1043"/>
      <c r="W168" s="1043"/>
      <c r="X168" s="1043"/>
      <c r="Y168" s="1067"/>
      <c r="Z168" s="1068"/>
      <c r="AA168" s="1068"/>
      <c r="AB168" s="1068"/>
    </row>
    <row r="169" spans="1:28">
      <c r="A169" s="969" t="s">
        <v>55</v>
      </c>
      <c r="B169" s="975">
        <v>237574</v>
      </c>
      <c r="C169" s="971">
        <v>65956</v>
      </c>
      <c r="D169" s="971">
        <v>64131</v>
      </c>
      <c r="E169" s="971">
        <v>25164</v>
      </c>
      <c r="F169" s="976"/>
      <c r="G169" s="971">
        <v>14832</v>
      </c>
      <c r="H169" s="971">
        <v>54562</v>
      </c>
      <c r="I169" s="971">
        <v>39296</v>
      </c>
      <c r="J169" s="985">
        <v>13574</v>
      </c>
      <c r="K169" s="986"/>
      <c r="L169" s="986"/>
      <c r="M169" s="986">
        <v>6465</v>
      </c>
      <c r="N169" s="958"/>
      <c r="O169" s="958"/>
      <c r="P169" s="969" t="s">
        <v>55</v>
      </c>
      <c r="Q169" s="1044">
        <v>0.144805407999192</v>
      </c>
      <c r="R169" s="912">
        <v>0.46769058159985399</v>
      </c>
      <c r="S169" s="912">
        <v>0.47881679686890899</v>
      </c>
      <c r="T169" s="912">
        <v>0.61603878556668301</v>
      </c>
      <c r="U169" s="912"/>
      <c r="V169" s="912">
        <v>0.66005933117583604</v>
      </c>
      <c r="W169" s="912">
        <v>0.47745683809244499</v>
      </c>
      <c r="X169" s="912">
        <v>0.586522801302932</v>
      </c>
      <c r="Y169" s="937">
        <v>0.263813172241049</v>
      </c>
      <c r="Z169" s="1054"/>
      <c r="AA169" s="1054"/>
      <c r="AB169" s="1066">
        <v>0.79798917246713097</v>
      </c>
    </row>
    <row r="170" spans="1:28">
      <c r="A170" s="972"/>
      <c r="B170" s="973"/>
      <c r="C170" s="974">
        <v>0.27762297221076399</v>
      </c>
      <c r="D170" s="974">
        <v>0.26994115517691297</v>
      </c>
      <c r="E170" s="974">
        <v>0.105920681556063</v>
      </c>
      <c r="F170" s="974">
        <v>0</v>
      </c>
      <c r="G170" s="974">
        <v>6.2431074107436001E-2</v>
      </c>
      <c r="H170" s="974">
        <v>0.22966317863065799</v>
      </c>
      <c r="I170" s="974">
        <v>0.16540530529434999</v>
      </c>
      <c r="J170" s="987">
        <v>5.7135881872595502E-2</v>
      </c>
      <c r="K170" s="987"/>
      <c r="L170" s="987"/>
      <c r="M170" s="987">
        <v>2.7212573766489601E-2</v>
      </c>
      <c r="N170" s="958"/>
      <c r="O170" s="958"/>
      <c r="P170" s="972"/>
      <c r="Q170" s="1042"/>
      <c r="R170" s="1043"/>
      <c r="S170" s="1043"/>
      <c r="T170" s="1043"/>
      <c r="U170" s="1043"/>
      <c r="V170" s="1043"/>
      <c r="W170" s="1043"/>
      <c r="X170" s="1043"/>
      <c r="Y170" s="1067"/>
      <c r="Z170" s="1068"/>
      <c r="AA170" s="1068"/>
      <c r="AB170" s="1068"/>
    </row>
    <row r="171" spans="1:28">
      <c r="A171" s="969" t="s">
        <v>329</v>
      </c>
      <c r="B171" s="975">
        <v>166376</v>
      </c>
      <c r="C171" s="971">
        <v>26861</v>
      </c>
      <c r="D171" s="971">
        <v>26610</v>
      </c>
      <c r="E171" s="971">
        <v>8408</v>
      </c>
      <c r="F171" s="971">
        <v>4945</v>
      </c>
      <c r="G171" s="976"/>
      <c r="H171" s="971">
        <v>24050</v>
      </c>
      <c r="I171" s="971">
        <v>14276</v>
      </c>
      <c r="J171" s="985">
        <v>2707</v>
      </c>
      <c r="K171" s="986"/>
      <c r="L171" s="986"/>
      <c r="M171" s="986">
        <v>2649</v>
      </c>
      <c r="N171" s="958"/>
      <c r="O171" s="958"/>
      <c r="P171" s="969" t="s">
        <v>329</v>
      </c>
      <c r="Q171" s="1044">
        <v>5.4923787084675699E-2</v>
      </c>
      <c r="R171" s="912">
        <v>0.33896727597632298</v>
      </c>
      <c r="S171" s="912">
        <v>0.33810597519729402</v>
      </c>
      <c r="T171" s="912">
        <v>0.48727402473834402</v>
      </c>
      <c r="U171" s="912">
        <v>0.64651162790697703</v>
      </c>
      <c r="V171" s="912"/>
      <c r="W171" s="912">
        <v>0.29280665280665302</v>
      </c>
      <c r="X171" s="912">
        <v>0.41510226954328899</v>
      </c>
      <c r="Y171" s="937">
        <v>0.39933505725895801</v>
      </c>
      <c r="Z171" s="1054"/>
      <c r="AA171" s="1054"/>
      <c r="AB171" s="1066">
        <v>0.65722914307285796</v>
      </c>
    </row>
    <row r="172" spans="1:28">
      <c r="A172" s="972"/>
      <c r="B172" s="973"/>
      <c r="C172" s="974">
        <v>0.16144756455258</v>
      </c>
      <c r="D172" s="974">
        <v>0.159938933500024</v>
      </c>
      <c r="E172" s="974">
        <v>5.0536135019474002E-2</v>
      </c>
      <c r="F172" s="974">
        <v>2.9721834880030801E-2</v>
      </c>
      <c r="G172" s="974">
        <v>0</v>
      </c>
      <c r="H172" s="974">
        <v>0.14455209886041301</v>
      </c>
      <c r="I172" s="974">
        <v>8.5805645044958398E-2</v>
      </c>
      <c r="J172" s="987">
        <v>1.62703755349329E-2</v>
      </c>
      <c r="K172" s="987"/>
      <c r="L172" s="987"/>
      <c r="M172" s="987">
        <v>1.59217675626292E-2</v>
      </c>
      <c r="N172" s="958"/>
      <c r="O172" s="958"/>
      <c r="P172" s="972"/>
      <c r="Q172" s="1042"/>
      <c r="R172" s="1043"/>
      <c r="S172" s="1043"/>
      <c r="T172" s="1043"/>
      <c r="U172" s="1043"/>
      <c r="V172" s="1045"/>
      <c r="W172" s="1043"/>
      <c r="X172" s="1043"/>
      <c r="Y172" s="1069"/>
      <c r="Z172" s="1068"/>
      <c r="AA172" s="1068"/>
      <c r="AB172" s="1068"/>
    </row>
    <row r="173" spans="1:28">
      <c r="A173" s="969" t="s">
        <v>360</v>
      </c>
      <c r="B173" s="975">
        <v>260274</v>
      </c>
      <c r="C173" s="971">
        <v>84592</v>
      </c>
      <c r="D173" s="971">
        <v>76798</v>
      </c>
      <c r="E173" s="971">
        <v>63796</v>
      </c>
      <c r="F173" s="971">
        <v>29085</v>
      </c>
      <c r="G173" s="971">
        <v>20092</v>
      </c>
      <c r="H173" s="976"/>
      <c r="I173" s="976">
        <v>52401</v>
      </c>
      <c r="J173" s="985">
        <v>38100</v>
      </c>
      <c r="K173" s="986"/>
      <c r="L173" s="986"/>
      <c r="M173" s="986">
        <v>12940</v>
      </c>
      <c r="O173" s="958"/>
      <c r="P173" s="969" t="s">
        <v>360</v>
      </c>
      <c r="Q173" s="1044">
        <v>0.245172395245011</v>
      </c>
      <c r="R173" s="912">
        <v>0.66825468129373899</v>
      </c>
      <c r="S173" s="912">
        <v>0.70077345764212595</v>
      </c>
      <c r="T173" s="912">
        <v>0.74760173051601997</v>
      </c>
      <c r="U173" s="912">
        <v>0.85054151624548702</v>
      </c>
      <c r="V173" s="912">
        <v>0.81818634282301395</v>
      </c>
      <c r="W173" s="912"/>
      <c r="X173" s="912">
        <v>0.71162764069387996</v>
      </c>
      <c r="Y173" s="937">
        <v>0.676797900262467</v>
      </c>
      <c r="Z173" s="1054"/>
      <c r="AA173" s="1054"/>
      <c r="AB173" s="1066">
        <v>0.91993817619783602</v>
      </c>
    </row>
    <row r="174" spans="1:28">
      <c r="A174" s="972"/>
      <c r="B174" s="973"/>
      <c r="C174" s="974">
        <v>0.32501133420933298</v>
      </c>
      <c r="D174" s="974">
        <v>0.29506596894042397</v>
      </c>
      <c r="E174" s="974">
        <v>0.24511092156727099</v>
      </c>
      <c r="F174" s="974">
        <v>0.11174761981604001</v>
      </c>
      <c r="G174" s="974">
        <v>7.71955708215189E-2</v>
      </c>
      <c r="H174" s="974"/>
      <c r="I174" s="974">
        <v>0.20133013670209099</v>
      </c>
      <c r="J174" s="987">
        <v>0.14638419511745299</v>
      </c>
      <c r="K174" s="987"/>
      <c r="L174" s="987"/>
      <c r="M174" s="988">
        <v>4.9716836871911897E-2</v>
      </c>
      <c r="O174" s="958"/>
      <c r="P174" s="972"/>
      <c r="Q174" s="1046"/>
      <c r="R174" s="1043"/>
      <c r="S174" s="1043"/>
      <c r="T174" s="1043"/>
      <c r="U174" s="1043"/>
      <c r="V174" s="1043"/>
      <c r="W174" s="1047"/>
      <c r="X174" s="1043"/>
      <c r="Y174" s="1069"/>
      <c r="Z174" s="1068"/>
      <c r="AA174" s="1068"/>
      <c r="AB174" s="1068"/>
    </row>
    <row r="175" spans="1:28">
      <c r="A175" s="969" t="s">
        <v>330</v>
      </c>
      <c r="B175" s="975">
        <v>965137</v>
      </c>
      <c r="C175" s="971">
        <v>22564</v>
      </c>
      <c r="D175" s="971">
        <v>20688</v>
      </c>
      <c r="E175" s="971">
        <v>8137</v>
      </c>
      <c r="F175" s="971">
        <v>4160</v>
      </c>
      <c r="G175" s="971">
        <v>2940</v>
      </c>
      <c r="H175" s="976">
        <v>19160</v>
      </c>
      <c r="I175" s="976"/>
      <c r="J175" s="985">
        <v>5629</v>
      </c>
      <c r="K175" s="986"/>
      <c r="L175" s="986"/>
      <c r="M175" s="986">
        <v>1952</v>
      </c>
      <c r="N175" s="958"/>
      <c r="O175" s="958"/>
      <c r="P175" s="969" t="s">
        <v>330</v>
      </c>
      <c r="Q175" s="1044">
        <v>1.3268582595009799E-2</v>
      </c>
      <c r="R175" s="912">
        <v>0.55570820776458096</v>
      </c>
      <c r="S175" s="912">
        <v>0.592082366589327</v>
      </c>
      <c r="T175" s="912">
        <v>0.72164188275777297</v>
      </c>
      <c r="U175" s="912">
        <v>0.83509615384615399</v>
      </c>
      <c r="V175" s="912">
        <v>0.84285714285714297</v>
      </c>
      <c r="W175" s="912">
        <v>0.56205636743215004</v>
      </c>
      <c r="X175" s="912"/>
      <c r="Y175" s="937">
        <v>0.43897672766033002</v>
      </c>
      <c r="Z175" s="1054"/>
      <c r="AA175" s="1054"/>
      <c r="AB175" s="1066">
        <v>0.712927756653992</v>
      </c>
    </row>
    <row r="176" spans="1:28">
      <c r="A176" s="978"/>
      <c r="B176" s="979"/>
      <c r="C176" s="980">
        <v>2.3379064319366101E-2</v>
      </c>
      <c r="D176" s="981">
        <v>2.1435298822861399E-2</v>
      </c>
      <c r="E176" s="981">
        <v>8.4309274227389493E-3</v>
      </c>
      <c r="F176" s="981">
        <v>4.3102689048290597E-3</v>
      </c>
      <c r="G176" s="981">
        <v>3.0461996587013E-3</v>
      </c>
      <c r="H176" s="981">
        <v>1.9852103898203102E-2</v>
      </c>
      <c r="I176" s="981"/>
      <c r="J176" s="1032">
        <v>5.8323326118468197E-3</v>
      </c>
      <c r="K176" s="988"/>
      <c r="L176" s="988"/>
      <c r="M176" s="1003">
        <v>2.0225107938044002E-3</v>
      </c>
      <c r="N176" s="958"/>
      <c r="O176" s="958"/>
      <c r="P176" s="978"/>
      <c r="Q176" s="1048"/>
      <c r="R176" s="1049"/>
      <c r="S176" s="1049"/>
      <c r="T176" s="1049"/>
      <c r="U176" s="1049"/>
      <c r="V176" s="1049"/>
      <c r="W176" s="1049"/>
      <c r="X176" s="1049"/>
      <c r="Y176" s="1070"/>
      <c r="Z176" s="1071"/>
      <c r="AA176" s="1071"/>
      <c r="AB176" s="1071"/>
    </row>
    <row r="177" spans="1:28">
      <c r="A177" s="1005" t="s">
        <v>361</v>
      </c>
      <c r="B177" s="1006">
        <v>1756718</v>
      </c>
      <c r="C177" s="1007">
        <v>251851</v>
      </c>
      <c r="D177" s="1007">
        <v>238595</v>
      </c>
      <c r="E177" s="1007">
        <v>105505</v>
      </c>
      <c r="F177" s="1007">
        <v>54417</v>
      </c>
      <c r="G177" s="1007">
        <v>47858</v>
      </c>
      <c r="H177" s="1007">
        <v>143332</v>
      </c>
      <c r="I177" s="1007">
        <v>138434</v>
      </c>
      <c r="J177" s="1019">
        <v>74907</v>
      </c>
      <c r="K177" s="1020"/>
      <c r="L177" s="1020"/>
      <c r="M177" s="1020">
        <v>30961</v>
      </c>
      <c r="N177" s="958"/>
      <c r="O177" s="958"/>
      <c r="P177" s="1005" t="s">
        <v>361</v>
      </c>
      <c r="Q177" s="1050"/>
      <c r="R177" s="1051"/>
      <c r="S177" s="1051"/>
      <c r="T177" s="1051"/>
      <c r="U177" s="1051"/>
      <c r="V177" s="1051"/>
      <c r="W177" s="1051"/>
      <c r="X177" s="1051"/>
      <c r="Y177" s="1072"/>
      <c r="Z177" s="1050"/>
      <c r="AA177" s="1050"/>
      <c r="AB177" s="1050"/>
    </row>
    <row r="178" spans="1:28">
      <c r="A178" s="1008" t="s">
        <v>362</v>
      </c>
      <c r="B178" s="1009"/>
      <c r="C178" s="1010">
        <v>0.14336450130299799</v>
      </c>
      <c r="D178" s="1010">
        <v>0.13581861175214199</v>
      </c>
      <c r="E178" s="1010">
        <v>6.0058017279950401E-2</v>
      </c>
      <c r="F178" s="1010">
        <v>3.0976514158789301E-2</v>
      </c>
      <c r="G178" s="1010">
        <v>2.7242847172966898E-2</v>
      </c>
      <c r="H178" s="1010">
        <v>8.1590784633617894E-2</v>
      </c>
      <c r="I178" s="1010">
        <v>7.8802630814962901E-2</v>
      </c>
      <c r="J178" s="1021">
        <v>4.2640309941607002E-2</v>
      </c>
      <c r="K178" s="1022"/>
      <c r="L178" s="1022"/>
      <c r="M178" s="1022">
        <v>1.76243426662674E-2</v>
      </c>
      <c r="N178" s="958"/>
      <c r="O178" s="958"/>
      <c r="P178" s="1008" t="s">
        <v>362</v>
      </c>
      <c r="Q178" s="1052"/>
      <c r="R178" s="1053"/>
      <c r="S178" s="1053"/>
      <c r="T178" s="1053"/>
      <c r="U178" s="1053"/>
      <c r="V178" s="1053"/>
      <c r="W178" s="1053"/>
      <c r="X178" s="1053"/>
      <c r="Y178" s="1073"/>
      <c r="Z178" s="1074"/>
      <c r="AA178" s="1074"/>
      <c r="AB178" s="1074"/>
    </row>
    <row r="179" spans="1:28">
      <c r="A179" s="969" t="s">
        <v>59</v>
      </c>
      <c r="B179" s="975">
        <v>88691</v>
      </c>
      <c r="C179" s="971">
        <v>17883</v>
      </c>
      <c r="D179" s="971">
        <v>17096</v>
      </c>
      <c r="E179" s="971">
        <v>6278</v>
      </c>
      <c r="F179" s="971">
        <v>2846</v>
      </c>
      <c r="G179" s="971">
        <v>1526</v>
      </c>
      <c r="H179" s="971">
        <v>14679</v>
      </c>
      <c r="I179" s="971">
        <v>6988</v>
      </c>
      <c r="J179" s="1023"/>
      <c r="K179" s="1024"/>
      <c r="L179" s="1024"/>
      <c r="M179" s="1024">
        <v>878</v>
      </c>
      <c r="N179" s="958"/>
      <c r="O179" s="958"/>
      <c r="P179" s="969" t="s">
        <v>59</v>
      </c>
      <c r="Q179" s="1054"/>
      <c r="R179" s="1055"/>
      <c r="S179" s="1055"/>
      <c r="T179" s="1055"/>
      <c r="U179" s="1055"/>
      <c r="V179" s="1055"/>
      <c r="W179" s="1055"/>
      <c r="X179" s="1055"/>
      <c r="Y179" s="1075"/>
      <c r="Z179" s="1054"/>
      <c r="AA179" s="1054"/>
      <c r="AB179" s="1054"/>
    </row>
    <row r="180" spans="1:28">
      <c r="A180" s="1011"/>
      <c r="B180" s="967"/>
      <c r="C180" s="1012">
        <v>0.20163263465289599</v>
      </c>
      <c r="D180" s="1012">
        <v>0.192759130013192</v>
      </c>
      <c r="E180" s="1012">
        <v>7.0785085296140499E-2</v>
      </c>
      <c r="F180" s="1012">
        <v>3.2088937998218499E-2</v>
      </c>
      <c r="G180" s="1012">
        <v>1.7205804422094701E-2</v>
      </c>
      <c r="H180" s="1012">
        <v>0.165507210427214</v>
      </c>
      <c r="I180" s="1012">
        <v>7.8790407143904104E-2</v>
      </c>
      <c r="J180" s="1025">
        <v>0</v>
      </c>
      <c r="K180" s="1026"/>
      <c r="L180" s="1026"/>
      <c r="M180" s="1026">
        <v>9.8995388483611602E-3</v>
      </c>
      <c r="N180" s="958"/>
      <c r="O180" s="958"/>
      <c r="P180" s="1011"/>
      <c r="Q180" s="1056"/>
      <c r="R180" s="1057"/>
      <c r="S180" s="1057"/>
      <c r="T180" s="1057"/>
      <c r="U180" s="1057"/>
      <c r="V180" s="1057"/>
      <c r="W180" s="1057"/>
      <c r="X180" s="1057"/>
      <c r="Y180" s="1076"/>
      <c r="Z180" s="1077"/>
      <c r="AA180" s="1077"/>
      <c r="AB180" s="1077"/>
    </row>
    <row r="181" spans="1:28">
      <c r="A181" s="1005" t="s">
        <v>333</v>
      </c>
      <c r="B181" s="1013">
        <v>1845409</v>
      </c>
      <c r="C181" s="1014">
        <v>269734</v>
      </c>
      <c r="D181" s="1015">
        <v>255691</v>
      </c>
      <c r="E181" s="1015">
        <v>111783</v>
      </c>
      <c r="F181" s="1015">
        <v>57263</v>
      </c>
      <c r="G181" s="1015">
        <v>49384</v>
      </c>
      <c r="H181" s="1015">
        <v>158011</v>
      </c>
      <c r="I181" s="1015">
        <v>145422</v>
      </c>
      <c r="J181" s="1027">
        <v>74907</v>
      </c>
      <c r="K181" s="1028"/>
      <c r="L181" s="1028"/>
      <c r="M181" s="1028">
        <v>31839</v>
      </c>
      <c r="N181" s="958"/>
      <c r="O181" s="958"/>
      <c r="P181" s="1005" t="s">
        <v>333</v>
      </c>
      <c r="Q181" s="1058"/>
      <c r="R181" s="1059"/>
      <c r="S181" s="1060"/>
      <c r="T181" s="1060"/>
      <c r="U181" s="1060"/>
      <c r="V181" s="1060"/>
      <c r="W181" s="1060"/>
      <c r="X181" s="1060"/>
      <c r="Y181" s="1078"/>
      <c r="Z181" s="1079"/>
      <c r="AA181" s="1079"/>
      <c r="AB181" s="1079"/>
    </row>
    <row r="182" spans="1:28">
      <c r="A182" s="1016"/>
      <c r="B182" s="1017"/>
      <c r="C182" s="1018">
        <v>0.14616488810881501</v>
      </c>
      <c r="D182" s="1018">
        <v>0.138555192913874</v>
      </c>
      <c r="E182" s="1018">
        <v>6.0573563909138803E-2</v>
      </c>
      <c r="F182" s="1018">
        <v>3.10299776363939E-2</v>
      </c>
      <c r="G182" s="1018">
        <v>2.6760463398628701E-2</v>
      </c>
      <c r="H182" s="1018">
        <v>8.5623837317364296E-2</v>
      </c>
      <c r="I182" s="1018">
        <v>7.8802043341069605E-2</v>
      </c>
      <c r="J182" s="1029">
        <v>4.05910017779256E-2</v>
      </c>
      <c r="K182" s="1030"/>
      <c r="L182" s="1030"/>
      <c r="M182" s="1030">
        <v>1.7253085901282599E-2</v>
      </c>
      <c r="N182" s="1031"/>
      <c r="O182" s="958"/>
      <c r="P182" s="1016"/>
      <c r="Q182" s="1017"/>
      <c r="R182" s="1018"/>
      <c r="S182" s="1018"/>
      <c r="T182" s="1018"/>
      <c r="U182" s="1018"/>
      <c r="V182" s="1018"/>
      <c r="W182" s="1018"/>
      <c r="X182" s="1018"/>
      <c r="Y182" s="1029"/>
      <c r="Z182" s="1030"/>
      <c r="AA182" s="1030"/>
      <c r="AB182" s="1030"/>
    </row>
    <row r="183" spans="1:28">
      <c r="A183" s="839"/>
      <c r="B183" s="842"/>
      <c r="C183" s="839"/>
      <c r="D183" s="839"/>
      <c r="E183" s="839"/>
      <c r="F183" s="839"/>
      <c r="G183" s="839"/>
      <c r="N183" s="839"/>
      <c r="O183" s="839"/>
      <c r="P183" s="839"/>
      <c r="Q183" s="839"/>
      <c r="R183" s="839"/>
      <c r="S183" s="839"/>
      <c r="T183" s="839"/>
      <c r="U183" s="839"/>
    </row>
    <row r="184" spans="1:28">
      <c r="A184" s="839"/>
      <c r="B184" s="842"/>
      <c r="C184" s="839"/>
      <c r="D184" s="839"/>
      <c r="E184" s="839"/>
      <c r="F184" s="839"/>
      <c r="O184" s="839"/>
      <c r="P184" s="839" t="s">
        <v>302</v>
      </c>
      <c r="Q184" s="839" t="s">
        <v>363</v>
      </c>
      <c r="R184" s="839"/>
      <c r="S184" s="839"/>
      <c r="T184" s="839"/>
      <c r="U184" s="839"/>
    </row>
    <row r="185" spans="1:28">
      <c r="A185" s="955" t="s">
        <v>338</v>
      </c>
      <c r="B185" s="956"/>
      <c r="C185" s="955">
        <v>2014</v>
      </c>
      <c r="D185" s="839"/>
      <c r="E185" s="839"/>
      <c r="F185" s="839"/>
      <c r="G185" s="839"/>
      <c r="H185" s="839"/>
      <c r="I185" s="839"/>
      <c r="J185" s="839"/>
      <c r="K185" s="839"/>
      <c r="L185" s="839"/>
      <c r="M185" s="839"/>
      <c r="N185" s="839"/>
      <c r="O185" s="958"/>
      <c r="P185" s="955" t="s">
        <v>338</v>
      </c>
      <c r="Q185" s="955"/>
      <c r="R185" s="955">
        <v>2014</v>
      </c>
      <c r="S185" s="839"/>
      <c r="T185" s="839"/>
      <c r="U185" s="839"/>
      <c r="V185" s="958"/>
      <c r="W185" s="958"/>
      <c r="X185" s="958"/>
      <c r="Y185" s="958"/>
      <c r="Z185" s="958"/>
      <c r="AA185" s="958"/>
      <c r="AB185" s="958"/>
    </row>
    <row r="186" spans="1:28">
      <c r="A186" s="958"/>
      <c r="B186" s="842"/>
      <c r="C186" s="958"/>
      <c r="D186" s="958"/>
      <c r="E186" s="958"/>
      <c r="F186" s="958"/>
      <c r="G186" s="958"/>
      <c r="H186" s="958"/>
      <c r="I186" s="958"/>
      <c r="J186" s="958"/>
      <c r="K186" s="958"/>
      <c r="L186" s="958"/>
      <c r="M186" s="958"/>
      <c r="N186" s="958"/>
      <c r="O186" s="958"/>
      <c r="P186" s="958"/>
      <c r="Q186" s="958"/>
      <c r="R186" s="958"/>
      <c r="S186" s="958"/>
      <c r="T186" s="958"/>
      <c r="U186" s="958"/>
      <c r="V186" s="958"/>
      <c r="W186" s="958"/>
      <c r="X186" s="958"/>
      <c r="Y186" s="958"/>
      <c r="Z186" s="958"/>
      <c r="AA186" s="958"/>
      <c r="AB186" s="958"/>
    </row>
    <row r="187" spans="1:28">
      <c r="A187" s="959" t="s">
        <v>315</v>
      </c>
      <c r="B187" s="960" t="s">
        <v>316</v>
      </c>
      <c r="C187" s="961"/>
      <c r="D187" s="961"/>
      <c r="E187" s="961" t="s">
        <v>339</v>
      </c>
      <c r="F187" s="961"/>
      <c r="G187" s="961"/>
      <c r="H187" s="961"/>
      <c r="I187" s="961"/>
      <c r="J187" s="961"/>
      <c r="K187" s="959" t="s">
        <v>340</v>
      </c>
      <c r="L187" s="959" t="s">
        <v>341</v>
      </c>
      <c r="M187" s="959" t="s">
        <v>342</v>
      </c>
      <c r="N187" s="958"/>
      <c r="O187" s="958"/>
      <c r="P187" s="959" t="s">
        <v>315</v>
      </c>
      <c r="Q187" s="990" t="s">
        <v>316</v>
      </c>
      <c r="R187" s="961"/>
      <c r="S187" s="961"/>
      <c r="T187" s="961" t="s">
        <v>343</v>
      </c>
      <c r="U187" s="961"/>
      <c r="V187" s="961"/>
      <c r="W187" s="961"/>
      <c r="X187" s="961"/>
      <c r="Y187" s="961"/>
      <c r="Z187" s="959" t="s">
        <v>340</v>
      </c>
      <c r="AA187" s="959" t="s">
        <v>341</v>
      </c>
      <c r="AB187" s="959" t="s">
        <v>342</v>
      </c>
    </row>
    <row r="188" spans="1:28">
      <c r="A188" s="962" t="s">
        <v>344</v>
      </c>
      <c r="B188" s="963" t="s">
        <v>320</v>
      </c>
      <c r="C188" s="964"/>
      <c r="D188" s="964"/>
      <c r="E188" s="964" t="s">
        <v>345</v>
      </c>
      <c r="F188" s="964"/>
      <c r="G188" s="964"/>
      <c r="H188" s="964"/>
      <c r="I188" s="964"/>
      <c r="J188" s="964"/>
      <c r="K188" s="982" t="s">
        <v>346</v>
      </c>
      <c r="L188" s="982" t="s">
        <v>346</v>
      </c>
      <c r="M188" s="982" t="s">
        <v>346</v>
      </c>
      <c r="N188" s="958"/>
      <c r="O188" s="958"/>
      <c r="P188" s="962" t="s">
        <v>344</v>
      </c>
      <c r="Q188" s="991" t="s">
        <v>320</v>
      </c>
      <c r="R188" s="964"/>
      <c r="S188" s="964"/>
      <c r="T188" s="964" t="s">
        <v>347</v>
      </c>
      <c r="U188" s="964"/>
      <c r="V188" s="964"/>
      <c r="W188" s="964"/>
      <c r="X188" s="964"/>
      <c r="Y188" s="964"/>
      <c r="Z188" s="982" t="s">
        <v>346</v>
      </c>
      <c r="AA188" s="982" t="s">
        <v>346</v>
      </c>
      <c r="AB188" s="982" t="s">
        <v>346</v>
      </c>
    </row>
    <row r="189" spans="1:28">
      <c r="A189" s="962" t="s">
        <v>325</v>
      </c>
      <c r="B189" s="963" t="s">
        <v>61</v>
      </c>
      <c r="C189" s="965" t="s">
        <v>326</v>
      </c>
      <c r="D189" s="965" t="s">
        <v>348</v>
      </c>
      <c r="E189" s="965"/>
      <c r="F189" s="965"/>
      <c r="G189" s="965"/>
      <c r="H189" s="965"/>
      <c r="I189" s="965"/>
      <c r="J189" s="983" t="s">
        <v>126</v>
      </c>
      <c r="K189" s="962" t="s">
        <v>349</v>
      </c>
      <c r="L189" s="962" t="s">
        <v>350</v>
      </c>
      <c r="M189" s="962" t="s">
        <v>350</v>
      </c>
      <c r="N189" s="958"/>
      <c r="O189" s="958"/>
      <c r="P189" s="962" t="s">
        <v>325</v>
      </c>
      <c r="Q189" s="991" t="s">
        <v>61</v>
      </c>
      <c r="R189" s="965" t="s">
        <v>326</v>
      </c>
      <c r="S189" s="965" t="s">
        <v>351</v>
      </c>
      <c r="T189" s="965"/>
      <c r="U189" s="965"/>
      <c r="V189" s="965"/>
      <c r="W189" s="965"/>
      <c r="X189" s="965"/>
      <c r="Y189" s="983" t="s">
        <v>126</v>
      </c>
      <c r="Z189" s="962" t="s">
        <v>349</v>
      </c>
      <c r="AA189" s="962" t="s">
        <v>350</v>
      </c>
      <c r="AB189" s="962" t="s">
        <v>350</v>
      </c>
    </row>
    <row r="190" spans="1:28">
      <c r="A190" s="966"/>
      <c r="B190" s="967"/>
      <c r="C190" s="968" t="s">
        <v>328</v>
      </c>
      <c r="D190" s="968" t="s">
        <v>352</v>
      </c>
      <c r="E190" s="968" t="s">
        <v>54</v>
      </c>
      <c r="F190" s="968" t="s">
        <v>55</v>
      </c>
      <c r="G190" s="968" t="s">
        <v>329</v>
      </c>
      <c r="H190" s="968" t="s">
        <v>353</v>
      </c>
      <c r="I190" s="968" t="s">
        <v>330</v>
      </c>
      <c r="J190" s="964" t="s">
        <v>354</v>
      </c>
      <c r="K190" s="984" t="s">
        <v>355</v>
      </c>
      <c r="L190" s="984" t="s">
        <v>356</v>
      </c>
      <c r="M190" s="984" t="s">
        <v>357</v>
      </c>
      <c r="N190" s="958"/>
      <c r="O190" s="958"/>
      <c r="P190" s="966"/>
      <c r="Q190" s="992"/>
      <c r="R190" s="968" t="s">
        <v>328</v>
      </c>
      <c r="S190" s="968" t="s">
        <v>358</v>
      </c>
      <c r="T190" s="968" t="s">
        <v>54</v>
      </c>
      <c r="U190" s="968" t="s">
        <v>55</v>
      </c>
      <c r="V190" s="968" t="s">
        <v>329</v>
      </c>
      <c r="W190" s="968" t="s">
        <v>353</v>
      </c>
      <c r="X190" s="968" t="s">
        <v>330</v>
      </c>
      <c r="Y190" s="964" t="s">
        <v>354</v>
      </c>
      <c r="Z190" s="984" t="s">
        <v>355</v>
      </c>
      <c r="AA190" s="984" t="s">
        <v>356</v>
      </c>
      <c r="AB190" s="984" t="s">
        <v>357</v>
      </c>
    </row>
    <row r="191" spans="1:28">
      <c r="A191" s="969" t="s">
        <v>54</v>
      </c>
      <c r="B191" s="970">
        <v>128438</v>
      </c>
      <c r="C191" s="971">
        <v>50939</v>
      </c>
      <c r="D191" s="971">
        <v>49267</v>
      </c>
      <c r="E191" s="971"/>
      <c r="F191" s="971">
        <v>16363</v>
      </c>
      <c r="G191" s="971">
        <v>9801</v>
      </c>
      <c r="H191" s="971">
        <v>44539</v>
      </c>
      <c r="I191" s="971">
        <v>30694</v>
      </c>
      <c r="J191" s="985">
        <v>14644</v>
      </c>
      <c r="K191" s="986">
        <v>16171</v>
      </c>
      <c r="L191" s="986">
        <v>7410</v>
      </c>
      <c r="M191" s="986">
        <v>6870</v>
      </c>
      <c r="N191" s="958"/>
      <c r="O191" s="958"/>
      <c r="P191" s="969" t="s">
        <v>54</v>
      </c>
      <c r="Q191" s="993">
        <v>0.31111509054952602</v>
      </c>
      <c r="R191" s="994">
        <v>0.68297375292015905</v>
      </c>
      <c r="S191" s="994">
        <v>0.69139586335681102</v>
      </c>
      <c r="T191" s="971"/>
      <c r="U191" s="994">
        <v>0.85027195502047304</v>
      </c>
      <c r="V191" s="994">
        <v>0.85501479440873396</v>
      </c>
      <c r="W191" s="994">
        <v>0.69267383641303104</v>
      </c>
      <c r="X191" s="994">
        <v>0.74477096500944795</v>
      </c>
      <c r="Y191" s="1001">
        <v>0.74050805790767504</v>
      </c>
      <c r="Z191" s="996"/>
      <c r="AA191" s="996"/>
      <c r="AB191" s="996">
        <v>0.86710334788937404</v>
      </c>
    </row>
    <row r="192" spans="1:28">
      <c r="A192" s="972"/>
      <c r="B192" s="973"/>
      <c r="C192" s="974">
        <v>0.39660380884162</v>
      </c>
      <c r="D192" s="974">
        <v>0.38358585465360701</v>
      </c>
      <c r="E192" s="974">
        <v>0</v>
      </c>
      <c r="F192" s="974">
        <v>0.127399990656971</v>
      </c>
      <c r="G192" s="974">
        <v>7.6309191983680802E-2</v>
      </c>
      <c r="H192" s="974">
        <v>0.34677431912673801</v>
      </c>
      <c r="I192" s="974">
        <v>0.238979118329466</v>
      </c>
      <c r="J192" s="987">
        <v>0.114016101153864</v>
      </c>
      <c r="K192" s="987">
        <v>0.12590510596552401</v>
      </c>
      <c r="L192" s="987">
        <v>5.7693206060511697E-2</v>
      </c>
      <c r="M192" s="987">
        <v>5.3488842865818502E-2</v>
      </c>
      <c r="N192" s="958"/>
      <c r="O192" s="958"/>
      <c r="P192" s="972"/>
      <c r="Q192" s="995"/>
      <c r="R192" s="974"/>
      <c r="S192" s="974"/>
      <c r="T192" s="974"/>
      <c r="U192" s="974"/>
      <c r="V192" s="974"/>
      <c r="W192" s="974"/>
      <c r="X192" s="974"/>
      <c r="Y192" s="1002"/>
      <c r="Z192" s="1003"/>
      <c r="AA192" s="1003"/>
      <c r="AB192" s="1003"/>
    </row>
    <row r="193" spans="1:28">
      <c r="A193" s="969" t="s">
        <v>55</v>
      </c>
      <c r="B193" s="975">
        <v>245343</v>
      </c>
      <c r="C193" s="971">
        <v>67351</v>
      </c>
      <c r="D193" s="971">
        <v>65332</v>
      </c>
      <c r="E193" s="971">
        <v>24935</v>
      </c>
      <c r="F193" s="971"/>
      <c r="G193" s="971">
        <v>15709</v>
      </c>
      <c r="H193" s="971">
        <v>55505</v>
      </c>
      <c r="I193" s="971">
        <v>38864</v>
      </c>
      <c r="J193" s="985">
        <v>14485</v>
      </c>
      <c r="K193" s="986">
        <v>27116</v>
      </c>
      <c r="L193" s="986">
        <v>7970</v>
      </c>
      <c r="M193" s="986">
        <v>6538</v>
      </c>
      <c r="N193" s="958"/>
      <c r="O193" s="958"/>
      <c r="P193" s="969" t="s">
        <v>55</v>
      </c>
      <c r="Q193" s="996">
        <v>0.13924994803193899</v>
      </c>
      <c r="R193" s="994">
        <v>0.45620703478790198</v>
      </c>
      <c r="S193" s="994">
        <v>0.46813200269393301</v>
      </c>
      <c r="T193" s="994">
        <v>0.61852817325045095</v>
      </c>
      <c r="U193" s="971"/>
      <c r="V193" s="994">
        <v>0.63549557578458205</v>
      </c>
      <c r="W193" s="994">
        <v>0.468408251508873</v>
      </c>
      <c r="X193" s="994">
        <v>0.57310107039934099</v>
      </c>
      <c r="Y193" s="1001">
        <v>0.25281325509147401</v>
      </c>
      <c r="Z193" s="996"/>
      <c r="AA193" s="996"/>
      <c r="AB193" s="996">
        <v>0.775160599571734</v>
      </c>
    </row>
    <row r="194" spans="1:28">
      <c r="A194" s="972"/>
      <c r="B194" s="973"/>
      <c r="C194" s="974">
        <v>0.27451771601390701</v>
      </c>
      <c r="D194" s="974">
        <v>0.26628842070081499</v>
      </c>
      <c r="E194" s="974">
        <v>0.101633223690914</v>
      </c>
      <c r="F194" s="974">
        <v>0</v>
      </c>
      <c r="G194" s="974">
        <v>6.4028727128958199E-2</v>
      </c>
      <c r="H194" s="974">
        <v>0.22623429239880499</v>
      </c>
      <c r="I194" s="974">
        <v>0.15840680190590301</v>
      </c>
      <c r="J194" s="987">
        <v>5.9039793269015199E-2</v>
      </c>
      <c r="K194" s="987">
        <v>0.11052281907370499</v>
      </c>
      <c r="L194" s="987">
        <v>3.2485133058615903E-2</v>
      </c>
      <c r="M194" s="987">
        <v>2.6648406516591099E-2</v>
      </c>
      <c r="N194" s="958"/>
      <c r="O194" s="958"/>
      <c r="P194" s="972"/>
      <c r="Q194" s="995"/>
      <c r="R194" s="974"/>
      <c r="S194" s="974"/>
      <c r="T194" s="974"/>
      <c r="U194" s="974"/>
      <c r="V194" s="974"/>
      <c r="W194" s="974"/>
      <c r="X194" s="974"/>
      <c r="Y194" s="1002"/>
      <c r="Z194" s="1003"/>
      <c r="AA194" s="1003"/>
      <c r="AB194" s="1003"/>
    </row>
    <row r="195" spans="1:28">
      <c r="A195" s="969" t="s">
        <v>329</v>
      </c>
      <c r="B195" s="975">
        <v>163185</v>
      </c>
      <c r="C195" s="971">
        <v>27472</v>
      </c>
      <c r="D195" s="971">
        <v>27184</v>
      </c>
      <c r="E195" s="971">
        <v>8350</v>
      </c>
      <c r="F195" s="971">
        <v>5042</v>
      </c>
      <c r="G195" s="971"/>
      <c r="H195" s="971">
        <v>24741</v>
      </c>
      <c r="I195" s="971">
        <v>13457</v>
      </c>
      <c r="J195" s="985">
        <v>2754</v>
      </c>
      <c r="K195" s="986">
        <v>2923</v>
      </c>
      <c r="L195" s="986">
        <v>2923</v>
      </c>
      <c r="M195" s="986">
        <v>2647</v>
      </c>
      <c r="N195" s="958"/>
      <c r="O195" s="958"/>
      <c r="P195" s="969" t="s">
        <v>329</v>
      </c>
      <c r="Q195" s="996">
        <v>5.2651898152403703E-2</v>
      </c>
      <c r="R195" s="994">
        <v>0.31144437973209099</v>
      </c>
      <c r="S195" s="994">
        <v>0.31124926427310201</v>
      </c>
      <c r="T195" s="994">
        <v>0.45029940119760498</v>
      </c>
      <c r="U195" s="994">
        <v>0.61483538278460903</v>
      </c>
      <c r="V195" s="971"/>
      <c r="W195" s="994">
        <v>0.26474273473182203</v>
      </c>
      <c r="X195" s="994">
        <v>0.27940848628966303</v>
      </c>
      <c r="Y195" s="1001">
        <v>0.33405954974582402</v>
      </c>
      <c r="Z195" s="996"/>
      <c r="AA195" s="996"/>
      <c r="AB195" s="996">
        <v>0.61088024178315103</v>
      </c>
    </row>
    <row r="196" spans="1:28">
      <c r="A196" s="972"/>
      <c r="B196" s="973"/>
      <c r="C196" s="974">
        <v>0.16834880656923101</v>
      </c>
      <c r="D196" s="974">
        <v>0.16658393847473699</v>
      </c>
      <c r="E196" s="974">
        <v>5.1168918711891401E-2</v>
      </c>
      <c r="F196" s="974">
        <v>3.08974476820786E-2</v>
      </c>
      <c r="G196" s="974">
        <v>0</v>
      </c>
      <c r="H196" s="974">
        <v>0.15161319974262299</v>
      </c>
      <c r="I196" s="974">
        <v>8.2464687318074603E-2</v>
      </c>
      <c r="J196" s="987">
        <v>1.68765511535987E-2</v>
      </c>
      <c r="K196" s="987">
        <v>1.7912185556270499E-2</v>
      </c>
      <c r="L196" s="987">
        <v>1.7912185556270499E-2</v>
      </c>
      <c r="M196" s="987">
        <v>1.6220853632380398E-2</v>
      </c>
      <c r="N196" s="958"/>
      <c r="O196" s="958"/>
      <c r="P196" s="972"/>
      <c r="Q196" s="995"/>
      <c r="R196" s="974"/>
      <c r="S196" s="974"/>
      <c r="T196" s="974"/>
      <c r="U196" s="974"/>
      <c r="V196" s="997"/>
      <c r="W196" s="974"/>
      <c r="X196" s="974"/>
      <c r="Y196" s="1002"/>
      <c r="Z196" s="1003"/>
      <c r="AA196" s="1003"/>
      <c r="AB196" s="1003"/>
    </row>
    <row r="197" spans="1:28">
      <c r="A197" s="969" t="s">
        <v>360</v>
      </c>
      <c r="B197" s="975">
        <v>260984</v>
      </c>
      <c r="C197" s="971">
        <v>83434</v>
      </c>
      <c r="D197" s="971">
        <v>74934</v>
      </c>
      <c r="E197" s="971">
        <v>62835</v>
      </c>
      <c r="F197" s="971">
        <v>29463</v>
      </c>
      <c r="G197" s="971">
        <v>21400</v>
      </c>
      <c r="H197" s="1324" t="s">
        <v>245</v>
      </c>
      <c r="I197" s="971">
        <v>49354</v>
      </c>
      <c r="J197" s="985">
        <v>37959</v>
      </c>
      <c r="K197" s="986">
        <v>27239</v>
      </c>
      <c r="L197" s="986">
        <v>14696</v>
      </c>
      <c r="M197" s="986">
        <v>13404</v>
      </c>
      <c r="N197" s="958"/>
      <c r="O197" s="958"/>
      <c r="P197" s="969" t="s">
        <v>360</v>
      </c>
      <c r="Q197" s="996">
        <v>0.241876896667995</v>
      </c>
      <c r="R197" s="994">
        <v>0.67352638013279997</v>
      </c>
      <c r="S197" s="994">
        <v>0.71286732324445501</v>
      </c>
      <c r="T197" s="994">
        <v>0.75365640168695802</v>
      </c>
      <c r="U197" s="994">
        <v>0.854868818518141</v>
      </c>
      <c r="V197" s="994">
        <v>0.82971962616822403</v>
      </c>
      <c r="W197" s="976"/>
      <c r="X197" s="994">
        <v>0.72431819102808304</v>
      </c>
      <c r="Y197" s="1001">
        <v>0.67251508206222499</v>
      </c>
      <c r="Z197" s="996"/>
      <c r="AA197" s="996"/>
      <c r="AB197" s="996">
        <v>0.919427036705461</v>
      </c>
    </row>
    <row r="198" spans="1:28">
      <c r="A198" s="972"/>
      <c r="B198" s="973"/>
      <c r="C198" s="974">
        <v>0.31969009594457898</v>
      </c>
      <c r="D198" s="974">
        <v>0.287121049566257</v>
      </c>
      <c r="E198" s="974">
        <v>0.240761885786102</v>
      </c>
      <c r="F198" s="974">
        <v>0.11289197805229401</v>
      </c>
      <c r="G198" s="974">
        <v>8.1997363823069602E-2</v>
      </c>
      <c r="H198" s="974"/>
      <c r="I198" s="974">
        <v>0.189107378230083</v>
      </c>
      <c r="J198" s="987">
        <v>0.145445697820556</v>
      </c>
      <c r="K198" s="987">
        <v>0.104370382858719</v>
      </c>
      <c r="L198" s="987">
        <v>5.6309965361861301E-2</v>
      </c>
      <c r="M198" s="987">
        <v>5.1359470312356298E-2</v>
      </c>
      <c r="N198" s="958"/>
      <c r="O198" s="958"/>
      <c r="P198" s="972"/>
      <c r="Q198" s="999"/>
      <c r="R198" s="974"/>
      <c r="S198" s="974"/>
      <c r="T198" s="974"/>
      <c r="U198" s="974"/>
      <c r="V198" s="974"/>
      <c r="W198" s="1082"/>
      <c r="X198" s="974"/>
      <c r="Y198" s="1002"/>
      <c r="Z198" s="1003"/>
      <c r="AA198" s="1003"/>
      <c r="AB198" s="1003"/>
    </row>
    <row r="199" spans="1:28">
      <c r="A199" s="969" t="s">
        <v>330</v>
      </c>
      <c r="B199" s="975">
        <v>798074</v>
      </c>
      <c r="C199" s="971">
        <v>18733</v>
      </c>
      <c r="D199" s="971">
        <v>17122</v>
      </c>
      <c r="E199" s="971">
        <v>6974</v>
      </c>
      <c r="F199" s="971">
        <v>3532</v>
      </c>
      <c r="G199" s="971">
        <v>2485</v>
      </c>
      <c r="H199" s="971">
        <v>15713</v>
      </c>
      <c r="I199" s="1324" t="s">
        <v>245</v>
      </c>
      <c r="J199" s="985">
        <v>5192</v>
      </c>
      <c r="K199" s="986">
        <v>3393</v>
      </c>
      <c r="L199" s="986">
        <v>1977</v>
      </c>
      <c r="M199" s="986">
        <v>1578</v>
      </c>
      <c r="N199" s="958"/>
      <c r="O199" s="958"/>
      <c r="P199" s="969" t="s">
        <v>330</v>
      </c>
      <c r="Q199" s="996">
        <v>1.3174216927252401E-2</v>
      </c>
      <c r="R199" s="994">
        <v>0.55212726205092599</v>
      </c>
      <c r="S199" s="994">
        <v>0.59105244714402505</v>
      </c>
      <c r="T199" s="994">
        <v>0.74806423860051596</v>
      </c>
      <c r="U199" s="994">
        <v>0.79416761041902595</v>
      </c>
      <c r="V199" s="994">
        <v>0.83058350100603595</v>
      </c>
      <c r="W199" s="994">
        <v>0.56290969261121404</v>
      </c>
      <c r="X199" s="976"/>
      <c r="Y199" s="1001">
        <v>0.37442218798151</v>
      </c>
      <c r="Z199" s="996"/>
      <c r="AA199" s="996"/>
      <c r="AB199" s="996">
        <v>0.67571721311475397</v>
      </c>
    </row>
    <row r="200" spans="1:28">
      <c r="A200" s="978"/>
      <c r="B200" s="979"/>
      <c r="C200" s="980">
        <v>2.3472760671316199E-2</v>
      </c>
      <c r="D200" s="981">
        <v>2.1454150868215199E-2</v>
      </c>
      <c r="E200" s="981">
        <v>8.7385380303079702E-3</v>
      </c>
      <c r="F200" s="981">
        <v>4.4256547638439501E-3</v>
      </c>
      <c r="G200" s="981">
        <v>3.1137463443239601E-3</v>
      </c>
      <c r="H200" s="981">
        <v>1.96886504259004E-2</v>
      </c>
      <c r="I200" s="981"/>
      <c r="J200" s="1004">
        <v>6.5056623821851097E-3</v>
      </c>
      <c r="K200" s="988">
        <v>4.2514854512238198E-3</v>
      </c>
      <c r="L200" s="988">
        <v>2.47721389244606E-3</v>
      </c>
      <c r="M200" s="988">
        <v>1.97726025406165E-3</v>
      </c>
      <c r="N200" s="958"/>
      <c r="O200" s="958"/>
      <c r="P200" s="978"/>
      <c r="Q200" s="1000"/>
      <c r="R200" s="981"/>
      <c r="S200" s="981"/>
      <c r="T200" s="981"/>
      <c r="U200" s="981"/>
      <c r="V200" s="981"/>
      <c r="W200" s="981"/>
      <c r="X200" s="981"/>
      <c r="Y200" s="1004"/>
      <c r="Z200" s="988"/>
      <c r="AA200" s="988"/>
      <c r="AB200" s="988"/>
    </row>
    <row r="201" spans="1:28">
      <c r="A201" s="1005" t="s">
        <v>361</v>
      </c>
      <c r="B201" s="1006">
        <v>1596024</v>
      </c>
      <c r="C201" s="1007">
        <v>247929</v>
      </c>
      <c r="D201" s="1007">
        <v>233839</v>
      </c>
      <c r="E201" s="1007">
        <v>103094</v>
      </c>
      <c r="F201" s="1007">
        <v>54400</v>
      </c>
      <c r="G201" s="1007">
        <v>49395</v>
      </c>
      <c r="H201" s="1007">
        <v>140498</v>
      </c>
      <c r="I201" s="1007">
        <v>132369</v>
      </c>
      <c r="J201" s="1019">
        <v>75034</v>
      </c>
      <c r="K201" s="1020">
        <v>76842</v>
      </c>
      <c r="L201" s="1020">
        <v>34976</v>
      </c>
      <c r="M201" s="1020">
        <v>31037</v>
      </c>
      <c r="N201" s="958"/>
      <c r="O201" s="958"/>
      <c r="P201" s="1005" t="s">
        <v>361</v>
      </c>
      <c r="Q201" s="1033"/>
      <c r="R201" s="1034"/>
      <c r="S201" s="1034"/>
      <c r="T201" s="1034"/>
      <c r="U201" s="1034"/>
      <c r="V201" s="1034"/>
      <c r="W201" s="1034"/>
      <c r="X201" s="1034"/>
      <c r="Y201" s="1061"/>
      <c r="Z201" s="1033"/>
      <c r="AA201" s="1033"/>
      <c r="AB201" s="1033"/>
    </row>
    <row r="202" spans="1:28">
      <c r="A202" s="1008" t="s">
        <v>362</v>
      </c>
      <c r="B202" s="1009"/>
      <c r="C202" s="1010">
        <v>0.15534164899775901</v>
      </c>
      <c r="D202" s="1010">
        <v>0.146513460950462</v>
      </c>
      <c r="E202" s="1010">
        <v>6.4594266752880894E-2</v>
      </c>
      <c r="F202" s="1010">
        <v>3.4084700480694501E-2</v>
      </c>
      <c r="G202" s="1010">
        <v>3.0948782725071799E-2</v>
      </c>
      <c r="H202" s="1010">
        <v>8.8030004561334904E-2</v>
      </c>
      <c r="I202" s="1010">
        <v>8.2936722756048797E-2</v>
      </c>
      <c r="J202" s="1021">
        <v>4.7013077497581497E-2</v>
      </c>
      <c r="K202" s="1022">
        <v>4.9855231842743299E-2</v>
      </c>
      <c r="L202" s="1022">
        <v>2.2685766665242101E-2</v>
      </c>
      <c r="M202" s="1022">
        <v>1.9446449426825701E-2</v>
      </c>
      <c r="N202" s="958"/>
      <c r="O202" s="958"/>
      <c r="P202" s="1008" t="s">
        <v>362</v>
      </c>
      <c r="Q202" s="1035"/>
      <c r="R202" s="1036"/>
      <c r="S202" s="1036"/>
      <c r="T202" s="1036"/>
      <c r="U202" s="1036"/>
      <c r="V202" s="1036"/>
      <c r="W202" s="1036"/>
      <c r="X202" s="1036"/>
      <c r="Y202" s="1062"/>
      <c r="Z202" s="1063"/>
      <c r="AA202" s="1063"/>
      <c r="AB202" s="1063"/>
    </row>
    <row r="203" spans="1:28">
      <c r="A203" s="969" t="s">
        <v>59</v>
      </c>
      <c r="B203" s="975">
        <v>84315</v>
      </c>
      <c r="C203" s="971">
        <v>18345</v>
      </c>
      <c r="D203" s="971">
        <v>17541</v>
      </c>
      <c r="E203" s="971">
        <v>5689</v>
      </c>
      <c r="F203" s="971">
        <v>2776</v>
      </c>
      <c r="G203" s="971">
        <v>1529</v>
      </c>
      <c r="H203" s="971">
        <v>15399</v>
      </c>
      <c r="I203" s="971">
        <v>7034</v>
      </c>
      <c r="J203" s="1023"/>
      <c r="K203" s="1024">
        <v>1440</v>
      </c>
      <c r="L203" s="1024">
        <v>615</v>
      </c>
      <c r="M203" s="1024">
        <v>877</v>
      </c>
      <c r="N203" s="958"/>
      <c r="O203" s="958"/>
      <c r="P203" s="969" t="s">
        <v>59</v>
      </c>
      <c r="Q203" s="996"/>
      <c r="R203" s="994"/>
      <c r="S203" s="994"/>
      <c r="T203" s="994"/>
      <c r="U203" s="994"/>
      <c r="V203" s="994"/>
      <c r="W203" s="994"/>
      <c r="X203" s="994"/>
      <c r="Y203" s="976"/>
      <c r="Z203" s="996"/>
      <c r="AA203" s="996"/>
      <c r="AB203" s="996"/>
    </row>
    <row r="204" spans="1:28">
      <c r="A204" s="1011"/>
      <c r="B204" s="967"/>
      <c r="C204" s="1012">
        <v>0.21757694360434099</v>
      </c>
      <c r="D204" s="1012">
        <v>0.208041273794698</v>
      </c>
      <c r="E204" s="1012">
        <v>6.7473166103303103E-2</v>
      </c>
      <c r="F204" s="1012">
        <v>3.2924153472098698E-2</v>
      </c>
      <c r="G204" s="1012">
        <v>1.8134377038486599E-2</v>
      </c>
      <c r="H204" s="1012">
        <v>0.18263654154065101</v>
      </c>
      <c r="I204" s="1012">
        <v>8.3425250548538193E-2</v>
      </c>
      <c r="J204" s="1025">
        <v>0</v>
      </c>
      <c r="K204" s="1026">
        <v>1.7078811599359499E-2</v>
      </c>
      <c r="L204" s="1026">
        <v>7.2940757872264703E-3</v>
      </c>
      <c r="M204" s="1026">
        <v>1.04014706754433E-2</v>
      </c>
      <c r="N204" s="958"/>
      <c r="O204" s="958"/>
      <c r="P204" s="1011"/>
      <c r="Q204" s="992"/>
      <c r="R204" s="1012"/>
      <c r="S204" s="1012"/>
      <c r="T204" s="1012"/>
      <c r="U204" s="1012"/>
      <c r="V204" s="1012"/>
      <c r="W204" s="1012"/>
      <c r="X204" s="1012"/>
      <c r="Y204" s="1025"/>
      <c r="Z204" s="1026"/>
      <c r="AA204" s="1026"/>
      <c r="AB204" s="1026"/>
    </row>
    <row r="205" spans="1:28">
      <c r="A205" s="1005" t="s">
        <v>333</v>
      </c>
      <c r="B205" s="1013">
        <v>1680339</v>
      </c>
      <c r="C205" s="1014">
        <v>266274</v>
      </c>
      <c r="D205" s="1015">
        <v>251380</v>
      </c>
      <c r="E205" s="1015">
        <v>108783</v>
      </c>
      <c r="F205" s="1015">
        <v>57176</v>
      </c>
      <c r="G205" s="1015">
        <v>50924</v>
      </c>
      <c r="H205" s="1015">
        <v>155897</v>
      </c>
      <c r="I205" s="1015">
        <v>139403</v>
      </c>
      <c r="J205" s="1027">
        <v>75034</v>
      </c>
      <c r="K205" s="1028">
        <v>78282</v>
      </c>
      <c r="L205" s="1028">
        <v>35591</v>
      </c>
      <c r="M205" s="1028">
        <v>31914</v>
      </c>
      <c r="N205" s="958"/>
      <c r="O205" s="958"/>
      <c r="P205" s="1005" t="s">
        <v>333</v>
      </c>
      <c r="Q205" s="1037"/>
      <c r="R205" s="1038"/>
      <c r="S205" s="1039"/>
      <c r="T205" s="1039"/>
      <c r="U205" s="1039"/>
      <c r="V205" s="1039"/>
      <c r="W205" s="1039"/>
      <c r="X205" s="1039"/>
      <c r="Y205" s="1064"/>
      <c r="Z205" s="1065"/>
      <c r="AA205" s="1065"/>
      <c r="AB205" s="1065"/>
    </row>
    <row r="206" spans="1:28">
      <c r="A206" s="1016"/>
      <c r="B206" s="1017"/>
      <c r="C206" s="1018">
        <v>0.15846445270865001</v>
      </c>
      <c r="D206" s="1018">
        <v>0.14960076508371201</v>
      </c>
      <c r="E206" s="1018">
        <v>6.4738722364951401E-2</v>
      </c>
      <c r="F206" s="1018">
        <v>3.4026467278329003E-2</v>
      </c>
      <c r="G206" s="1018">
        <v>3.0305789486526201E-2</v>
      </c>
      <c r="H206" s="1018">
        <v>9.2777112237471093E-2</v>
      </c>
      <c r="I206" s="1018">
        <v>8.2961235798252597E-2</v>
      </c>
      <c r="J206" s="1029">
        <v>4.4654084681722002E-2</v>
      </c>
      <c r="K206" s="1030">
        <v>4.6587027974712203E-2</v>
      </c>
      <c r="L206" s="1030">
        <v>2.1180845055670298E-2</v>
      </c>
      <c r="M206" s="1030">
        <v>1.8992596136851E-2</v>
      </c>
      <c r="N206" s="1031"/>
      <c r="O206" s="958"/>
      <c r="P206" s="1016"/>
      <c r="Q206" s="1017"/>
      <c r="R206" s="1018"/>
      <c r="S206" s="1018"/>
      <c r="T206" s="1018"/>
      <c r="U206" s="1018"/>
      <c r="V206" s="1018"/>
      <c r="W206" s="1018"/>
      <c r="X206" s="1018"/>
      <c r="Y206" s="1029"/>
      <c r="Z206" s="1030"/>
      <c r="AA206" s="1030"/>
      <c r="AB206" s="1030"/>
    </row>
    <row r="207" spans="1:28">
      <c r="A207" s="839"/>
      <c r="B207" s="842"/>
      <c r="C207" s="839"/>
      <c r="D207" s="839"/>
      <c r="E207" s="839"/>
      <c r="F207" s="839"/>
      <c r="G207" s="839"/>
      <c r="N207" s="1081"/>
      <c r="O207" s="839"/>
      <c r="P207" s="839"/>
      <c r="Q207" s="839"/>
      <c r="R207" s="839"/>
      <c r="S207" s="839"/>
      <c r="T207" s="839"/>
      <c r="U207" s="839"/>
    </row>
    <row r="208" spans="1:28">
      <c r="A208" s="839"/>
      <c r="B208" s="842"/>
      <c r="C208" s="839"/>
      <c r="D208" s="839"/>
      <c r="E208" s="839"/>
      <c r="F208" s="839"/>
      <c r="O208" s="839"/>
      <c r="P208" s="839" t="s">
        <v>302</v>
      </c>
      <c r="Q208" s="839" t="s">
        <v>363</v>
      </c>
      <c r="R208" s="839"/>
      <c r="S208" s="839"/>
      <c r="T208" s="839"/>
      <c r="U208" s="839"/>
    </row>
    <row r="209" spans="1:28">
      <c r="A209" s="955" t="s">
        <v>338</v>
      </c>
      <c r="B209" s="956"/>
      <c r="C209" s="955">
        <v>2013</v>
      </c>
      <c r="D209" s="839"/>
      <c r="E209" s="839"/>
      <c r="F209" s="839"/>
      <c r="G209" s="839"/>
      <c r="H209" s="839"/>
      <c r="I209" s="839"/>
      <c r="J209" s="839"/>
      <c r="K209" s="839"/>
      <c r="L209" s="839"/>
      <c r="M209" s="839"/>
      <c r="N209" s="839"/>
      <c r="O209" s="958"/>
      <c r="P209" s="955" t="s">
        <v>338</v>
      </c>
      <c r="Q209" s="955"/>
      <c r="R209" s="955">
        <v>2013</v>
      </c>
      <c r="S209" s="839"/>
      <c r="T209" s="839"/>
      <c r="U209" s="839"/>
      <c r="V209" s="958"/>
      <c r="W209" s="958"/>
      <c r="X209" s="958"/>
      <c r="Y209" s="958"/>
      <c r="Z209" s="958"/>
      <c r="AA209" s="958"/>
      <c r="AB209" s="958"/>
    </row>
    <row r="210" spans="1:28">
      <c r="A210" s="958"/>
      <c r="B210" s="842"/>
      <c r="C210" s="958"/>
      <c r="D210" s="958"/>
      <c r="E210" s="958"/>
      <c r="F210" s="958"/>
      <c r="G210" s="958"/>
      <c r="H210" s="958"/>
      <c r="I210" s="958"/>
      <c r="J210" s="958"/>
      <c r="K210" s="958"/>
      <c r="L210" s="958"/>
      <c r="M210" s="958"/>
      <c r="N210" s="958"/>
      <c r="O210" s="958"/>
      <c r="P210" s="958"/>
      <c r="Q210" s="958"/>
      <c r="R210" s="958"/>
      <c r="S210" s="958"/>
      <c r="T210" s="958"/>
      <c r="U210" s="958"/>
      <c r="V210" s="958"/>
      <c r="W210" s="958"/>
      <c r="X210" s="958"/>
      <c r="Y210" s="958"/>
      <c r="Z210" s="958"/>
      <c r="AA210" s="958"/>
      <c r="AB210" s="958"/>
    </row>
    <row r="211" spans="1:28">
      <c r="A211" s="959" t="s">
        <v>315</v>
      </c>
      <c r="B211" s="960" t="s">
        <v>316</v>
      </c>
      <c r="C211" s="961"/>
      <c r="D211" s="961"/>
      <c r="E211" s="961" t="s">
        <v>339</v>
      </c>
      <c r="F211" s="961"/>
      <c r="G211" s="961"/>
      <c r="H211" s="961"/>
      <c r="I211" s="961"/>
      <c r="J211" s="961"/>
      <c r="K211" s="959" t="s">
        <v>340</v>
      </c>
      <c r="L211" s="959" t="s">
        <v>341</v>
      </c>
      <c r="M211" s="959" t="s">
        <v>342</v>
      </c>
      <c r="N211" s="958"/>
      <c r="O211" s="958"/>
      <c r="P211" s="959" t="s">
        <v>315</v>
      </c>
      <c r="Q211" s="990" t="s">
        <v>316</v>
      </c>
      <c r="R211" s="961"/>
      <c r="S211" s="961"/>
      <c r="T211" s="961" t="s">
        <v>343</v>
      </c>
      <c r="U211" s="961"/>
      <c r="V211" s="961"/>
      <c r="W211" s="961"/>
      <c r="X211" s="961"/>
      <c r="Y211" s="961"/>
      <c r="Z211" s="959" t="s">
        <v>340</v>
      </c>
      <c r="AA211" s="959" t="s">
        <v>341</v>
      </c>
      <c r="AB211" s="959" t="s">
        <v>342</v>
      </c>
    </row>
    <row r="212" spans="1:28">
      <c r="A212" s="962" t="s">
        <v>344</v>
      </c>
      <c r="B212" s="963" t="s">
        <v>320</v>
      </c>
      <c r="C212" s="964"/>
      <c r="D212" s="964"/>
      <c r="E212" s="964" t="s">
        <v>345</v>
      </c>
      <c r="F212" s="964"/>
      <c r="G212" s="964"/>
      <c r="H212" s="964"/>
      <c r="I212" s="964"/>
      <c r="J212" s="964"/>
      <c r="K212" s="982" t="s">
        <v>346</v>
      </c>
      <c r="L212" s="982" t="s">
        <v>346</v>
      </c>
      <c r="M212" s="982" t="s">
        <v>346</v>
      </c>
      <c r="N212" s="958"/>
      <c r="O212" s="958"/>
      <c r="P212" s="962" t="s">
        <v>344</v>
      </c>
      <c r="Q212" s="991" t="s">
        <v>320</v>
      </c>
      <c r="R212" s="964"/>
      <c r="S212" s="964"/>
      <c r="T212" s="964" t="s">
        <v>347</v>
      </c>
      <c r="U212" s="964"/>
      <c r="V212" s="964"/>
      <c r="W212" s="964"/>
      <c r="X212" s="964"/>
      <c r="Y212" s="964"/>
      <c r="Z212" s="982" t="s">
        <v>346</v>
      </c>
      <c r="AA212" s="982" t="s">
        <v>346</v>
      </c>
      <c r="AB212" s="982" t="s">
        <v>346</v>
      </c>
    </row>
    <row r="213" spans="1:28">
      <c r="A213" s="962" t="s">
        <v>325</v>
      </c>
      <c r="B213" s="963" t="s">
        <v>61</v>
      </c>
      <c r="C213" s="965" t="s">
        <v>326</v>
      </c>
      <c r="D213" s="965" t="s">
        <v>348</v>
      </c>
      <c r="E213" s="965"/>
      <c r="F213" s="965"/>
      <c r="G213" s="965"/>
      <c r="H213" s="965"/>
      <c r="I213" s="965"/>
      <c r="J213" s="983" t="s">
        <v>126</v>
      </c>
      <c r="K213" s="962" t="s">
        <v>349</v>
      </c>
      <c r="L213" s="962" t="s">
        <v>350</v>
      </c>
      <c r="M213" s="962" t="s">
        <v>350</v>
      </c>
      <c r="N213" s="958"/>
      <c r="O213" s="958"/>
      <c r="P213" s="962" t="s">
        <v>325</v>
      </c>
      <c r="Q213" s="991" t="s">
        <v>61</v>
      </c>
      <c r="R213" s="965" t="s">
        <v>326</v>
      </c>
      <c r="S213" s="965" t="s">
        <v>351</v>
      </c>
      <c r="T213" s="965"/>
      <c r="U213" s="965"/>
      <c r="V213" s="965"/>
      <c r="W213" s="965"/>
      <c r="X213" s="965"/>
      <c r="Y213" s="983" t="s">
        <v>126</v>
      </c>
      <c r="Z213" s="962" t="s">
        <v>349</v>
      </c>
      <c r="AA213" s="962" t="s">
        <v>350</v>
      </c>
      <c r="AB213" s="962" t="s">
        <v>350</v>
      </c>
    </row>
    <row r="214" spans="1:28">
      <c r="A214" s="966"/>
      <c r="B214" s="967"/>
      <c r="C214" s="968" t="s">
        <v>328</v>
      </c>
      <c r="D214" s="968" t="s">
        <v>352</v>
      </c>
      <c r="E214" s="968" t="s">
        <v>54</v>
      </c>
      <c r="F214" s="968" t="s">
        <v>55</v>
      </c>
      <c r="G214" s="968" t="s">
        <v>329</v>
      </c>
      <c r="H214" s="968" t="s">
        <v>353</v>
      </c>
      <c r="I214" s="968" t="s">
        <v>330</v>
      </c>
      <c r="J214" s="964" t="s">
        <v>354</v>
      </c>
      <c r="K214" s="984" t="s">
        <v>355</v>
      </c>
      <c r="L214" s="984" t="s">
        <v>356</v>
      </c>
      <c r="M214" s="984" t="s">
        <v>357</v>
      </c>
      <c r="N214" s="958"/>
      <c r="O214" s="958"/>
      <c r="P214" s="966"/>
      <c r="Q214" s="992"/>
      <c r="R214" s="968" t="s">
        <v>328</v>
      </c>
      <c r="S214" s="968" t="s">
        <v>358</v>
      </c>
      <c r="T214" s="968" t="s">
        <v>54</v>
      </c>
      <c r="U214" s="968" t="s">
        <v>55</v>
      </c>
      <c r="V214" s="968" t="s">
        <v>329</v>
      </c>
      <c r="W214" s="968" t="s">
        <v>353</v>
      </c>
      <c r="X214" s="968" t="s">
        <v>330</v>
      </c>
      <c r="Y214" s="964" t="s">
        <v>354</v>
      </c>
      <c r="Z214" s="984" t="s">
        <v>355</v>
      </c>
      <c r="AA214" s="984" t="s">
        <v>356</v>
      </c>
      <c r="AB214" s="984" t="s">
        <v>357</v>
      </c>
    </row>
    <row r="215" spans="1:28">
      <c r="A215" s="969" t="s">
        <v>54</v>
      </c>
      <c r="B215" s="970">
        <v>127188</v>
      </c>
      <c r="C215" s="971">
        <v>53772</v>
      </c>
      <c r="D215" s="971">
        <v>51849</v>
      </c>
      <c r="E215" s="1325" t="s">
        <v>245</v>
      </c>
      <c r="F215" s="971">
        <v>16779</v>
      </c>
      <c r="G215" s="971">
        <v>10042</v>
      </c>
      <c r="H215" s="971">
        <v>46148</v>
      </c>
      <c r="I215" s="971">
        <v>31996</v>
      </c>
      <c r="J215" s="985">
        <v>20083</v>
      </c>
      <c r="K215" s="986">
        <v>15790</v>
      </c>
      <c r="L215" s="986">
        <v>7171</v>
      </c>
      <c r="M215" s="986">
        <v>6791</v>
      </c>
      <c r="N215" s="958"/>
      <c r="O215" s="958"/>
      <c r="P215" s="969" t="s">
        <v>54</v>
      </c>
      <c r="Q215" s="993">
        <v>0.38160456013786498</v>
      </c>
      <c r="R215" s="994">
        <v>0.70551588187160597</v>
      </c>
      <c r="S215" s="994">
        <v>6.2795680675477904E-3</v>
      </c>
      <c r="T215" s="1325" t="s">
        <v>245</v>
      </c>
      <c r="U215" s="994">
        <v>0.86042076405030099</v>
      </c>
      <c r="V215" s="994">
        <v>0.86357299342760396</v>
      </c>
      <c r="W215" s="994">
        <v>0.73545982491115502</v>
      </c>
      <c r="X215" s="994">
        <v>0.75631328916114504</v>
      </c>
      <c r="Y215" s="1001">
        <v>0.83105113777822004</v>
      </c>
      <c r="Z215" s="996">
        <v>0.87327422419252698</v>
      </c>
      <c r="AA215" s="996">
        <v>0.90893878120206395</v>
      </c>
      <c r="AB215" s="996">
        <v>0.91194227654248305</v>
      </c>
    </row>
    <row r="216" spans="1:28">
      <c r="A216" s="972"/>
      <c r="B216" s="973"/>
      <c r="C216" s="974">
        <v>0.42277573355977</v>
      </c>
      <c r="D216" s="974">
        <v>0.40765638267761101</v>
      </c>
      <c r="E216" s="974"/>
      <c r="F216" s="974">
        <v>0.13192282290782101</v>
      </c>
      <c r="G216" s="974">
        <v>7.8953989370066396E-2</v>
      </c>
      <c r="H216" s="974">
        <v>0.36283297166399298</v>
      </c>
      <c r="I216" s="974">
        <v>0.251564613013806</v>
      </c>
      <c r="J216" s="987">
        <v>0.15790011636317899</v>
      </c>
      <c r="K216" s="987">
        <v>0.124146932100513</v>
      </c>
      <c r="L216" s="987">
        <v>5.6381105135704601E-2</v>
      </c>
      <c r="M216" s="987">
        <v>5.3393401893260403E-2</v>
      </c>
      <c r="N216" s="958"/>
      <c r="O216" s="958"/>
      <c r="P216" s="972"/>
      <c r="Q216" s="995"/>
      <c r="R216" s="974"/>
      <c r="S216" s="974"/>
      <c r="T216" s="974"/>
      <c r="U216" s="974"/>
      <c r="V216" s="974"/>
      <c r="W216" s="974"/>
      <c r="X216" s="974"/>
      <c r="Y216" s="1002"/>
      <c r="Z216" s="1003"/>
      <c r="AA216" s="1003"/>
      <c r="AB216" s="1003"/>
    </row>
    <row r="217" spans="1:28">
      <c r="A217" s="969" t="s">
        <v>55</v>
      </c>
      <c r="B217" s="975">
        <v>252391</v>
      </c>
      <c r="C217" s="971">
        <v>74632</v>
      </c>
      <c r="D217" s="971">
        <v>72394</v>
      </c>
      <c r="E217" s="971">
        <v>29193</v>
      </c>
      <c r="F217" s="1325" t="s">
        <v>245</v>
      </c>
      <c r="G217" s="971">
        <v>16669</v>
      </c>
      <c r="H217" s="971">
        <v>60097</v>
      </c>
      <c r="I217" s="971">
        <v>43821</v>
      </c>
      <c r="J217" s="985">
        <v>18270</v>
      </c>
      <c r="K217" s="986">
        <v>26467</v>
      </c>
      <c r="L217" s="986">
        <v>7912</v>
      </c>
      <c r="M217" s="986">
        <v>7498</v>
      </c>
      <c r="N217" s="958"/>
      <c r="O217" s="958"/>
      <c r="P217" s="969" t="s">
        <v>55</v>
      </c>
      <c r="Q217" s="996">
        <v>0.17740278467866399</v>
      </c>
      <c r="R217" s="994">
        <v>0.49622145996355399</v>
      </c>
      <c r="S217" s="994">
        <v>1.34278765457473E-2</v>
      </c>
      <c r="T217" s="994">
        <v>0.68783612509848202</v>
      </c>
      <c r="U217" s="1325" t="s">
        <v>245</v>
      </c>
      <c r="V217" s="994">
        <v>0.66962625232467499</v>
      </c>
      <c r="W217" s="994">
        <v>0.49470023462069701</v>
      </c>
      <c r="X217" s="994">
        <v>0.57963077063508395</v>
      </c>
      <c r="Y217" s="1001">
        <v>0.719594964422551</v>
      </c>
      <c r="Z217" s="996">
        <v>0.70782483847810496</v>
      </c>
      <c r="AA217" s="996">
        <v>0.83455510616784601</v>
      </c>
      <c r="AB217" s="996">
        <v>0.84542544678581</v>
      </c>
    </row>
    <row r="218" spans="1:28">
      <c r="A218" s="972"/>
      <c r="B218" s="973"/>
      <c r="C218" s="974">
        <v>0.29569992590861</v>
      </c>
      <c r="D218" s="974">
        <v>0.28683273175350898</v>
      </c>
      <c r="E218" s="974">
        <v>0.115665772551319</v>
      </c>
      <c r="F218" s="974"/>
      <c r="G218" s="974">
        <v>6.6044351819201194E-2</v>
      </c>
      <c r="H218" s="974">
        <v>0.23811070917742699</v>
      </c>
      <c r="I218" s="974">
        <v>0.17362346517902799</v>
      </c>
      <c r="J218" s="987">
        <v>7.2387684188421897E-2</v>
      </c>
      <c r="K218" s="987">
        <v>0.104865070466063</v>
      </c>
      <c r="L218" s="987">
        <v>3.1348185949578201E-2</v>
      </c>
      <c r="M218" s="987">
        <v>2.9707873894076999E-2</v>
      </c>
      <c r="N218" s="958"/>
      <c r="O218" s="958"/>
      <c r="P218" s="972"/>
      <c r="Q218" s="995"/>
      <c r="R218" s="974"/>
      <c r="S218" s="974"/>
      <c r="T218" s="974"/>
      <c r="U218" s="974"/>
      <c r="V218" s="974"/>
      <c r="W218" s="974"/>
      <c r="X218" s="974"/>
      <c r="Y218" s="1002"/>
      <c r="Z218" s="1003"/>
      <c r="AA218" s="1003"/>
      <c r="AB218" s="1003"/>
    </row>
    <row r="219" spans="1:28">
      <c r="A219" s="969" t="s">
        <v>329</v>
      </c>
      <c r="B219" s="975">
        <v>159248</v>
      </c>
      <c r="C219" s="971">
        <v>29484</v>
      </c>
      <c r="D219" s="971">
        <v>29171</v>
      </c>
      <c r="E219" s="971">
        <v>8381</v>
      </c>
      <c r="F219" s="971">
        <v>5661</v>
      </c>
      <c r="G219" s="1325" t="s">
        <v>245</v>
      </c>
      <c r="H219" s="971">
        <v>26660</v>
      </c>
      <c r="I219" s="971">
        <v>13153</v>
      </c>
      <c r="J219" s="985">
        <v>3748</v>
      </c>
      <c r="K219" s="986">
        <v>3080</v>
      </c>
      <c r="L219" s="986">
        <v>3080</v>
      </c>
      <c r="M219" s="986">
        <v>2891</v>
      </c>
      <c r="N219" s="958"/>
      <c r="O219" s="958"/>
      <c r="P219" s="969" t="s">
        <v>329</v>
      </c>
      <c r="Q219" s="996">
        <v>0.10110589127833999</v>
      </c>
      <c r="R219" s="994">
        <v>0.30487722154388802</v>
      </c>
      <c r="S219" s="994">
        <v>1.2483037389923499</v>
      </c>
      <c r="T219" s="994">
        <v>0.48693473332537901</v>
      </c>
      <c r="U219" s="994">
        <v>0.59848083377495098</v>
      </c>
      <c r="V219" s="1325" t="s">
        <v>245</v>
      </c>
      <c r="W219" s="994">
        <v>0.29152288072018001</v>
      </c>
      <c r="X219" s="994">
        <v>0.46521706074659802</v>
      </c>
      <c r="Y219" s="1001">
        <v>0.54028815368196403</v>
      </c>
      <c r="Z219" s="996">
        <v>0.67435064935064903</v>
      </c>
      <c r="AA219" s="996">
        <v>0.67435064935064903</v>
      </c>
      <c r="AB219" s="996">
        <v>0.67381528882739505</v>
      </c>
    </row>
    <row r="220" spans="1:28">
      <c r="A220" s="972"/>
      <c r="B220" s="973"/>
      <c r="C220" s="974">
        <v>0.185145182357078</v>
      </c>
      <c r="D220" s="974">
        <v>0.18317969456445299</v>
      </c>
      <c r="E220" s="974">
        <v>5.2628604440872098E-2</v>
      </c>
      <c r="F220" s="974">
        <v>3.55483271375465E-2</v>
      </c>
      <c r="G220" s="974"/>
      <c r="H220" s="974">
        <v>0.16741183562744899</v>
      </c>
      <c r="I220" s="974">
        <v>8.2594443886265495E-2</v>
      </c>
      <c r="J220" s="987">
        <v>2.3535617401788399E-2</v>
      </c>
      <c r="K220" s="987">
        <v>1.9340902240530498E-2</v>
      </c>
      <c r="L220" s="987">
        <v>1.9340902240530498E-2</v>
      </c>
      <c r="M220" s="987">
        <v>1.8154074148497901E-2</v>
      </c>
      <c r="N220" s="958"/>
      <c r="O220" s="958"/>
      <c r="P220" s="972"/>
      <c r="Q220" s="995"/>
      <c r="R220" s="974"/>
      <c r="S220" s="974"/>
      <c r="T220" s="974"/>
      <c r="U220" s="974"/>
      <c r="V220" s="997"/>
      <c r="W220" s="974"/>
      <c r="X220" s="974"/>
      <c r="Y220" s="1002"/>
      <c r="Z220" s="1003"/>
      <c r="AA220" s="1003"/>
      <c r="AB220" s="1003"/>
    </row>
    <row r="221" spans="1:28">
      <c r="A221" s="969" t="s">
        <v>360</v>
      </c>
      <c r="B221" s="975">
        <v>264923</v>
      </c>
      <c r="C221" s="971">
        <v>100769</v>
      </c>
      <c r="D221" s="971">
        <v>87721</v>
      </c>
      <c r="E221" s="971">
        <v>73717</v>
      </c>
      <c r="F221" s="971">
        <v>33980</v>
      </c>
      <c r="G221" s="971">
        <v>24202</v>
      </c>
      <c r="H221" s="1324" t="s">
        <v>245</v>
      </c>
      <c r="I221" s="971">
        <v>56755</v>
      </c>
      <c r="J221" s="985">
        <v>55480</v>
      </c>
      <c r="K221" s="986">
        <v>30203</v>
      </c>
      <c r="L221" s="986">
        <v>15919</v>
      </c>
      <c r="M221" s="986">
        <v>15104</v>
      </c>
      <c r="N221" s="958"/>
      <c r="O221" s="958"/>
      <c r="P221" s="969" t="s">
        <v>360</v>
      </c>
      <c r="Q221" s="996">
        <v>0.24003177678551399</v>
      </c>
      <c r="R221" s="994">
        <v>0.70589169288173903</v>
      </c>
      <c r="S221" s="994">
        <v>0.25911683485172998</v>
      </c>
      <c r="T221" s="994">
        <v>0.79608502787688096</v>
      </c>
      <c r="U221" s="994">
        <v>0.85391406709829298</v>
      </c>
      <c r="V221" s="994">
        <v>0.85901991570944503</v>
      </c>
      <c r="W221" s="1324" t="s">
        <v>245</v>
      </c>
      <c r="X221" s="994">
        <v>0.74918509382433296</v>
      </c>
      <c r="Y221" s="1001">
        <v>0.73934751261715903</v>
      </c>
      <c r="Z221" s="996">
        <v>0.88997781677316801</v>
      </c>
      <c r="AA221" s="996">
        <v>0.925183742697406</v>
      </c>
      <c r="AB221" s="996">
        <v>0.92823093220339004</v>
      </c>
    </row>
    <row r="222" spans="1:28">
      <c r="A222" s="972"/>
      <c r="B222" s="973"/>
      <c r="C222" s="974">
        <v>0.38037090022383901</v>
      </c>
      <c r="D222" s="974">
        <v>0.33111885340268699</v>
      </c>
      <c r="E222" s="974">
        <v>0.27825821087636798</v>
      </c>
      <c r="F222" s="974">
        <v>0.128263684164833</v>
      </c>
      <c r="G222" s="974">
        <v>9.1354846502568698E-2</v>
      </c>
      <c r="H222" s="974"/>
      <c r="I222" s="974">
        <v>0.214232059881551</v>
      </c>
      <c r="J222" s="987">
        <v>0.20941934071409399</v>
      </c>
      <c r="K222" s="987">
        <v>0.114006711384063</v>
      </c>
      <c r="L222" s="987">
        <v>6.0089157981753197E-2</v>
      </c>
      <c r="M222" s="987">
        <v>5.7012792396281202E-2</v>
      </c>
      <c r="N222" s="958"/>
      <c r="O222" s="958"/>
      <c r="P222" s="972"/>
      <c r="Q222" s="999"/>
      <c r="R222" s="974"/>
      <c r="S222" s="974"/>
      <c r="T222" s="974"/>
      <c r="U222" s="974"/>
      <c r="V222" s="974"/>
      <c r="W222" s="1082"/>
      <c r="X222" s="974"/>
      <c r="Y222" s="1002"/>
      <c r="Z222" s="1003"/>
      <c r="AA222" s="1003"/>
      <c r="AB222" s="1003"/>
    </row>
    <row r="223" spans="1:28">
      <c r="A223" s="969" t="s">
        <v>330</v>
      </c>
      <c r="B223" s="975">
        <v>702013</v>
      </c>
      <c r="C223" s="971">
        <v>21089</v>
      </c>
      <c r="D223" s="971">
        <v>19706</v>
      </c>
      <c r="E223" s="971">
        <v>8350</v>
      </c>
      <c r="F223" s="971">
        <v>3892</v>
      </c>
      <c r="G223" s="971">
        <v>2541</v>
      </c>
      <c r="H223" s="971">
        <v>17775</v>
      </c>
      <c r="I223" s="1324" t="s">
        <v>245</v>
      </c>
      <c r="J223" s="985">
        <v>5805</v>
      </c>
      <c r="K223" s="986">
        <v>2703</v>
      </c>
      <c r="L223" s="986">
        <v>1548</v>
      </c>
      <c r="M223" s="986">
        <v>1548</v>
      </c>
      <c r="N223" s="958"/>
      <c r="O223" s="958"/>
      <c r="P223" s="969" t="s">
        <v>330</v>
      </c>
      <c r="Q223" s="996">
        <v>4.0227958431109601E-2</v>
      </c>
      <c r="R223" s="994">
        <v>0.63402721798093797</v>
      </c>
      <c r="S223" s="994">
        <v>1.6647884438069901E-2</v>
      </c>
      <c r="T223" s="994">
        <v>0.86275449101796398</v>
      </c>
      <c r="U223" s="994">
        <v>0.81115107913669104</v>
      </c>
      <c r="V223" s="994">
        <v>0.84573002754820903</v>
      </c>
      <c r="W223" s="994">
        <v>0.65547116736990196</v>
      </c>
      <c r="X223" s="1324" t="s">
        <v>245</v>
      </c>
      <c r="Y223" s="1001">
        <v>0.50422049956933701</v>
      </c>
      <c r="Z223" s="996">
        <v>0.92008879023307399</v>
      </c>
      <c r="AA223" s="996">
        <v>0.91989664082687295</v>
      </c>
      <c r="AB223" s="996">
        <v>0.91989664082687295</v>
      </c>
    </row>
    <row r="224" spans="1:28">
      <c r="A224" s="978"/>
      <c r="B224" s="979"/>
      <c r="C224" s="980">
        <v>3.0040754231047E-2</v>
      </c>
      <c r="D224" s="981">
        <v>2.8070705243350199E-2</v>
      </c>
      <c r="E224" s="981">
        <v>1.1894366628538201E-2</v>
      </c>
      <c r="F224" s="981">
        <v>5.5440568764396096E-3</v>
      </c>
      <c r="G224" s="981">
        <v>3.61959109019349E-3</v>
      </c>
      <c r="H224" s="981">
        <v>2.5320043930810401E-2</v>
      </c>
      <c r="I224" s="981"/>
      <c r="J224" s="1004">
        <v>8.2690776381634003E-3</v>
      </c>
      <c r="K224" s="988">
        <v>3.8503560475375799E-3</v>
      </c>
      <c r="L224" s="988">
        <v>2.2050873701769101E-3</v>
      </c>
      <c r="M224" s="988">
        <v>2.2050873701769101E-3</v>
      </c>
      <c r="N224" s="958"/>
      <c r="O224" s="958"/>
      <c r="P224" s="978"/>
      <c r="Q224" s="1000"/>
      <c r="R224" s="981"/>
      <c r="S224" s="981"/>
      <c r="T224" s="981"/>
      <c r="U224" s="981"/>
      <c r="V224" s="981"/>
      <c r="W224" s="981"/>
      <c r="X224" s="981"/>
      <c r="Y224" s="1004"/>
      <c r="Z224" s="988"/>
      <c r="AA224" s="988"/>
      <c r="AB224" s="988"/>
    </row>
    <row r="225" spans="1:28">
      <c r="A225" s="1005" t="s">
        <v>361</v>
      </c>
      <c r="B225" s="1006">
        <v>1505763</v>
      </c>
      <c r="C225" s="1007">
        <v>279746</v>
      </c>
      <c r="D225" s="1007">
        <v>260841</v>
      </c>
      <c r="E225" s="1007">
        <v>119641</v>
      </c>
      <c r="F225" s="1007">
        <v>60312</v>
      </c>
      <c r="G225" s="1007">
        <v>53454</v>
      </c>
      <c r="H225" s="1007">
        <v>150680</v>
      </c>
      <c r="I225" s="1007">
        <v>145725</v>
      </c>
      <c r="J225" s="1019">
        <v>103386</v>
      </c>
      <c r="K225" s="1020">
        <v>78243</v>
      </c>
      <c r="L225" s="1020">
        <v>35630</v>
      </c>
      <c r="M225" s="1020">
        <v>33832</v>
      </c>
      <c r="N225" s="958"/>
      <c r="O225" s="958"/>
      <c r="P225" s="1005" t="s">
        <v>361</v>
      </c>
      <c r="Q225" s="1033">
        <v>0.15077156959100199</v>
      </c>
      <c r="R225" s="1034">
        <v>0.60219985272354204</v>
      </c>
      <c r="S225" s="1034">
        <v>0.27694549722959999</v>
      </c>
      <c r="T225" s="1034">
        <v>0.75266839962888998</v>
      </c>
      <c r="U225" s="1034">
        <v>0.82898925586947902</v>
      </c>
      <c r="V225" s="1034">
        <v>0.80018333520410101</v>
      </c>
      <c r="W225" s="1034">
        <v>0.55145341120254798</v>
      </c>
      <c r="X225" s="1034">
        <v>0.67413278435409196</v>
      </c>
      <c r="Y225" s="1061">
        <v>0.73325208442148804</v>
      </c>
      <c r="Z225" s="1033">
        <v>0.81754278337998298</v>
      </c>
      <c r="AA225" s="1033">
        <v>0.87987650856020205</v>
      </c>
      <c r="AB225" s="1033">
        <v>0.88448805864270497</v>
      </c>
    </row>
    <row r="226" spans="1:28">
      <c r="A226" s="1008" t="s">
        <v>362</v>
      </c>
      <c r="B226" s="1009"/>
      <c r="C226" s="1010">
        <v>0.178195918934935</v>
      </c>
      <c r="D226" s="1010">
        <v>0.166333796650973</v>
      </c>
      <c r="E226" s="1010">
        <v>7.6296231562711495E-2</v>
      </c>
      <c r="F226" s="1010">
        <v>3.8460679769263997E-2</v>
      </c>
      <c r="G226" s="1010">
        <v>3.4079042967342203E-2</v>
      </c>
      <c r="H226" s="1010">
        <v>9.5997331086274701E-2</v>
      </c>
      <c r="I226" s="1010">
        <v>9.2933566119084293E-2</v>
      </c>
      <c r="J226" s="1021">
        <v>6.4200005230662702E-2</v>
      </c>
      <c r="K226" s="1022">
        <v>4.9855231842743299E-2</v>
      </c>
      <c r="L226" s="1022">
        <v>2.2685766665242101E-2</v>
      </c>
      <c r="M226" s="1022">
        <v>2.15382103096361E-2</v>
      </c>
      <c r="N226" s="958"/>
      <c r="O226" s="958"/>
      <c r="P226" s="1008" t="s">
        <v>362</v>
      </c>
      <c r="Q226" s="1035"/>
      <c r="R226" s="1036"/>
      <c r="S226" s="1036"/>
      <c r="T226" s="1036"/>
      <c r="U226" s="1036"/>
      <c r="V226" s="1036"/>
      <c r="W226" s="1036"/>
      <c r="X226" s="1036"/>
      <c r="Y226" s="1062"/>
      <c r="Z226" s="1063"/>
      <c r="AA226" s="1063"/>
      <c r="AB226" s="1063"/>
    </row>
    <row r="227" spans="1:28">
      <c r="A227" s="969" t="s">
        <v>59</v>
      </c>
      <c r="B227" s="975">
        <v>88645</v>
      </c>
      <c r="C227" s="971">
        <v>19531</v>
      </c>
      <c r="D227" s="971">
        <v>19531</v>
      </c>
      <c r="E227" s="971">
        <v>4643</v>
      </c>
      <c r="F227" s="971">
        <v>2359</v>
      </c>
      <c r="G227" s="971">
        <v>1176</v>
      </c>
      <c r="H227" s="971">
        <v>16692</v>
      </c>
      <c r="I227" s="971">
        <v>6421</v>
      </c>
      <c r="J227" s="1326" t="s">
        <v>245</v>
      </c>
      <c r="K227" s="1024">
        <v>1354</v>
      </c>
      <c r="L227" s="1024">
        <v>533</v>
      </c>
      <c r="M227" s="1024">
        <v>471</v>
      </c>
      <c r="N227" s="958"/>
      <c r="O227" s="958"/>
      <c r="P227" s="969" t="s">
        <v>59</v>
      </c>
      <c r="Q227" s="996">
        <v>8.4710882451627306E-2</v>
      </c>
      <c r="R227" s="994">
        <v>0.23623982386974601</v>
      </c>
      <c r="S227" s="994">
        <v>2.4829412681103</v>
      </c>
      <c r="T227" s="994">
        <v>0.679302175317683</v>
      </c>
      <c r="U227" s="994">
        <v>0.48579906740144102</v>
      </c>
      <c r="V227" s="994">
        <v>0.52040816326530603</v>
      </c>
      <c r="W227" s="994">
        <v>0.24652528157201101</v>
      </c>
      <c r="X227" s="994">
        <v>0.30104345117582898</v>
      </c>
      <c r="Y227" s="1324" t="s">
        <v>245</v>
      </c>
      <c r="Z227" s="996">
        <v>0.72378138847858198</v>
      </c>
      <c r="AA227" s="996">
        <v>0.78424015009380899</v>
      </c>
      <c r="AB227" s="996">
        <v>0.81740976645435204</v>
      </c>
    </row>
    <row r="228" spans="1:28">
      <c r="A228" s="1011"/>
      <c r="B228" s="967"/>
      <c r="C228" s="1012">
        <v>0.22032827570647001</v>
      </c>
      <c r="D228" s="1012">
        <v>0.22032827570647001</v>
      </c>
      <c r="E228" s="1012">
        <v>5.2377460657679502E-2</v>
      </c>
      <c r="F228" s="1012">
        <v>2.6611766033053201E-2</v>
      </c>
      <c r="G228" s="1012">
        <v>1.32663996841333E-2</v>
      </c>
      <c r="H228" s="1012">
        <v>0.18830165265948401</v>
      </c>
      <c r="I228" s="1012">
        <v>7.2434993513452506E-2</v>
      </c>
      <c r="J228" s="1025"/>
      <c r="K228" s="1026">
        <v>1.52744091601331E-2</v>
      </c>
      <c r="L228" s="1026">
        <v>6.0127474758869598E-3</v>
      </c>
      <c r="M228" s="1026">
        <v>5.3133284449207504E-3</v>
      </c>
      <c r="N228" s="958"/>
      <c r="O228" s="958"/>
      <c r="P228" s="1011"/>
      <c r="Q228" s="992"/>
      <c r="R228" s="1012"/>
      <c r="S228" s="1012"/>
      <c r="T228" s="1012"/>
      <c r="U228" s="1012"/>
      <c r="V228" s="1012"/>
      <c r="W228" s="1012"/>
      <c r="X228" s="1012"/>
      <c r="Y228" s="1025"/>
      <c r="Z228" s="1026"/>
      <c r="AA228" s="1026"/>
      <c r="AB228" s="1026"/>
    </row>
    <row r="229" spans="1:28">
      <c r="A229" s="1005" t="s">
        <v>333</v>
      </c>
      <c r="B229" s="1013">
        <v>1594408</v>
      </c>
      <c r="C229" s="1014">
        <v>299277</v>
      </c>
      <c r="D229" s="1015">
        <v>280372</v>
      </c>
      <c r="E229" s="1015">
        <v>124284</v>
      </c>
      <c r="F229" s="1015">
        <v>62671</v>
      </c>
      <c r="G229" s="1015">
        <v>54630</v>
      </c>
      <c r="H229" s="1015">
        <v>167372</v>
      </c>
      <c r="I229" s="1015">
        <v>152146</v>
      </c>
      <c r="J229" s="1027">
        <v>103386</v>
      </c>
      <c r="K229" s="1028">
        <v>79597</v>
      </c>
      <c r="L229" s="1028">
        <v>36163</v>
      </c>
      <c r="M229" s="1028">
        <v>34303</v>
      </c>
      <c r="N229" s="958"/>
      <c r="O229" s="958"/>
      <c r="P229" s="1005" t="s">
        <v>333</v>
      </c>
      <c r="Q229" s="1037">
        <v>0.14722515930814101</v>
      </c>
      <c r="R229" s="1038">
        <v>0.57831707749008399</v>
      </c>
      <c r="S229" s="1039">
        <v>0.34519672439305399</v>
      </c>
      <c r="T229" s="1039">
        <v>0.74992758520807201</v>
      </c>
      <c r="U229" s="1039">
        <v>0.81607122911713503</v>
      </c>
      <c r="V229" s="1039">
        <v>0.79416071755445705</v>
      </c>
      <c r="W229" s="1039">
        <v>0.52104294625146397</v>
      </c>
      <c r="X229" s="1039">
        <v>0.65838733847751496</v>
      </c>
      <c r="Y229" s="1064">
        <v>0.73325208442148804</v>
      </c>
      <c r="Z229" s="1065">
        <v>0.81594783723004605</v>
      </c>
      <c r="AA229" s="1065">
        <v>0.87846694134889203</v>
      </c>
      <c r="AB229" s="1065">
        <v>0.88356703495321098</v>
      </c>
    </row>
    <row r="230" spans="1:28">
      <c r="A230" s="1016"/>
      <c r="B230" s="1080"/>
      <c r="C230" s="1018">
        <v>0.18770415100777199</v>
      </c>
      <c r="D230" s="1018">
        <v>0.17584708556404599</v>
      </c>
      <c r="E230" s="1018">
        <v>7.7949935022905106E-2</v>
      </c>
      <c r="F230" s="1018">
        <v>3.9306752098584599E-2</v>
      </c>
      <c r="G230" s="1018">
        <v>3.4263500935770498E-2</v>
      </c>
      <c r="H230" s="1018">
        <v>0.104974385477243</v>
      </c>
      <c r="I230" s="1018">
        <v>9.54247595345733E-2</v>
      </c>
      <c r="J230" s="1029">
        <v>6.4842875851099602E-2</v>
      </c>
      <c r="K230" s="1030">
        <v>4.9922604502737097E-2</v>
      </c>
      <c r="L230" s="1030">
        <v>2.2681145603885601E-2</v>
      </c>
      <c r="M230" s="1030">
        <v>2.1514568416616101E-2</v>
      </c>
      <c r="N230" s="1031"/>
      <c r="O230" s="958"/>
      <c r="P230" s="1016"/>
      <c r="Q230" s="1017"/>
      <c r="R230" s="1018"/>
      <c r="S230" s="1018"/>
      <c r="T230" s="1018"/>
      <c r="U230" s="1018"/>
      <c r="V230" s="1018"/>
      <c r="W230" s="1018"/>
      <c r="X230" s="1018"/>
      <c r="Y230" s="1029"/>
      <c r="Z230" s="1030"/>
      <c r="AA230" s="1030"/>
      <c r="AB230" s="1030"/>
    </row>
    <row r="231" spans="1:28">
      <c r="A231" s="839"/>
      <c r="B231" s="842"/>
      <c r="C231" s="839"/>
      <c r="D231" s="839"/>
      <c r="E231" s="839"/>
      <c r="F231" s="839"/>
      <c r="G231" s="839"/>
      <c r="N231" s="839"/>
      <c r="O231" s="839"/>
      <c r="P231" s="839"/>
      <c r="Q231" s="839"/>
      <c r="R231" s="839"/>
      <c r="S231" s="839"/>
      <c r="T231" s="839"/>
      <c r="U231" s="839"/>
    </row>
    <row r="232" spans="1:28">
      <c r="A232" s="839"/>
      <c r="B232" s="842"/>
      <c r="C232" s="839"/>
      <c r="D232" s="839"/>
      <c r="E232" s="839"/>
      <c r="F232" s="839"/>
      <c r="O232" s="839"/>
      <c r="P232" s="839" t="s">
        <v>302</v>
      </c>
      <c r="Q232" s="839" t="s">
        <v>363</v>
      </c>
      <c r="R232" s="839"/>
      <c r="S232" s="839"/>
      <c r="T232" s="839"/>
      <c r="U232" s="839"/>
    </row>
    <row r="233" spans="1:28">
      <c r="A233" s="955" t="s">
        <v>338</v>
      </c>
      <c r="B233" s="956"/>
      <c r="C233" s="955">
        <v>2012</v>
      </c>
      <c r="D233" s="839"/>
      <c r="E233" s="839"/>
      <c r="F233" s="839"/>
      <c r="G233" s="839"/>
      <c r="H233" s="839"/>
      <c r="I233" s="839"/>
      <c r="J233" s="839"/>
      <c r="K233" s="839"/>
      <c r="L233" s="839"/>
      <c r="M233" s="839"/>
      <c r="N233" s="839"/>
      <c r="O233" s="839"/>
      <c r="P233" s="955" t="s">
        <v>338</v>
      </c>
      <c r="Q233" s="955"/>
      <c r="R233" s="955">
        <v>2012</v>
      </c>
      <c r="S233" s="839"/>
      <c r="T233" s="839"/>
      <c r="U233" s="839"/>
      <c r="V233" s="958"/>
      <c r="W233" s="958"/>
      <c r="X233" s="958"/>
      <c r="Y233" s="958"/>
      <c r="Z233" s="958"/>
      <c r="AA233" s="958"/>
      <c r="AB233" s="958"/>
    </row>
    <row r="234" spans="1:28">
      <c r="A234" s="839"/>
      <c r="B234" s="842"/>
      <c r="C234" s="839"/>
      <c r="D234" s="839"/>
      <c r="E234" s="839"/>
      <c r="F234" s="839"/>
      <c r="G234" s="958"/>
      <c r="H234" s="958"/>
      <c r="I234" s="958"/>
      <c r="J234" s="958"/>
      <c r="K234" s="958"/>
      <c r="L234" s="958"/>
      <c r="M234" s="958"/>
      <c r="N234" s="958"/>
      <c r="O234" s="839"/>
      <c r="P234" s="839"/>
      <c r="Q234" s="839"/>
      <c r="R234" s="839"/>
      <c r="S234" s="839"/>
      <c r="T234" s="839"/>
      <c r="U234" s="839"/>
      <c r="V234" s="958"/>
      <c r="W234" s="958"/>
      <c r="X234" s="958"/>
      <c r="Y234" s="958"/>
      <c r="Z234" s="958"/>
      <c r="AA234" s="958"/>
      <c r="AB234" s="958"/>
    </row>
    <row r="235" spans="1:28">
      <c r="A235" s="959" t="s">
        <v>315</v>
      </c>
      <c r="B235" s="960" t="s">
        <v>316</v>
      </c>
      <c r="C235" s="961"/>
      <c r="D235" s="961"/>
      <c r="E235" s="961" t="s">
        <v>339</v>
      </c>
      <c r="F235" s="961"/>
      <c r="G235" s="961"/>
      <c r="H235" s="961"/>
      <c r="I235" s="961"/>
      <c r="J235" s="961"/>
      <c r="K235" s="959" t="s">
        <v>340</v>
      </c>
      <c r="L235" s="959" t="s">
        <v>341</v>
      </c>
      <c r="M235" s="959" t="s">
        <v>342</v>
      </c>
      <c r="N235" s="839"/>
      <c r="O235" s="839"/>
      <c r="P235" s="959" t="s">
        <v>315</v>
      </c>
      <c r="Q235" s="990" t="s">
        <v>316</v>
      </c>
      <c r="R235" s="961"/>
      <c r="S235" s="961"/>
      <c r="T235" s="961" t="s">
        <v>343</v>
      </c>
      <c r="U235" s="961"/>
      <c r="V235" s="961"/>
      <c r="W235" s="961"/>
      <c r="X235" s="961"/>
      <c r="Y235" s="961"/>
      <c r="Z235" s="959" t="s">
        <v>340</v>
      </c>
      <c r="AA235" s="959" t="s">
        <v>341</v>
      </c>
      <c r="AB235" s="959" t="s">
        <v>342</v>
      </c>
    </row>
    <row r="236" spans="1:28">
      <c r="A236" s="962" t="s">
        <v>344</v>
      </c>
      <c r="B236" s="963" t="s">
        <v>320</v>
      </c>
      <c r="C236" s="964"/>
      <c r="D236" s="964"/>
      <c r="E236" s="964" t="s">
        <v>345</v>
      </c>
      <c r="F236" s="964"/>
      <c r="G236" s="964"/>
      <c r="H236" s="964"/>
      <c r="I236" s="964"/>
      <c r="J236" s="964"/>
      <c r="K236" s="982" t="s">
        <v>346</v>
      </c>
      <c r="L236" s="982" t="s">
        <v>346</v>
      </c>
      <c r="M236" s="982" t="s">
        <v>346</v>
      </c>
      <c r="N236" s="839"/>
      <c r="O236" s="839"/>
      <c r="P236" s="962" t="s">
        <v>344</v>
      </c>
      <c r="Q236" s="991" t="s">
        <v>320</v>
      </c>
      <c r="R236" s="964"/>
      <c r="S236" s="964"/>
      <c r="T236" s="964" t="s">
        <v>347</v>
      </c>
      <c r="U236" s="964"/>
      <c r="V236" s="964"/>
      <c r="W236" s="964"/>
      <c r="X236" s="964"/>
      <c r="Y236" s="964"/>
      <c r="Z236" s="982" t="s">
        <v>346</v>
      </c>
      <c r="AA236" s="982" t="s">
        <v>346</v>
      </c>
      <c r="AB236" s="982" t="s">
        <v>346</v>
      </c>
    </row>
    <row r="237" spans="1:28">
      <c r="A237" s="962" t="s">
        <v>325</v>
      </c>
      <c r="B237" s="963" t="s">
        <v>61</v>
      </c>
      <c r="C237" s="965" t="s">
        <v>326</v>
      </c>
      <c r="D237" s="965" t="s">
        <v>348</v>
      </c>
      <c r="E237" s="965"/>
      <c r="F237" s="965"/>
      <c r="G237" s="965"/>
      <c r="H237" s="965"/>
      <c r="I237" s="965"/>
      <c r="J237" s="983" t="s">
        <v>126</v>
      </c>
      <c r="K237" s="962" t="s">
        <v>349</v>
      </c>
      <c r="L237" s="962" t="s">
        <v>350</v>
      </c>
      <c r="M237" s="962" t="s">
        <v>350</v>
      </c>
      <c r="N237" s="839"/>
      <c r="O237" s="839"/>
      <c r="P237" s="962" t="s">
        <v>325</v>
      </c>
      <c r="Q237" s="991" t="s">
        <v>61</v>
      </c>
      <c r="R237" s="965" t="s">
        <v>326</v>
      </c>
      <c r="S237" s="965" t="s">
        <v>348</v>
      </c>
      <c r="T237" s="965"/>
      <c r="U237" s="965"/>
      <c r="V237" s="965"/>
      <c r="W237" s="965"/>
      <c r="X237" s="965"/>
      <c r="Y237" s="983" t="s">
        <v>126</v>
      </c>
      <c r="Z237" s="962" t="s">
        <v>349</v>
      </c>
      <c r="AA237" s="962" t="s">
        <v>350</v>
      </c>
      <c r="AB237" s="962" t="s">
        <v>350</v>
      </c>
    </row>
    <row r="238" spans="1:28">
      <c r="A238" s="966"/>
      <c r="B238" s="967"/>
      <c r="C238" s="968" t="s">
        <v>328</v>
      </c>
      <c r="D238" s="968" t="s">
        <v>352</v>
      </c>
      <c r="E238" s="968" t="s">
        <v>54</v>
      </c>
      <c r="F238" s="968" t="s">
        <v>55</v>
      </c>
      <c r="G238" s="968" t="s">
        <v>329</v>
      </c>
      <c r="H238" s="968" t="s">
        <v>353</v>
      </c>
      <c r="I238" s="968" t="s">
        <v>330</v>
      </c>
      <c r="J238" s="964" t="s">
        <v>354</v>
      </c>
      <c r="K238" s="984" t="s">
        <v>355</v>
      </c>
      <c r="L238" s="984" t="s">
        <v>356</v>
      </c>
      <c r="M238" s="984" t="s">
        <v>357</v>
      </c>
      <c r="N238" s="839"/>
      <c r="O238" s="839"/>
      <c r="P238" s="966"/>
      <c r="Q238" s="992"/>
      <c r="R238" s="968" t="s">
        <v>328</v>
      </c>
      <c r="S238" s="968" t="s">
        <v>352</v>
      </c>
      <c r="T238" s="968" t="s">
        <v>54</v>
      </c>
      <c r="U238" s="968" t="s">
        <v>55</v>
      </c>
      <c r="V238" s="968" t="s">
        <v>329</v>
      </c>
      <c r="W238" s="968" t="s">
        <v>353</v>
      </c>
      <c r="X238" s="968" t="s">
        <v>330</v>
      </c>
      <c r="Y238" s="964" t="s">
        <v>354</v>
      </c>
      <c r="Z238" s="984" t="s">
        <v>355</v>
      </c>
      <c r="AA238" s="984" t="s">
        <v>356</v>
      </c>
      <c r="AB238" s="984" t="s">
        <v>357</v>
      </c>
    </row>
    <row r="239" spans="1:28">
      <c r="A239" s="969" t="s">
        <v>54</v>
      </c>
      <c r="B239" s="970">
        <v>126222</v>
      </c>
      <c r="C239" s="971">
        <v>51911</v>
      </c>
      <c r="D239" s="971">
        <v>49901</v>
      </c>
      <c r="E239" s="1325" t="s">
        <v>245</v>
      </c>
      <c r="F239" s="971">
        <v>15996</v>
      </c>
      <c r="G239" s="971">
        <v>10022</v>
      </c>
      <c r="H239" s="971">
        <v>43844</v>
      </c>
      <c r="I239" s="971">
        <v>30788</v>
      </c>
      <c r="J239" s="985">
        <v>20012</v>
      </c>
      <c r="K239" s="986">
        <v>14728</v>
      </c>
      <c r="L239" s="986">
        <v>7077</v>
      </c>
      <c r="M239" s="986">
        <v>6659</v>
      </c>
      <c r="N239" s="839"/>
      <c r="O239" s="839"/>
      <c r="P239" s="969" t="s">
        <v>54</v>
      </c>
      <c r="Q239" s="993">
        <v>0.37434356442727301</v>
      </c>
      <c r="R239" s="994">
        <v>0.70333840611816401</v>
      </c>
      <c r="S239" s="994">
        <v>0.71215005711308399</v>
      </c>
      <c r="T239" s="1325" t="s">
        <v>245</v>
      </c>
      <c r="U239" s="994">
        <v>0.85940235058764702</v>
      </c>
      <c r="V239" s="994">
        <v>0.86779086010776296</v>
      </c>
      <c r="W239" s="994">
        <v>0.73512909406076099</v>
      </c>
      <c r="X239" s="994">
        <v>0.75496946862413905</v>
      </c>
      <c r="Y239" s="1001">
        <v>0.82115730561663003</v>
      </c>
      <c r="Z239" s="996">
        <v>0.87588267246061902</v>
      </c>
      <c r="AA239" s="996">
        <v>0.910414017238943</v>
      </c>
      <c r="AB239" s="996">
        <v>0.91289983481003201</v>
      </c>
    </row>
    <row r="240" spans="1:28">
      <c r="A240" s="972"/>
      <c r="B240" s="973"/>
      <c r="C240" s="974">
        <v>0.41126744941452398</v>
      </c>
      <c r="D240" s="974">
        <v>0.39534312560409401</v>
      </c>
      <c r="E240" s="974"/>
      <c r="F240" s="974">
        <v>0.126729096354043</v>
      </c>
      <c r="G240" s="974">
        <v>7.9399787675682496E-2</v>
      </c>
      <c r="H240" s="974">
        <v>0.34735624534550202</v>
      </c>
      <c r="I240" s="974">
        <v>0.24391944352014699</v>
      </c>
      <c r="J240" s="987">
        <v>0.158546053778264</v>
      </c>
      <c r="K240" s="987">
        <v>0.116683304019901</v>
      </c>
      <c r="L240" s="987">
        <v>5.6067880401197902E-2</v>
      </c>
      <c r="M240" s="987">
        <v>5.2756254852561399E-2</v>
      </c>
      <c r="N240" s="839"/>
      <c r="O240" s="839"/>
      <c r="P240" s="972"/>
      <c r="Q240" s="995"/>
      <c r="R240" s="974"/>
      <c r="S240" s="974"/>
      <c r="T240" s="974"/>
      <c r="U240" s="974"/>
      <c r="V240" s="974"/>
      <c r="W240" s="974"/>
      <c r="X240" s="974"/>
      <c r="Y240" s="1002"/>
      <c r="Z240" s="1003"/>
      <c r="AA240" s="1003"/>
      <c r="AB240" s="1003"/>
    </row>
    <row r="241" spans="1:28">
      <c r="A241" s="969" t="s">
        <v>55</v>
      </c>
      <c r="B241" s="975">
        <v>269132</v>
      </c>
      <c r="C241" s="971">
        <v>77264</v>
      </c>
      <c r="D241" s="971">
        <v>75116</v>
      </c>
      <c r="E241" s="971">
        <v>30296</v>
      </c>
      <c r="F241" s="1325" t="s">
        <v>245</v>
      </c>
      <c r="G241" s="971">
        <v>18164</v>
      </c>
      <c r="H241" s="971">
        <v>62237</v>
      </c>
      <c r="I241" s="971">
        <v>47256</v>
      </c>
      <c r="J241" s="985">
        <v>18997</v>
      </c>
      <c r="K241" s="986">
        <v>27704</v>
      </c>
      <c r="L241" s="986">
        <v>8722</v>
      </c>
      <c r="M241" s="986">
        <v>8322</v>
      </c>
      <c r="N241" s="839"/>
      <c r="O241" s="839"/>
      <c r="P241" s="969" t="s">
        <v>55</v>
      </c>
      <c r="Q241" s="996">
        <v>0.17265468015586</v>
      </c>
      <c r="R241" s="994">
        <v>0.49811037481880299</v>
      </c>
      <c r="S241" s="994">
        <v>0.48759252356355498</v>
      </c>
      <c r="T241" s="994">
        <v>0.69504224980195395</v>
      </c>
      <c r="U241" s="1325" t="s">
        <v>245</v>
      </c>
      <c r="V241" s="994">
        <v>0.65850033032371702</v>
      </c>
      <c r="W241" s="994">
        <v>0.50085961726947004</v>
      </c>
      <c r="X241" s="994">
        <v>0.57427628237684103</v>
      </c>
      <c r="Y241" s="1001">
        <v>0.71153340001052801</v>
      </c>
      <c r="Z241" s="996">
        <v>0.71007796708056603</v>
      </c>
      <c r="AA241" s="996">
        <v>0.81346021554689296</v>
      </c>
      <c r="AB241" s="996">
        <v>0.82311944244172097</v>
      </c>
    </row>
    <row r="242" spans="1:28">
      <c r="A242" s="972"/>
      <c r="B242" s="973"/>
      <c r="C242" s="974">
        <v>0.28708589093827602</v>
      </c>
      <c r="D242" s="974">
        <v>0.27910467725874299</v>
      </c>
      <c r="E242" s="974">
        <v>0.11256929685061599</v>
      </c>
      <c r="F242" s="974"/>
      <c r="G242" s="974">
        <v>6.7491045286327905E-2</v>
      </c>
      <c r="H242" s="974">
        <v>0.23125083602098601</v>
      </c>
      <c r="I242" s="974">
        <v>0.17558670094972001</v>
      </c>
      <c r="J242" s="987">
        <v>7.0586180758884107E-2</v>
      </c>
      <c r="K242" s="987">
        <v>0.10293833509207399</v>
      </c>
      <c r="L242" s="987">
        <v>3.2407889065588599E-2</v>
      </c>
      <c r="M242" s="987">
        <v>3.09216295349494E-2</v>
      </c>
      <c r="N242" s="839"/>
      <c r="O242" s="839"/>
      <c r="P242" s="972"/>
      <c r="Q242" s="995"/>
      <c r="R242" s="974"/>
      <c r="S242" s="974"/>
      <c r="T242" s="974"/>
      <c r="U242" s="974"/>
      <c r="V242" s="974"/>
      <c r="W242" s="974"/>
      <c r="X242" s="974"/>
      <c r="Y242" s="1002"/>
      <c r="Z242" s="1003"/>
      <c r="AA242" s="1003"/>
      <c r="AB242" s="1003"/>
    </row>
    <row r="243" spans="1:28">
      <c r="A243" s="969" t="s">
        <v>329</v>
      </c>
      <c r="B243" s="975">
        <v>147694</v>
      </c>
      <c r="C243" s="971">
        <v>25093</v>
      </c>
      <c r="D243" s="971">
        <v>24858</v>
      </c>
      <c r="E243" s="971">
        <v>7783</v>
      </c>
      <c r="F243" s="971">
        <v>6057</v>
      </c>
      <c r="G243" s="1325" t="s">
        <v>245</v>
      </c>
      <c r="H243" s="971">
        <v>22583</v>
      </c>
      <c r="I243" s="971">
        <v>11674</v>
      </c>
      <c r="J243" s="985">
        <v>3415</v>
      </c>
      <c r="K243" s="986">
        <v>3451</v>
      </c>
      <c r="L243" s="986">
        <v>3451</v>
      </c>
      <c r="M243" s="986">
        <v>3183</v>
      </c>
      <c r="N243" s="839"/>
      <c r="O243" s="839"/>
      <c r="P243" s="969" t="s">
        <v>329</v>
      </c>
      <c r="Q243" s="996">
        <v>9.6889706609088397E-2</v>
      </c>
      <c r="R243" s="994">
        <v>0.30833300123540403</v>
      </c>
      <c r="S243" s="994">
        <v>0.30473087134926402</v>
      </c>
      <c r="T243" s="994">
        <v>0.47282538866760898</v>
      </c>
      <c r="U243" s="994">
        <v>0.52649826646854903</v>
      </c>
      <c r="V243" s="1325" t="s">
        <v>245</v>
      </c>
      <c r="W243" s="994">
        <v>0.29526635079484598</v>
      </c>
      <c r="X243" s="994">
        <v>0.430615041973617</v>
      </c>
      <c r="Y243" s="1001">
        <v>0.55959004392386502</v>
      </c>
      <c r="Z243" s="996">
        <v>0.60938858301941501</v>
      </c>
      <c r="AA243" s="996">
        <v>0.60938858301941501</v>
      </c>
      <c r="AB243" s="996">
        <v>0.60885956644674799</v>
      </c>
    </row>
    <row r="244" spans="1:28">
      <c r="A244" s="972"/>
      <c r="B244" s="973"/>
      <c r="C244" s="974">
        <v>0.16989857407883899</v>
      </c>
      <c r="D244" s="974">
        <v>0.16830744647717599</v>
      </c>
      <c r="E244" s="974">
        <v>5.2696792015924802E-2</v>
      </c>
      <c r="F244" s="974">
        <v>4.1010467588392198E-2</v>
      </c>
      <c r="G244" s="974"/>
      <c r="H244" s="974">
        <v>0.15290397714192899</v>
      </c>
      <c r="I244" s="974">
        <v>7.9041802646011294E-2</v>
      </c>
      <c r="J244" s="987">
        <v>2.3122130892250198E-2</v>
      </c>
      <c r="K244" s="987">
        <v>2.3365878099313401E-2</v>
      </c>
      <c r="L244" s="987">
        <v>2.3365878099313401E-2</v>
      </c>
      <c r="M244" s="987">
        <v>2.15513155578426E-2</v>
      </c>
      <c r="N244" s="839"/>
      <c r="O244" s="839"/>
      <c r="P244" s="972"/>
      <c r="Q244" s="995"/>
      <c r="R244" s="974"/>
      <c r="S244" s="974"/>
      <c r="T244" s="974"/>
      <c r="U244" s="974"/>
      <c r="V244" s="997"/>
      <c r="W244" s="974"/>
      <c r="X244" s="974"/>
      <c r="Y244" s="1002"/>
      <c r="Z244" s="1003"/>
      <c r="AA244" s="1003"/>
      <c r="AB244" s="1003"/>
    </row>
    <row r="245" spans="1:28">
      <c r="A245" s="969" t="s">
        <v>360</v>
      </c>
      <c r="B245" s="975">
        <v>250617</v>
      </c>
      <c r="C245" s="971">
        <v>94176</v>
      </c>
      <c r="D245" s="971">
        <v>81802</v>
      </c>
      <c r="E245" s="971">
        <v>68621</v>
      </c>
      <c r="F245" s="971">
        <v>32455</v>
      </c>
      <c r="G245" s="971">
        <v>22595</v>
      </c>
      <c r="H245" s="1324" t="s">
        <v>245</v>
      </c>
      <c r="I245" s="971">
        <v>52715</v>
      </c>
      <c r="J245" s="985">
        <v>52631</v>
      </c>
      <c r="K245" s="986">
        <v>29104</v>
      </c>
      <c r="L245" s="986">
        <v>14781</v>
      </c>
      <c r="M245" s="986">
        <v>13985</v>
      </c>
      <c r="N245" s="839"/>
      <c r="O245" s="839"/>
      <c r="P245" s="969" t="s">
        <v>360</v>
      </c>
      <c r="Q245" s="996">
        <v>0.23543479135108999</v>
      </c>
      <c r="R245" s="994">
        <v>0.70301350662589202</v>
      </c>
      <c r="S245" s="994">
        <v>0.74136329185105498</v>
      </c>
      <c r="T245" s="994">
        <v>0.79156526427769902</v>
      </c>
      <c r="U245" s="994">
        <v>0.85694037898628905</v>
      </c>
      <c r="V245" s="994">
        <v>0.85948218632440798</v>
      </c>
      <c r="W245" s="1324" t="s">
        <v>245</v>
      </c>
      <c r="X245" s="994">
        <v>0.74016883240064502</v>
      </c>
      <c r="Y245" s="1001">
        <v>0.72565598221580396</v>
      </c>
      <c r="Z245" s="996">
        <v>0.88334936778449702</v>
      </c>
      <c r="AA245" s="996">
        <v>0.93166903457140904</v>
      </c>
      <c r="AB245" s="996">
        <v>0.93428673578834498</v>
      </c>
    </row>
    <row r="246" spans="1:28">
      <c r="A246" s="972"/>
      <c r="B246" s="973"/>
      <c r="C246" s="974">
        <v>0.375776583392188</v>
      </c>
      <c r="D246" s="974">
        <v>0.32640243878108799</v>
      </c>
      <c r="E246" s="974">
        <v>0.27380824126056902</v>
      </c>
      <c r="F246" s="974">
        <v>0.12950039303000199</v>
      </c>
      <c r="G246" s="974">
        <v>9.0157491311443405E-2</v>
      </c>
      <c r="H246" s="974"/>
      <c r="I246" s="974">
        <v>0.21034087871134</v>
      </c>
      <c r="J246" s="987">
        <v>0.21000570591779499</v>
      </c>
      <c r="K246" s="987">
        <v>0.116129392658918</v>
      </c>
      <c r="L246" s="987">
        <v>5.8978441207100898E-2</v>
      </c>
      <c r="M246" s="987">
        <v>5.58022799730266E-2</v>
      </c>
      <c r="N246" s="839"/>
      <c r="O246" s="839"/>
      <c r="P246" s="972"/>
      <c r="Q246" s="999"/>
      <c r="R246" s="974"/>
      <c r="S246" s="974"/>
      <c r="T246" s="974"/>
      <c r="U246" s="974"/>
      <c r="V246" s="974"/>
      <c r="W246" s="1082"/>
      <c r="X246" s="974"/>
      <c r="Y246" s="1002"/>
      <c r="Z246" s="1003"/>
      <c r="AA246" s="1003"/>
      <c r="AB246" s="1003"/>
    </row>
    <row r="247" spans="1:28">
      <c r="A247" s="969" t="s">
        <v>330</v>
      </c>
      <c r="B247" s="975">
        <v>533245</v>
      </c>
      <c r="C247" s="971">
        <v>19304</v>
      </c>
      <c r="D247" s="971">
        <v>18111</v>
      </c>
      <c r="E247" s="971">
        <v>7796</v>
      </c>
      <c r="F247" s="971">
        <v>3504</v>
      </c>
      <c r="G247" s="971">
        <v>2096</v>
      </c>
      <c r="H247" s="971">
        <v>16567</v>
      </c>
      <c r="I247" s="1324" t="s">
        <v>245</v>
      </c>
      <c r="J247" s="985">
        <v>6363</v>
      </c>
      <c r="K247" s="986">
        <v>2410</v>
      </c>
      <c r="L247" s="986">
        <v>1181</v>
      </c>
      <c r="M247" s="986">
        <v>1181</v>
      </c>
      <c r="N247" s="839"/>
      <c r="O247" s="839"/>
      <c r="P247" s="969" t="s">
        <v>330</v>
      </c>
      <c r="Q247" s="996">
        <v>4.42939385073126E-2</v>
      </c>
      <c r="R247" s="994">
        <v>0.60987360132614998</v>
      </c>
      <c r="S247" s="994">
        <v>0.63022472530506302</v>
      </c>
      <c r="T247" s="994">
        <v>0.86467419189327899</v>
      </c>
      <c r="U247" s="994">
        <v>0.77511415525114202</v>
      </c>
      <c r="V247" s="994">
        <v>0.87356870229007599</v>
      </c>
      <c r="W247" s="994">
        <v>0.62467555984789003</v>
      </c>
      <c r="X247" s="1324" t="s">
        <v>245</v>
      </c>
      <c r="Y247" s="1001">
        <v>0.42589973283042598</v>
      </c>
      <c r="Z247" s="996">
        <v>0.89460580912863097</v>
      </c>
      <c r="AA247" s="996">
        <v>0.91532599491956002</v>
      </c>
      <c r="AB247" s="996">
        <v>0.91532599491956002</v>
      </c>
    </row>
    <row r="248" spans="1:28">
      <c r="A248" s="978"/>
      <c r="B248" s="979"/>
      <c r="C248" s="980">
        <v>3.6200995789927699E-2</v>
      </c>
      <c r="D248" s="981">
        <v>3.3963750246134503E-2</v>
      </c>
      <c r="E248" s="981">
        <v>1.4619921424485901E-2</v>
      </c>
      <c r="F248" s="981">
        <v>6.5710883365057296E-3</v>
      </c>
      <c r="G248" s="981">
        <v>3.93065101407421E-3</v>
      </c>
      <c r="H248" s="981">
        <v>3.1068270682331801E-2</v>
      </c>
      <c r="I248" s="981"/>
      <c r="J248" s="1004">
        <v>1.1932601337096499E-2</v>
      </c>
      <c r="K248" s="988">
        <v>4.51949854194601E-3</v>
      </c>
      <c r="L248" s="988">
        <v>2.2147418166133799E-3</v>
      </c>
      <c r="M248" s="988">
        <v>2.2147418166133799E-3</v>
      </c>
      <c r="N248" s="839"/>
      <c r="O248" s="839"/>
      <c r="P248" s="978"/>
      <c r="Q248" s="1000"/>
      <c r="R248" s="981"/>
      <c r="S248" s="981"/>
      <c r="T248" s="981"/>
      <c r="U248" s="981"/>
      <c r="V248" s="981"/>
      <c r="W248" s="981"/>
      <c r="X248" s="981"/>
      <c r="Y248" s="1004"/>
      <c r="Z248" s="988"/>
      <c r="AA248" s="988"/>
      <c r="AB248" s="988"/>
    </row>
    <row r="249" spans="1:28">
      <c r="A249" s="1005" t="s">
        <v>361</v>
      </c>
      <c r="B249" s="1006">
        <v>1326910</v>
      </c>
      <c r="C249" s="1007">
        <v>267748</v>
      </c>
      <c r="D249" s="1007">
        <v>249788</v>
      </c>
      <c r="E249" s="1007">
        <v>114496</v>
      </c>
      <c r="F249" s="1007">
        <v>58012</v>
      </c>
      <c r="G249" s="1007">
        <v>52877</v>
      </c>
      <c r="H249" s="1007">
        <v>145231</v>
      </c>
      <c r="I249" s="1007">
        <v>142433</v>
      </c>
      <c r="J249" s="1019">
        <v>101418</v>
      </c>
      <c r="K249" s="1020">
        <v>77397</v>
      </c>
      <c r="L249" s="1020">
        <v>35212</v>
      </c>
      <c r="M249" s="1020">
        <v>33330</v>
      </c>
      <c r="N249" s="839"/>
      <c r="O249" s="839"/>
      <c r="P249" s="1005" t="s">
        <v>361</v>
      </c>
      <c r="Q249" s="1033">
        <v>0.15806514726542401</v>
      </c>
      <c r="R249" s="1034">
        <v>0.60024351255658304</v>
      </c>
      <c r="S249" s="1034">
        <v>0.60770333242589702</v>
      </c>
      <c r="T249" s="1034">
        <v>0.74933622135271105</v>
      </c>
      <c r="U249" s="1034">
        <v>0.81817554988622998</v>
      </c>
      <c r="V249" s="1034">
        <v>0.79257522174102202</v>
      </c>
      <c r="W249" s="1034">
        <v>0.55373852689852698</v>
      </c>
      <c r="X249" s="1034">
        <v>0.66295732028392296</v>
      </c>
      <c r="Y249" s="1061">
        <v>0.71745646729377399</v>
      </c>
      <c r="Z249" s="1033">
        <v>0.808041655361319</v>
      </c>
      <c r="AA249" s="1033">
        <v>0.86598318754969905</v>
      </c>
      <c r="AB249" s="1033">
        <v>0.87050705070507095</v>
      </c>
    </row>
    <row r="250" spans="1:28">
      <c r="A250" s="1008" t="s">
        <v>362</v>
      </c>
      <c r="B250" s="1009"/>
      <c r="C250" s="1036">
        <v>0.20178309003625</v>
      </c>
      <c r="D250" s="1036">
        <v>0.18824788418204699</v>
      </c>
      <c r="E250" s="1036">
        <v>8.6287690951157195E-2</v>
      </c>
      <c r="F250" s="1036">
        <v>4.3719619265813102E-2</v>
      </c>
      <c r="G250" s="1036">
        <v>3.9849726055271303E-2</v>
      </c>
      <c r="H250" s="1036">
        <v>0.109450527918246</v>
      </c>
      <c r="I250" s="1036">
        <v>0.10734186945610499</v>
      </c>
      <c r="J250" s="1062">
        <v>7.6431709761777405E-2</v>
      </c>
      <c r="K250" s="1063">
        <v>5.8328748747089099E-2</v>
      </c>
      <c r="L250" s="1063">
        <v>2.6536841232638199E-2</v>
      </c>
      <c r="M250" s="1063">
        <v>2.5118508414285801E-2</v>
      </c>
      <c r="N250" s="839"/>
      <c r="O250" s="839"/>
      <c r="P250" s="1008" t="s">
        <v>362</v>
      </c>
      <c r="Q250" s="1035"/>
      <c r="R250" s="1036"/>
      <c r="S250" s="1036"/>
      <c r="T250" s="1036"/>
      <c r="U250" s="1036"/>
      <c r="V250" s="1036"/>
      <c r="W250" s="1036"/>
      <c r="X250" s="1036"/>
      <c r="Y250" s="1062"/>
      <c r="Z250" s="1063"/>
      <c r="AA250" s="1063"/>
      <c r="AB250" s="1063"/>
    </row>
    <row r="251" spans="1:28">
      <c r="A251" s="969" t="s">
        <v>59</v>
      </c>
      <c r="B251" s="975">
        <v>80343</v>
      </c>
      <c r="C251" s="971">
        <v>20022</v>
      </c>
      <c r="D251" s="971">
        <v>20022</v>
      </c>
      <c r="E251" s="971">
        <v>4837</v>
      </c>
      <c r="F251" s="971">
        <v>2265</v>
      </c>
      <c r="G251" s="971">
        <v>1250</v>
      </c>
      <c r="H251" s="971">
        <v>17266</v>
      </c>
      <c r="I251" s="971">
        <v>6671</v>
      </c>
      <c r="J251" s="1326" t="s">
        <v>245</v>
      </c>
      <c r="K251" s="1024">
        <v>1458</v>
      </c>
      <c r="L251" s="1024">
        <v>653</v>
      </c>
      <c r="M251" s="1024">
        <v>581</v>
      </c>
      <c r="N251" s="839"/>
      <c r="O251" s="839"/>
      <c r="P251" s="969" t="s">
        <v>59</v>
      </c>
      <c r="Q251" s="996">
        <v>9.5414722949140995E-2</v>
      </c>
      <c r="R251" s="994">
        <v>0.231894915592848</v>
      </c>
      <c r="S251" s="994">
        <v>0.231894915592848</v>
      </c>
      <c r="T251" s="994">
        <v>0.65433119702294795</v>
      </c>
      <c r="U251" s="994">
        <v>0.50110375275938202</v>
      </c>
      <c r="V251" s="994">
        <v>0.6048</v>
      </c>
      <c r="W251" s="994">
        <v>0.23601297347387901</v>
      </c>
      <c r="X251" s="994">
        <v>0.29320941388097699</v>
      </c>
      <c r="Y251" s="1324" t="s">
        <v>245</v>
      </c>
      <c r="Z251" s="996">
        <v>0.67078189300411495</v>
      </c>
      <c r="AA251" s="996">
        <v>0.777947932618683</v>
      </c>
      <c r="AB251" s="996">
        <v>0.80378657487091199</v>
      </c>
    </row>
    <row r="252" spans="1:28">
      <c r="A252" s="1011"/>
      <c r="B252" s="967"/>
      <c r="C252" s="1012">
        <v>0.24920652701542101</v>
      </c>
      <c r="D252" s="1012">
        <v>0.24920652701542101</v>
      </c>
      <c r="E252" s="1012">
        <v>6.0204373747557299E-2</v>
      </c>
      <c r="F252" s="1012">
        <v>2.81916283932639E-2</v>
      </c>
      <c r="G252" s="1012">
        <v>1.5558293815267001E-2</v>
      </c>
      <c r="H252" s="1012">
        <v>0.21490360081152099</v>
      </c>
      <c r="I252" s="1012">
        <v>8.3031502433317195E-2</v>
      </c>
      <c r="J252" s="1025"/>
      <c r="K252" s="1026">
        <v>1.8147193906127498E-2</v>
      </c>
      <c r="L252" s="1026">
        <v>8.1276526890955002E-3</v>
      </c>
      <c r="M252" s="1026">
        <v>7.2314949653361198E-3</v>
      </c>
      <c r="N252" s="839"/>
      <c r="O252" s="839"/>
      <c r="P252" s="1011"/>
      <c r="Q252" s="992"/>
      <c r="R252" s="1012"/>
      <c r="S252" s="1012"/>
      <c r="T252" s="1012"/>
      <c r="U252" s="1012"/>
      <c r="V252" s="1012"/>
      <c r="W252" s="1012"/>
      <c r="X252" s="1012"/>
      <c r="Y252" s="1025"/>
      <c r="Z252" s="1026"/>
      <c r="AA252" s="1026"/>
      <c r="AB252" s="1026"/>
    </row>
    <row r="253" spans="1:28">
      <c r="A253" s="1005" t="s">
        <v>333</v>
      </c>
      <c r="B253" s="1013">
        <v>1407253</v>
      </c>
      <c r="C253" s="1014">
        <v>287770</v>
      </c>
      <c r="D253" s="1015">
        <v>269810</v>
      </c>
      <c r="E253" s="1015">
        <v>119333</v>
      </c>
      <c r="F253" s="1015">
        <v>60277</v>
      </c>
      <c r="G253" s="1015">
        <v>54127</v>
      </c>
      <c r="H253" s="1015">
        <v>162497</v>
      </c>
      <c r="I253" s="1015">
        <v>149104</v>
      </c>
      <c r="J253" s="1027">
        <v>101418</v>
      </c>
      <c r="K253" s="1028">
        <v>78855</v>
      </c>
      <c r="L253" s="1028">
        <v>35865</v>
      </c>
      <c r="M253" s="1028">
        <v>33911</v>
      </c>
      <c r="N253" s="839"/>
      <c r="O253" s="839"/>
      <c r="P253" s="1005" t="s">
        <v>333</v>
      </c>
      <c r="Q253" s="1037">
        <v>0.15440320230476601</v>
      </c>
      <c r="R253" s="1038">
        <v>0.574615144038642</v>
      </c>
      <c r="S253" s="1039">
        <v>0.57981542566991595</v>
      </c>
      <c r="T253" s="1039">
        <v>0.74548532258470002</v>
      </c>
      <c r="U253" s="1039">
        <v>0.80626109461320195</v>
      </c>
      <c r="V253" s="1039">
        <v>0.78823877177748602</v>
      </c>
      <c r="W253" s="1039">
        <v>0.51997883037840698</v>
      </c>
      <c r="X253" s="1039">
        <v>0.64641458310977595</v>
      </c>
      <c r="Y253" s="1064">
        <v>0.71745646729377399</v>
      </c>
      <c r="Z253" s="1065">
        <v>0.805503772747448</v>
      </c>
      <c r="AA253" s="1065">
        <v>0.86438031507040303</v>
      </c>
      <c r="AB253" s="1065">
        <v>0.86936392321075795</v>
      </c>
    </row>
    <row r="254" spans="1:28">
      <c r="A254" s="1016"/>
      <c r="B254" s="1080"/>
      <c r="C254" s="1018">
        <v>0.20449059266528499</v>
      </c>
      <c r="D254" s="1018">
        <v>0.19172813985829101</v>
      </c>
      <c r="E254" s="1018">
        <v>8.4798540134574205E-2</v>
      </c>
      <c r="F254" s="1018">
        <v>4.2833093978126201E-2</v>
      </c>
      <c r="G254" s="1018">
        <v>3.8462877677290397E-2</v>
      </c>
      <c r="H254" s="1018">
        <v>0.115471063127952</v>
      </c>
      <c r="I254" s="1018">
        <v>0.105953940052002</v>
      </c>
      <c r="J254" s="1029">
        <v>7.2068064520025898E-2</v>
      </c>
      <c r="K254" s="1030">
        <v>5.6034700228032898E-2</v>
      </c>
      <c r="L254" s="1030">
        <v>2.54858223787762E-2</v>
      </c>
      <c r="M254" s="1030">
        <v>2.40973016223806E-2</v>
      </c>
      <c r="N254" s="839"/>
      <c r="O254" s="839"/>
      <c r="P254" s="1016"/>
      <c r="Q254" s="1017"/>
      <c r="R254" s="1018"/>
      <c r="S254" s="1018"/>
      <c r="T254" s="1018"/>
      <c r="U254" s="1018"/>
      <c r="V254" s="1018"/>
      <c r="W254" s="1018"/>
      <c r="X254" s="1018"/>
      <c r="Y254" s="1029"/>
      <c r="Z254" s="1030"/>
      <c r="AA254" s="1030"/>
      <c r="AB254" s="1030"/>
    </row>
    <row r="255" spans="1:28">
      <c r="A255" s="839"/>
      <c r="B255" s="842"/>
      <c r="C255" s="839"/>
      <c r="D255" s="839"/>
      <c r="E255" s="839"/>
      <c r="F255" s="839"/>
      <c r="G255" s="839"/>
      <c r="N255" s="1081"/>
      <c r="O255" s="839"/>
      <c r="P255" s="839"/>
      <c r="Q255" s="839"/>
      <c r="R255" s="839"/>
      <c r="S255" s="839"/>
      <c r="T255" s="839"/>
      <c r="U255" s="839"/>
    </row>
    <row r="256" spans="1:28">
      <c r="A256" s="839"/>
      <c r="B256" s="842"/>
      <c r="C256" s="839"/>
      <c r="D256" s="839"/>
      <c r="E256" s="839"/>
      <c r="F256" s="839"/>
      <c r="O256" s="839"/>
      <c r="P256" s="839" t="s">
        <v>302</v>
      </c>
      <c r="Q256" s="839" t="s">
        <v>363</v>
      </c>
      <c r="R256" s="839"/>
      <c r="S256" s="839"/>
      <c r="T256" s="839"/>
      <c r="U256" s="839"/>
    </row>
    <row r="257" spans="1:28">
      <c r="A257" s="955" t="s">
        <v>338</v>
      </c>
      <c r="B257" s="955"/>
      <c r="C257" s="955">
        <v>2011</v>
      </c>
      <c r="D257" s="839"/>
      <c r="E257" s="839"/>
      <c r="F257" s="839"/>
      <c r="G257" s="839"/>
      <c r="H257" s="839"/>
      <c r="I257" s="839"/>
      <c r="J257" s="839"/>
      <c r="K257" s="839"/>
      <c r="L257" s="839"/>
      <c r="M257" s="839"/>
      <c r="N257" s="839"/>
      <c r="O257" s="839"/>
      <c r="P257" s="955" t="s">
        <v>338</v>
      </c>
      <c r="Q257" s="955"/>
      <c r="R257" s="955">
        <v>2011</v>
      </c>
      <c r="S257" s="839"/>
      <c r="T257" s="839"/>
      <c r="U257" s="839"/>
      <c r="V257" s="958"/>
      <c r="W257" s="958"/>
      <c r="X257" s="958"/>
      <c r="Y257" s="958"/>
      <c r="Z257" s="958"/>
      <c r="AA257" s="958"/>
      <c r="AB257" s="958"/>
    </row>
    <row r="258" spans="1:28">
      <c r="A258" s="839"/>
      <c r="B258" s="839"/>
      <c r="C258" s="839"/>
      <c r="D258" s="839"/>
      <c r="E258" s="839"/>
      <c r="F258" s="839"/>
      <c r="G258" s="958"/>
      <c r="H258" s="958"/>
      <c r="I258" s="958"/>
      <c r="J258" s="958"/>
      <c r="K258" s="958"/>
      <c r="L258" s="958"/>
      <c r="M258" s="958"/>
      <c r="N258" s="958"/>
      <c r="O258" s="839"/>
      <c r="P258" s="839"/>
      <c r="Q258" s="839"/>
      <c r="R258" s="839"/>
      <c r="S258" s="839"/>
      <c r="T258" s="839"/>
      <c r="U258" s="839"/>
      <c r="V258" s="958"/>
      <c r="W258" s="958"/>
      <c r="X258" s="958"/>
      <c r="Y258" s="958"/>
      <c r="Z258" s="958"/>
      <c r="AA258" s="958"/>
      <c r="AB258" s="958"/>
    </row>
    <row r="259" spans="1:28">
      <c r="A259" s="959" t="s">
        <v>315</v>
      </c>
      <c r="B259" s="990" t="s">
        <v>316</v>
      </c>
      <c r="C259" s="961"/>
      <c r="D259" s="961"/>
      <c r="E259" s="961" t="s">
        <v>339</v>
      </c>
      <c r="F259" s="961"/>
      <c r="G259" s="961"/>
      <c r="H259" s="961"/>
      <c r="I259" s="961"/>
      <c r="J259" s="961"/>
      <c r="K259" s="959" t="s">
        <v>340</v>
      </c>
      <c r="L259" s="959" t="s">
        <v>341</v>
      </c>
      <c r="M259" s="959" t="s">
        <v>342</v>
      </c>
      <c r="N259" s="839"/>
      <c r="O259" s="839"/>
      <c r="P259" s="959" t="s">
        <v>315</v>
      </c>
      <c r="Q259" s="990" t="s">
        <v>316</v>
      </c>
      <c r="R259" s="961"/>
      <c r="S259" s="961"/>
      <c r="T259" s="961" t="s">
        <v>343</v>
      </c>
      <c r="U259" s="961"/>
      <c r="V259" s="961"/>
      <c r="W259" s="961"/>
      <c r="X259" s="961"/>
      <c r="Y259" s="961"/>
      <c r="Z259" s="959" t="s">
        <v>340</v>
      </c>
      <c r="AA259" s="959" t="s">
        <v>341</v>
      </c>
      <c r="AB259" s="959" t="s">
        <v>342</v>
      </c>
    </row>
    <row r="260" spans="1:28">
      <c r="A260" s="962" t="s">
        <v>344</v>
      </c>
      <c r="B260" s="991" t="s">
        <v>320</v>
      </c>
      <c r="C260" s="964"/>
      <c r="D260" s="964"/>
      <c r="E260" s="964" t="s">
        <v>345</v>
      </c>
      <c r="F260" s="964"/>
      <c r="G260" s="964"/>
      <c r="H260" s="964"/>
      <c r="I260" s="964"/>
      <c r="J260" s="964"/>
      <c r="K260" s="982" t="s">
        <v>346</v>
      </c>
      <c r="L260" s="982" t="s">
        <v>346</v>
      </c>
      <c r="M260" s="982" t="s">
        <v>346</v>
      </c>
      <c r="N260" s="839"/>
      <c r="O260" s="839"/>
      <c r="P260" s="962" t="s">
        <v>344</v>
      </c>
      <c r="Q260" s="991" t="s">
        <v>320</v>
      </c>
      <c r="R260" s="964"/>
      <c r="S260" s="964"/>
      <c r="T260" s="964" t="s">
        <v>347</v>
      </c>
      <c r="U260" s="964"/>
      <c r="V260" s="964"/>
      <c r="W260" s="964"/>
      <c r="X260" s="964"/>
      <c r="Y260" s="964"/>
      <c r="Z260" s="982" t="s">
        <v>346</v>
      </c>
      <c r="AA260" s="982" t="s">
        <v>346</v>
      </c>
      <c r="AB260" s="982" t="s">
        <v>346</v>
      </c>
    </row>
    <row r="261" spans="1:28">
      <c r="A261" s="962" t="s">
        <v>325</v>
      </c>
      <c r="B261" s="991" t="s">
        <v>61</v>
      </c>
      <c r="C261" s="965" t="s">
        <v>326</v>
      </c>
      <c r="D261" s="965" t="s">
        <v>348</v>
      </c>
      <c r="E261" s="965"/>
      <c r="F261" s="965"/>
      <c r="G261" s="965"/>
      <c r="H261" s="965"/>
      <c r="I261" s="965"/>
      <c r="J261" s="983" t="s">
        <v>126</v>
      </c>
      <c r="K261" s="962" t="s">
        <v>349</v>
      </c>
      <c r="L261" s="962" t="s">
        <v>350</v>
      </c>
      <c r="M261" s="962" t="s">
        <v>350</v>
      </c>
      <c r="N261" s="839"/>
      <c r="O261" s="839"/>
      <c r="P261" s="962" t="s">
        <v>325</v>
      </c>
      <c r="Q261" s="991" t="s">
        <v>61</v>
      </c>
      <c r="R261" s="965" t="s">
        <v>326</v>
      </c>
      <c r="S261" s="965" t="s">
        <v>348</v>
      </c>
      <c r="T261" s="965"/>
      <c r="U261" s="965"/>
      <c r="V261" s="965"/>
      <c r="W261" s="965"/>
      <c r="X261" s="965"/>
      <c r="Y261" s="983" t="s">
        <v>126</v>
      </c>
      <c r="Z261" s="962" t="s">
        <v>349</v>
      </c>
      <c r="AA261" s="962" t="s">
        <v>350</v>
      </c>
      <c r="AB261" s="962" t="s">
        <v>350</v>
      </c>
    </row>
    <row r="262" spans="1:28">
      <c r="A262" s="966"/>
      <c r="B262" s="992"/>
      <c r="C262" s="968" t="s">
        <v>328</v>
      </c>
      <c r="D262" s="968" t="s">
        <v>352</v>
      </c>
      <c r="E262" s="968" t="s">
        <v>54</v>
      </c>
      <c r="F262" s="968" t="s">
        <v>55</v>
      </c>
      <c r="G262" s="968" t="s">
        <v>329</v>
      </c>
      <c r="H262" s="968" t="s">
        <v>353</v>
      </c>
      <c r="I262" s="968" t="s">
        <v>330</v>
      </c>
      <c r="J262" s="964" t="s">
        <v>354</v>
      </c>
      <c r="K262" s="984" t="s">
        <v>355</v>
      </c>
      <c r="L262" s="984" t="s">
        <v>356</v>
      </c>
      <c r="M262" s="984" t="s">
        <v>357</v>
      </c>
      <c r="N262" s="839"/>
      <c r="O262" s="839"/>
      <c r="P262" s="966"/>
      <c r="Q262" s="992"/>
      <c r="R262" s="968" t="s">
        <v>328</v>
      </c>
      <c r="S262" s="968" t="s">
        <v>352</v>
      </c>
      <c r="T262" s="968" t="s">
        <v>54</v>
      </c>
      <c r="U262" s="968" t="s">
        <v>55</v>
      </c>
      <c r="V262" s="968" t="s">
        <v>329</v>
      </c>
      <c r="W262" s="968" t="s">
        <v>353</v>
      </c>
      <c r="X262" s="968" t="s">
        <v>330</v>
      </c>
      <c r="Y262" s="964" t="s">
        <v>354</v>
      </c>
      <c r="Z262" s="984" t="s">
        <v>355</v>
      </c>
      <c r="AA262" s="984" t="s">
        <v>356</v>
      </c>
      <c r="AB262" s="984" t="s">
        <v>357</v>
      </c>
    </row>
    <row r="263" spans="1:28">
      <c r="A263" s="969" t="s">
        <v>54</v>
      </c>
      <c r="B263" s="970">
        <v>124435</v>
      </c>
      <c r="C263" s="971">
        <v>51752</v>
      </c>
      <c r="D263" s="971">
        <v>49092</v>
      </c>
      <c r="E263" s="1325" t="s">
        <v>245</v>
      </c>
      <c r="F263" s="971">
        <v>16510</v>
      </c>
      <c r="G263" s="971">
        <v>9900</v>
      </c>
      <c r="H263" s="971">
        <v>43307</v>
      </c>
      <c r="I263" s="971">
        <v>30175</v>
      </c>
      <c r="J263" s="985">
        <v>21783</v>
      </c>
      <c r="K263" s="986">
        <v>15202</v>
      </c>
      <c r="L263" s="986">
        <v>7067</v>
      </c>
      <c r="M263" s="986">
        <v>6642</v>
      </c>
      <c r="N263" s="839"/>
      <c r="O263" s="839"/>
      <c r="P263" s="969" t="s">
        <v>54</v>
      </c>
      <c r="Q263" s="993">
        <v>0.37122601234550601</v>
      </c>
      <c r="R263" s="994">
        <v>0.70223373009738799</v>
      </c>
      <c r="S263" s="994">
        <v>0.71588038784323305</v>
      </c>
      <c r="T263" s="1325" t="s">
        <v>245</v>
      </c>
      <c r="U263" s="994">
        <v>0.85542095699576004</v>
      </c>
      <c r="V263" s="994">
        <v>0.88757575757575802</v>
      </c>
      <c r="W263" s="994">
        <v>0.73359964901747998</v>
      </c>
      <c r="X263" s="994">
        <v>0.76321458160729105</v>
      </c>
      <c r="Y263" s="1001">
        <v>0.80392966992608905</v>
      </c>
      <c r="Z263" s="996">
        <v>0.86613603473227196</v>
      </c>
      <c r="AA263" s="996">
        <v>0.91424932786189295</v>
      </c>
      <c r="AB263" s="996">
        <v>0.91674194519722996</v>
      </c>
    </row>
    <row r="264" spans="1:28">
      <c r="A264" s="972"/>
      <c r="B264" s="973"/>
      <c r="C264" s="974">
        <v>0.41589584923855799</v>
      </c>
      <c r="D264" s="974">
        <v>0.39451922690561297</v>
      </c>
      <c r="E264" s="974"/>
      <c r="F264" s="974">
        <v>0.13267971229959399</v>
      </c>
      <c r="G264" s="974">
        <v>7.9559609434644601E-2</v>
      </c>
      <c r="H264" s="974">
        <v>0.34802909149355099</v>
      </c>
      <c r="I264" s="974">
        <v>0.24249608229196001</v>
      </c>
      <c r="J264" s="987">
        <v>0.17505524972877401</v>
      </c>
      <c r="K264" s="987">
        <v>0.12216820026519901</v>
      </c>
      <c r="L264" s="987">
        <v>5.6792703017639702E-2</v>
      </c>
      <c r="M264" s="987">
        <v>5.3377265238879701E-2</v>
      </c>
      <c r="N264" s="839"/>
      <c r="O264" s="839"/>
      <c r="P264" s="972"/>
      <c r="Q264" s="995"/>
      <c r="R264" s="974"/>
      <c r="S264" s="974"/>
      <c r="T264" s="974"/>
      <c r="U264" s="974"/>
      <c r="V264" s="974"/>
      <c r="W264" s="974"/>
      <c r="X264" s="974"/>
      <c r="Y264" s="1002"/>
      <c r="Z264" s="1003"/>
      <c r="AA264" s="1003"/>
      <c r="AB264" s="1003"/>
    </row>
    <row r="265" spans="1:28">
      <c r="A265" s="969" t="s">
        <v>55</v>
      </c>
      <c r="B265" s="975">
        <v>271683</v>
      </c>
      <c r="C265" s="971">
        <v>78342</v>
      </c>
      <c r="D265" s="971">
        <v>76273</v>
      </c>
      <c r="E265" s="971">
        <v>30411</v>
      </c>
      <c r="F265" s="1325" t="s">
        <v>245</v>
      </c>
      <c r="G265" s="971">
        <v>18505</v>
      </c>
      <c r="H265" s="971">
        <v>63640</v>
      </c>
      <c r="I265" s="971">
        <v>48706</v>
      </c>
      <c r="J265" s="985">
        <v>19680</v>
      </c>
      <c r="K265" s="986">
        <v>27794</v>
      </c>
      <c r="L265" s="986">
        <v>9179</v>
      </c>
      <c r="M265" s="986">
        <v>8755</v>
      </c>
      <c r="N265" s="839"/>
      <c r="O265" s="839"/>
      <c r="P265" s="969" t="s">
        <v>55</v>
      </c>
      <c r="Q265" s="996">
        <v>0.165598361197383</v>
      </c>
      <c r="R265" s="994">
        <v>0.474062444155115</v>
      </c>
      <c r="S265" s="994">
        <v>0.46332253877518897</v>
      </c>
      <c r="T265" s="994">
        <v>0.68836934004143202</v>
      </c>
      <c r="U265" s="1325" t="s">
        <v>245</v>
      </c>
      <c r="V265" s="994">
        <v>0.64566333423399103</v>
      </c>
      <c r="W265" s="994">
        <v>0.474984286612194</v>
      </c>
      <c r="X265" s="994">
        <v>0.54845398924157196</v>
      </c>
      <c r="Y265" s="1001">
        <v>0.68038617886178898</v>
      </c>
      <c r="Z265" s="996">
        <v>0.70414477944880205</v>
      </c>
      <c r="AA265" s="996">
        <v>0.81730035951628699</v>
      </c>
      <c r="AB265" s="996">
        <v>0.82352941176470595</v>
      </c>
    </row>
    <row r="266" spans="1:28">
      <c r="A266" s="972"/>
      <c r="B266" s="973"/>
      <c r="C266" s="974">
        <v>0.288358123253939</v>
      </c>
      <c r="D266" s="974">
        <v>0.28074263019769402</v>
      </c>
      <c r="E266" s="974">
        <v>0.111935601417829</v>
      </c>
      <c r="F266" s="974"/>
      <c r="G266" s="974">
        <v>6.8112469311660997E-2</v>
      </c>
      <c r="H266" s="974">
        <v>0.23424358535499101</v>
      </c>
      <c r="I266" s="974">
        <v>0.17927511106694199</v>
      </c>
      <c r="J266" s="987">
        <v>7.2437362661631394E-2</v>
      </c>
      <c r="K266" s="987">
        <v>0.102303051718363</v>
      </c>
      <c r="L266" s="987">
        <v>3.3785698773938701E-2</v>
      </c>
      <c r="M266" s="987">
        <v>3.2225056407651602E-2</v>
      </c>
      <c r="N266" s="839"/>
      <c r="O266" s="839"/>
      <c r="P266" s="972"/>
      <c r="Q266" s="995"/>
      <c r="R266" s="974"/>
      <c r="S266" s="974"/>
      <c r="T266" s="974"/>
      <c r="U266" s="974"/>
      <c r="V266" s="974"/>
      <c r="W266" s="974"/>
      <c r="X266" s="974"/>
      <c r="Y266" s="1002"/>
      <c r="Z266" s="1003"/>
      <c r="AA266" s="1003"/>
      <c r="AB266" s="1003"/>
    </row>
    <row r="267" spans="1:28">
      <c r="A267" s="969" t="s">
        <v>329</v>
      </c>
      <c r="B267" s="975">
        <v>137671</v>
      </c>
      <c r="C267" s="971">
        <v>22108</v>
      </c>
      <c r="D267" s="971">
        <v>21842</v>
      </c>
      <c r="E267" s="971">
        <v>7200</v>
      </c>
      <c r="F267" s="971">
        <v>5717</v>
      </c>
      <c r="G267" s="1325" t="s">
        <v>245</v>
      </c>
      <c r="H267" s="971">
        <v>19828</v>
      </c>
      <c r="I267" s="971">
        <v>9885</v>
      </c>
      <c r="J267" s="985">
        <v>3051</v>
      </c>
      <c r="K267" s="986">
        <v>3464</v>
      </c>
      <c r="L267" s="986">
        <v>3464</v>
      </c>
      <c r="M267" s="986">
        <v>3187</v>
      </c>
      <c r="N267" s="839"/>
      <c r="O267" s="839"/>
      <c r="P267" s="969" t="s">
        <v>329</v>
      </c>
      <c r="Q267" s="996">
        <v>9.6245625198854601E-2</v>
      </c>
      <c r="R267" s="994">
        <v>0.332458838429528</v>
      </c>
      <c r="S267" s="994">
        <v>0.32725940847907697</v>
      </c>
      <c r="T267" s="994">
        <v>0.49944444444444402</v>
      </c>
      <c r="U267" s="994">
        <v>0.53664509358054902</v>
      </c>
      <c r="V267" s="1325" t="s">
        <v>245</v>
      </c>
      <c r="W267" s="994">
        <v>0.32000201734920303</v>
      </c>
      <c r="X267" s="994">
        <v>0.45341426403641899</v>
      </c>
      <c r="Y267" s="1001">
        <v>0.58603736479842705</v>
      </c>
      <c r="Z267" s="996">
        <v>0.62413394919168597</v>
      </c>
      <c r="AA267" s="996">
        <v>0.62413394919168597</v>
      </c>
      <c r="AB267" s="996">
        <v>0.62849074364606194</v>
      </c>
    </row>
    <row r="268" spans="1:28">
      <c r="A268" s="972"/>
      <c r="B268" s="973"/>
      <c r="C268" s="974">
        <v>0.16058574427439301</v>
      </c>
      <c r="D268" s="974">
        <v>0.15865360170261</v>
      </c>
      <c r="E268" s="974">
        <v>5.2298595927973202E-2</v>
      </c>
      <c r="F268" s="974">
        <v>4.1526537905586497E-2</v>
      </c>
      <c r="G268" s="974"/>
      <c r="H268" s="974">
        <v>0.144024522230535</v>
      </c>
      <c r="I268" s="974">
        <v>7.18016139927799E-2</v>
      </c>
      <c r="J268" s="987">
        <v>2.2161530024478598E-2</v>
      </c>
      <c r="K268" s="987">
        <v>2.5161435596458202E-2</v>
      </c>
      <c r="L268" s="987">
        <v>2.5161435596458202E-2</v>
      </c>
      <c r="M268" s="987">
        <v>2.3149392392007001E-2</v>
      </c>
      <c r="N268" s="839"/>
      <c r="O268" s="839"/>
      <c r="P268" s="972"/>
      <c r="Q268" s="995"/>
      <c r="R268" s="974"/>
      <c r="S268" s="974"/>
      <c r="T268" s="974"/>
      <c r="U268" s="974"/>
      <c r="V268" s="997"/>
      <c r="W268" s="974"/>
      <c r="X268" s="974"/>
      <c r="Y268" s="1002"/>
      <c r="Z268" s="1003"/>
      <c r="AA268" s="1003"/>
      <c r="AB268" s="1003"/>
    </row>
    <row r="269" spans="1:28">
      <c r="A269" s="969" t="s">
        <v>360</v>
      </c>
      <c r="B269" s="975">
        <v>231630</v>
      </c>
      <c r="C269" s="971">
        <v>89050</v>
      </c>
      <c r="D269" s="971">
        <v>77162</v>
      </c>
      <c r="E269" s="971">
        <v>64979</v>
      </c>
      <c r="F269" s="971">
        <v>31882</v>
      </c>
      <c r="G269" s="971">
        <v>21593</v>
      </c>
      <c r="H269" s="1324" t="s">
        <v>245</v>
      </c>
      <c r="I269" s="971">
        <v>48836</v>
      </c>
      <c r="J269" s="985">
        <v>51273</v>
      </c>
      <c r="K269" s="986">
        <v>28284</v>
      </c>
      <c r="L269" s="986">
        <v>14846</v>
      </c>
      <c r="M269" s="986">
        <v>14048</v>
      </c>
      <c r="N269" s="839"/>
      <c r="O269" s="839"/>
      <c r="P269" s="969" t="s">
        <v>360</v>
      </c>
      <c r="Q269" s="996">
        <v>0.23967651130058501</v>
      </c>
      <c r="R269" s="994">
        <v>0.70058394160583903</v>
      </c>
      <c r="S269" s="994">
        <v>0.73875741945517204</v>
      </c>
      <c r="T269" s="994">
        <v>0.78679265608889004</v>
      </c>
      <c r="U269" s="994">
        <v>0.84185433787089903</v>
      </c>
      <c r="V269" s="994">
        <v>0.88834344463483506</v>
      </c>
      <c r="W269" s="1324" t="s">
        <v>245</v>
      </c>
      <c r="X269" s="994">
        <v>0.74524940617577196</v>
      </c>
      <c r="Y269" s="1001">
        <v>0.738497844869619</v>
      </c>
      <c r="Z269" s="996">
        <v>0.87742186395135102</v>
      </c>
      <c r="AA269" s="996">
        <v>0.936750639903004</v>
      </c>
      <c r="AB269" s="996">
        <v>0.93942198177676495</v>
      </c>
    </row>
    <row r="270" spans="1:28">
      <c r="A270" s="972"/>
      <c r="B270" s="973"/>
      <c r="C270" s="974">
        <v>0.38444933730518499</v>
      </c>
      <c r="D270" s="974">
        <v>0.333126106290204</v>
      </c>
      <c r="E270" s="974">
        <v>0.280529292405992</v>
      </c>
      <c r="F270" s="974">
        <v>0.137641928938393</v>
      </c>
      <c r="G270" s="974">
        <v>9.3221948797651402E-2</v>
      </c>
      <c r="H270" s="974"/>
      <c r="I270" s="974">
        <v>0.210836247463627</v>
      </c>
      <c r="J270" s="987">
        <v>0.221357337132496</v>
      </c>
      <c r="K270" s="987">
        <v>0.122108535163839</v>
      </c>
      <c r="L270" s="987">
        <v>6.4093597547813297E-2</v>
      </c>
      <c r="M270" s="987">
        <v>6.06484479557916E-2</v>
      </c>
      <c r="N270" s="839"/>
      <c r="O270" s="839"/>
      <c r="P270" s="972"/>
      <c r="Q270" s="999"/>
      <c r="R270" s="974"/>
      <c r="S270" s="974"/>
      <c r="T270" s="974"/>
      <c r="U270" s="974"/>
      <c r="V270" s="974"/>
      <c r="W270" s="1082"/>
      <c r="X270" s="974"/>
      <c r="Y270" s="1002"/>
      <c r="Z270" s="1003"/>
      <c r="AA270" s="1003"/>
      <c r="AB270" s="1003"/>
    </row>
    <row r="271" spans="1:28">
      <c r="A271" s="969" t="s">
        <v>330</v>
      </c>
      <c r="B271" s="975">
        <v>413540</v>
      </c>
      <c r="C271" s="971">
        <v>15596</v>
      </c>
      <c r="D271" s="971">
        <v>14621</v>
      </c>
      <c r="E271" s="971">
        <v>5956</v>
      </c>
      <c r="F271" s="971">
        <v>2841</v>
      </c>
      <c r="G271" s="971">
        <v>1574</v>
      </c>
      <c r="H271" s="971">
        <v>13323</v>
      </c>
      <c r="I271" s="1324" t="s">
        <v>245</v>
      </c>
      <c r="J271" s="985">
        <v>5619</v>
      </c>
      <c r="K271" s="986">
        <v>1907</v>
      </c>
      <c r="L271" s="986">
        <v>971</v>
      </c>
      <c r="M271" s="986">
        <v>971</v>
      </c>
      <c r="N271" s="839"/>
      <c r="O271" s="839"/>
      <c r="P271" s="969" t="s">
        <v>330</v>
      </c>
      <c r="Q271" s="996">
        <v>5.2825929740746402E-2</v>
      </c>
      <c r="R271" s="994">
        <v>0.57386509361374705</v>
      </c>
      <c r="S271" s="994">
        <v>0.59065727378428301</v>
      </c>
      <c r="T271" s="994">
        <v>0.87743451981195397</v>
      </c>
      <c r="U271" s="994">
        <v>0.73495248152059101</v>
      </c>
      <c r="V271" s="994">
        <v>0.85959339263024104</v>
      </c>
      <c r="W271" s="994">
        <v>0.57547099001726298</v>
      </c>
      <c r="X271" s="1324" t="s">
        <v>245</v>
      </c>
      <c r="Y271" s="1001">
        <v>0.37337604555970799</v>
      </c>
      <c r="Z271" s="996">
        <v>0.88620870477189295</v>
      </c>
      <c r="AA271" s="996">
        <v>0.89289392378990695</v>
      </c>
      <c r="AB271" s="996">
        <v>0.89289392378990695</v>
      </c>
    </row>
    <row r="272" spans="1:28">
      <c r="A272" s="978"/>
      <c r="B272" s="979"/>
      <c r="C272" s="980">
        <v>3.7713401363834199E-2</v>
      </c>
      <c r="D272" s="981">
        <v>3.5355709242153102E-2</v>
      </c>
      <c r="E272" s="981">
        <v>1.4402476181264201E-2</v>
      </c>
      <c r="F272" s="981">
        <v>6.8699521207138403E-3</v>
      </c>
      <c r="G272" s="981">
        <v>3.80616143541133E-3</v>
      </c>
      <c r="H272" s="981">
        <v>3.2216956038109999E-2</v>
      </c>
      <c r="I272" s="981"/>
      <c r="J272" s="1004">
        <v>1.3587561058180601E-2</v>
      </c>
      <c r="K272" s="988">
        <v>4.61140397543164E-3</v>
      </c>
      <c r="L272" s="988">
        <v>2.3480195386177899E-3</v>
      </c>
      <c r="M272" s="988">
        <v>2.3480195386177899E-3</v>
      </c>
      <c r="N272" s="839"/>
      <c r="O272" s="839"/>
      <c r="P272" s="978"/>
      <c r="Q272" s="1000"/>
      <c r="R272" s="981"/>
      <c r="S272" s="981"/>
      <c r="T272" s="981"/>
      <c r="U272" s="981"/>
      <c r="V272" s="981"/>
      <c r="W272" s="981"/>
      <c r="X272" s="981"/>
      <c r="Y272" s="1004"/>
      <c r="Z272" s="988"/>
      <c r="AA272" s="988"/>
      <c r="AB272" s="988"/>
    </row>
    <row r="273" spans="1:28">
      <c r="A273" s="1005" t="s">
        <v>361</v>
      </c>
      <c r="B273" s="1006">
        <v>1178959</v>
      </c>
      <c r="C273" s="1007">
        <v>256848</v>
      </c>
      <c r="D273" s="1007">
        <v>238990</v>
      </c>
      <c r="E273" s="1007">
        <v>108546</v>
      </c>
      <c r="F273" s="1007">
        <v>56950</v>
      </c>
      <c r="G273" s="1007">
        <v>51572</v>
      </c>
      <c r="H273" s="1007">
        <v>140098</v>
      </c>
      <c r="I273" s="1007">
        <v>137602</v>
      </c>
      <c r="J273" s="1019">
        <v>101406</v>
      </c>
      <c r="K273" s="1020">
        <v>76651</v>
      </c>
      <c r="L273" s="1020">
        <v>35527</v>
      </c>
      <c r="M273" s="1020">
        <v>33603</v>
      </c>
      <c r="N273" s="839"/>
      <c r="O273" s="839"/>
      <c r="P273" s="1005" t="s">
        <v>361</v>
      </c>
      <c r="Q273" s="1033">
        <v>0.16952595811888299</v>
      </c>
      <c r="R273" s="1034">
        <v>0.59244377997882003</v>
      </c>
      <c r="S273" s="1034">
        <v>0.59948533411439797</v>
      </c>
      <c r="T273" s="1034">
        <v>0.74513109649365294</v>
      </c>
      <c r="U273" s="1034">
        <v>0.80981562774363502</v>
      </c>
      <c r="V273" s="1034">
        <v>0.80024044054913501</v>
      </c>
      <c r="W273" s="1034">
        <v>0.54254878727747702</v>
      </c>
      <c r="X273" s="1034">
        <v>0.65856600921498198</v>
      </c>
      <c r="Y273" s="1061">
        <v>0.71645661992387</v>
      </c>
      <c r="Z273" s="1033">
        <v>0.80112457763108103</v>
      </c>
      <c r="AA273" s="1033">
        <v>0.86973287921862197</v>
      </c>
      <c r="AB273" s="1033">
        <v>0.87391006755349199</v>
      </c>
    </row>
    <row r="274" spans="1:28">
      <c r="A274" s="1008" t="s">
        <v>362</v>
      </c>
      <c r="B274" s="1009"/>
      <c r="C274" s="1036">
        <v>0.21785999343488599</v>
      </c>
      <c r="D274" s="1036">
        <v>0.20271273216456201</v>
      </c>
      <c r="E274" s="1036">
        <v>9.2069359494265701E-2</v>
      </c>
      <c r="F274" s="1036">
        <v>4.8305326987622098E-2</v>
      </c>
      <c r="G274" s="1036">
        <v>4.3743675564629499E-2</v>
      </c>
      <c r="H274" s="1036">
        <v>0.118831952595468</v>
      </c>
      <c r="I274" s="1036">
        <v>0.11671483062600101</v>
      </c>
      <c r="J274" s="1062">
        <v>8.6013169245071297E-2</v>
      </c>
      <c r="K274" s="1063">
        <v>6.5015831763445595E-2</v>
      </c>
      <c r="L274" s="1063">
        <v>3.0134211622287101E-2</v>
      </c>
      <c r="M274" s="1063">
        <v>2.85022634374902E-2</v>
      </c>
      <c r="N274" s="839"/>
      <c r="O274" s="839"/>
      <c r="P274" s="1008" t="s">
        <v>362</v>
      </c>
      <c r="Q274" s="1035"/>
      <c r="R274" s="1036"/>
      <c r="S274" s="1036"/>
      <c r="T274" s="1036"/>
      <c r="U274" s="1036"/>
      <c r="V274" s="1036"/>
      <c r="W274" s="1036"/>
      <c r="X274" s="1036"/>
      <c r="Y274" s="1062"/>
      <c r="Z274" s="1063"/>
      <c r="AA274" s="1063"/>
      <c r="AB274" s="1063"/>
    </row>
    <row r="275" spans="1:28">
      <c r="A275" s="969" t="s">
        <v>59</v>
      </c>
      <c r="B275" s="975">
        <v>71808</v>
      </c>
      <c r="C275" s="971">
        <v>19068</v>
      </c>
      <c r="D275" s="971">
        <v>19068</v>
      </c>
      <c r="E275" s="971">
        <v>4893</v>
      </c>
      <c r="F275" s="971">
        <v>2385</v>
      </c>
      <c r="G275" s="971">
        <v>1266</v>
      </c>
      <c r="H275" s="971">
        <v>16352</v>
      </c>
      <c r="I275" s="971">
        <v>6455</v>
      </c>
      <c r="J275" s="1326" t="s">
        <v>245</v>
      </c>
      <c r="K275" s="1024">
        <v>1519</v>
      </c>
      <c r="L275" s="1024">
        <v>754</v>
      </c>
      <c r="M275" s="1024">
        <v>643</v>
      </c>
      <c r="N275" s="839"/>
      <c r="O275" s="839"/>
      <c r="P275" s="969" t="s">
        <v>59</v>
      </c>
      <c r="Q275" s="996">
        <v>9.9564926372155305E-2</v>
      </c>
      <c r="R275" s="994">
        <v>0.239773442416614</v>
      </c>
      <c r="S275" s="994">
        <v>0.239773442416614</v>
      </c>
      <c r="T275" s="994">
        <v>0.66768853464132405</v>
      </c>
      <c r="U275" s="994">
        <v>0.48469601677148799</v>
      </c>
      <c r="V275" s="994">
        <v>0.63823064770932103</v>
      </c>
      <c r="W275" s="994">
        <v>0.24064334637964799</v>
      </c>
      <c r="X275" s="994">
        <v>0.30751355538342401</v>
      </c>
      <c r="Y275" s="1324" t="s">
        <v>245</v>
      </c>
      <c r="Z275" s="996">
        <v>0.66622778143515504</v>
      </c>
      <c r="AA275" s="996">
        <v>0.77055702917771896</v>
      </c>
      <c r="AB275" s="996">
        <v>0.82426127527216198</v>
      </c>
    </row>
    <row r="276" spans="1:28">
      <c r="A276" s="1011"/>
      <c r="B276" s="967"/>
      <c r="C276" s="1012">
        <v>0.26554144385026701</v>
      </c>
      <c r="D276" s="1012">
        <v>0.26554144385026701</v>
      </c>
      <c r="E276" s="1012">
        <v>6.8140040106951905E-2</v>
      </c>
      <c r="F276" s="1012">
        <v>3.3213569518716603E-2</v>
      </c>
      <c r="G276" s="1012">
        <v>1.7630347593582899E-2</v>
      </c>
      <c r="H276" s="1012">
        <v>0.227718360071301</v>
      </c>
      <c r="I276" s="1012">
        <v>8.9892491087343998E-2</v>
      </c>
      <c r="J276" s="1025"/>
      <c r="K276" s="1026">
        <v>2.1153631907308401E-2</v>
      </c>
      <c r="L276" s="1026">
        <v>1.0500222816399301E-2</v>
      </c>
      <c r="M276" s="1026">
        <v>8.9544340463458098E-3</v>
      </c>
      <c r="N276" s="839"/>
      <c r="O276" s="839"/>
      <c r="P276" s="1011"/>
      <c r="Q276" s="992"/>
      <c r="R276" s="1012"/>
      <c r="S276" s="1012"/>
      <c r="T276" s="1012"/>
      <c r="U276" s="1012"/>
      <c r="V276" s="1012"/>
      <c r="W276" s="1012"/>
      <c r="X276" s="1012"/>
      <c r="Y276" s="1025"/>
      <c r="Z276" s="1026"/>
      <c r="AA276" s="1026"/>
      <c r="AB276" s="1026"/>
    </row>
    <row r="277" spans="1:28">
      <c r="A277" s="1005" t="s">
        <v>333</v>
      </c>
      <c r="B277" s="1013">
        <v>1250767</v>
      </c>
      <c r="C277" s="1014">
        <v>275916</v>
      </c>
      <c r="D277" s="1015">
        <v>258058</v>
      </c>
      <c r="E277" s="1015">
        <v>113439</v>
      </c>
      <c r="F277" s="1015">
        <v>59335</v>
      </c>
      <c r="G277" s="1015">
        <v>52838</v>
      </c>
      <c r="H277" s="1015">
        <v>156450</v>
      </c>
      <c r="I277" s="1015">
        <v>144057</v>
      </c>
      <c r="J277" s="1027">
        <v>101406</v>
      </c>
      <c r="K277" s="1028">
        <v>78170</v>
      </c>
      <c r="L277" s="1028">
        <v>36281</v>
      </c>
      <c r="M277" s="1028">
        <v>34246</v>
      </c>
      <c r="N277" s="839"/>
      <c r="O277" s="839"/>
      <c r="P277" s="1005" t="s">
        <v>333</v>
      </c>
      <c r="Q277" s="1037">
        <v>0.165186128191079</v>
      </c>
      <c r="R277" s="1038">
        <v>0.56807144203308302</v>
      </c>
      <c r="S277" s="1039">
        <v>0.57290609087879496</v>
      </c>
      <c r="T277" s="1039">
        <v>0.74179074216098495</v>
      </c>
      <c r="U277" s="1039">
        <v>0.79674728237970804</v>
      </c>
      <c r="V277" s="1039">
        <v>0.79635868125212905</v>
      </c>
      <c r="W277" s="1039">
        <v>0.51099392777245101</v>
      </c>
      <c r="X277" s="1039">
        <v>0.64283582193159605</v>
      </c>
      <c r="Y277" s="1064">
        <v>0.71645661992387</v>
      </c>
      <c r="Z277" s="1065">
        <v>0.79850326212101796</v>
      </c>
      <c r="AA277" s="1065">
        <v>0.86767178412943402</v>
      </c>
      <c r="AB277" s="1065">
        <v>0.87297786602814897</v>
      </c>
    </row>
    <row r="278" spans="1:28">
      <c r="A278" s="1016"/>
      <c r="B278" s="1080"/>
      <c r="C278" s="1018">
        <v>0.220597441409951</v>
      </c>
      <c r="D278" s="1018">
        <v>0.206319802169389</v>
      </c>
      <c r="E278" s="1018">
        <v>9.0695549211004103E-2</v>
      </c>
      <c r="F278" s="1018">
        <v>4.7438891496177901E-2</v>
      </c>
      <c r="G278" s="1018">
        <v>4.2244478787815801E-2</v>
      </c>
      <c r="H278" s="1018">
        <v>0.12508324891846401</v>
      </c>
      <c r="I278" s="1018">
        <v>0.11517492866377201</v>
      </c>
      <c r="J278" s="1029">
        <v>8.1075052347879303E-2</v>
      </c>
      <c r="K278" s="1030">
        <v>6.2497651441075802E-2</v>
      </c>
      <c r="L278" s="1030">
        <v>2.9007001303999899E-2</v>
      </c>
      <c r="M278" s="1030">
        <v>2.7379999632225701E-2</v>
      </c>
      <c r="N278" s="839"/>
      <c r="O278" s="839"/>
      <c r="P278" s="1016"/>
      <c r="Q278" s="1017"/>
      <c r="R278" s="1018"/>
      <c r="S278" s="1018"/>
      <c r="T278" s="1018"/>
      <c r="U278" s="1018"/>
      <c r="V278" s="1018"/>
      <c r="W278" s="1018"/>
      <c r="X278" s="1018"/>
      <c r="Y278" s="1029"/>
      <c r="Z278" s="1030"/>
      <c r="AA278" s="1030"/>
      <c r="AB278" s="1030"/>
    </row>
    <row r="279" spans="1:28">
      <c r="A279" s="839"/>
      <c r="B279" s="842"/>
      <c r="C279" s="839"/>
      <c r="D279" s="839"/>
      <c r="E279" s="839"/>
      <c r="F279" s="839"/>
      <c r="G279" s="839"/>
      <c r="N279" s="1081"/>
      <c r="O279" s="839"/>
      <c r="P279" s="839"/>
      <c r="Q279" s="839"/>
      <c r="R279" s="839"/>
      <c r="S279" s="839"/>
      <c r="T279" s="839"/>
      <c r="U279" s="839"/>
    </row>
    <row r="280" spans="1:28">
      <c r="A280" s="839"/>
      <c r="B280" s="842"/>
      <c r="C280" s="839"/>
      <c r="D280" s="839"/>
      <c r="E280" s="839"/>
      <c r="F280" s="839"/>
      <c r="O280" s="839"/>
      <c r="P280" s="839" t="s">
        <v>302</v>
      </c>
      <c r="Q280" s="839" t="s">
        <v>363</v>
      </c>
      <c r="R280" s="839"/>
      <c r="S280" s="839"/>
      <c r="T280" s="839"/>
      <c r="U280" s="839"/>
    </row>
    <row r="281" spans="1:28">
      <c r="A281" s="955" t="s">
        <v>338</v>
      </c>
      <c r="B281" s="956"/>
      <c r="C281" s="955">
        <v>2010</v>
      </c>
      <c r="D281" s="839"/>
      <c r="E281" s="839"/>
      <c r="F281" s="839"/>
      <c r="G281" s="839"/>
      <c r="H281" s="839"/>
      <c r="I281" s="839"/>
      <c r="J281" s="839"/>
      <c r="K281" s="839"/>
      <c r="L281" s="839"/>
      <c r="M281" s="839"/>
      <c r="N281" s="839"/>
      <c r="O281" s="839"/>
      <c r="P281" s="955" t="s">
        <v>338</v>
      </c>
      <c r="Q281" s="955"/>
      <c r="R281" s="955">
        <v>2010</v>
      </c>
      <c r="S281" s="839"/>
      <c r="T281" s="839"/>
      <c r="U281" s="839"/>
      <c r="V281" s="958"/>
      <c r="W281" s="958"/>
      <c r="X281" s="958"/>
      <c r="Y281" s="958"/>
      <c r="Z281" s="958"/>
      <c r="AA281" s="958"/>
      <c r="AB281" s="958"/>
    </row>
    <row r="282" spans="1:28">
      <c r="A282" s="839"/>
      <c r="B282" s="842"/>
      <c r="C282" s="839"/>
      <c r="D282" s="839"/>
      <c r="E282" s="839"/>
      <c r="F282" s="839"/>
      <c r="G282" s="958"/>
      <c r="H282" s="958"/>
      <c r="I282" s="958"/>
      <c r="J282" s="958"/>
      <c r="K282" s="958"/>
      <c r="L282" s="958"/>
      <c r="M282" s="958"/>
      <c r="N282" s="958"/>
      <c r="O282" s="839"/>
      <c r="P282" s="839"/>
      <c r="Q282" s="839"/>
      <c r="R282" s="839"/>
      <c r="S282" s="839"/>
      <c r="T282" s="839"/>
      <c r="U282" s="839"/>
      <c r="V282" s="958"/>
      <c r="W282" s="958"/>
      <c r="X282" s="958"/>
      <c r="Y282" s="958"/>
      <c r="Z282" s="958"/>
      <c r="AA282" s="958"/>
      <c r="AB282" s="958"/>
    </row>
    <row r="283" spans="1:28">
      <c r="A283" s="959" t="s">
        <v>315</v>
      </c>
      <c r="B283" s="960" t="s">
        <v>316</v>
      </c>
      <c r="C283" s="961"/>
      <c r="D283" s="961"/>
      <c r="E283" s="961" t="s">
        <v>339</v>
      </c>
      <c r="F283" s="961"/>
      <c r="G283" s="961"/>
      <c r="H283" s="961"/>
      <c r="I283" s="961"/>
      <c r="J283" s="961"/>
      <c r="K283" s="959" t="s">
        <v>340</v>
      </c>
      <c r="L283" s="959" t="s">
        <v>341</v>
      </c>
      <c r="M283" s="959" t="s">
        <v>342</v>
      </c>
      <c r="N283" s="1086"/>
      <c r="O283" s="839"/>
      <c r="P283" s="959" t="s">
        <v>315</v>
      </c>
      <c r="Q283" s="990" t="s">
        <v>316</v>
      </c>
      <c r="R283" s="961"/>
      <c r="S283" s="961"/>
      <c r="T283" s="961" t="s">
        <v>343</v>
      </c>
      <c r="U283" s="961"/>
      <c r="V283" s="961"/>
      <c r="W283" s="961"/>
      <c r="X283" s="961"/>
      <c r="Y283" s="961"/>
      <c r="Z283" s="959" t="s">
        <v>340</v>
      </c>
      <c r="AA283" s="959" t="s">
        <v>341</v>
      </c>
      <c r="AB283" s="959" t="s">
        <v>342</v>
      </c>
    </row>
    <row r="284" spans="1:28">
      <c r="A284" s="962" t="s">
        <v>344</v>
      </c>
      <c r="B284" s="963" t="s">
        <v>320</v>
      </c>
      <c r="C284" s="964"/>
      <c r="D284" s="964"/>
      <c r="E284" s="964" t="s">
        <v>345</v>
      </c>
      <c r="F284" s="964"/>
      <c r="G284" s="964"/>
      <c r="H284" s="964"/>
      <c r="I284" s="964"/>
      <c r="J284" s="964"/>
      <c r="K284" s="982" t="s">
        <v>346</v>
      </c>
      <c r="L284" s="982" t="s">
        <v>346</v>
      </c>
      <c r="M284" s="982" t="s">
        <v>346</v>
      </c>
      <c r="N284" s="1086"/>
      <c r="O284" s="839"/>
      <c r="P284" s="962" t="s">
        <v>344</v>
      </c>
      <c r="Q284" s="991" t="s">
        <v>320</v>
      </c>
      <c r="R284" s="964"/>
      <c r="S284" s="964"/>
      <c r="T284" s="964" t="s">
        <v>347</v>
      </c>
      <c r="U284" s="964"/>
      <c r="V284" s="964"/>
      <c r="W284" s="964"/>
      <c r="X284" s="964"/>
      <c r="Y284" s="964"/>
      <c r="Z284" s="982" t="s">
        <v>346</v>
      </c>
      <c r="AA284" s="982" t="s">
        <v>346</v>
      </c>
      <c r="AB284" s="982" t="s">
        <v>346</v>
      </c>
    </row>
    <row r="285" spans="1:28">
      <c r="A285" s="962" t="s">
        <v>325</v>
      </c>
      <c r="B285" s="963" t="s">
        <v>61</v>
      </c>
      <c r="C285" s="965" t="s">
        <v>326</v>
      </c>
      <c r="D285" s="965" t="s">
        <v>348</v>
      </c>
      <c r="E285" s="965"/>
      <c r="F285" s="965"/>
      <c r="G285" s="965"/>
      <c r="H285" s="965"/>
      <c r="I285" s="965"/>
      <c r="J285" s="983" t="s">
        <v>126</v>
      </c>
      <c r="K285" s="962" t="s">
        <v>349</v>
      </c>
      <c r="L285" s="962" t="s">
        <v>350</v>
      </c>
      <c r="M285" s="962" t="s">
        <v>350</v>
      </c>
      <c r="N285" s="1087"/>
      <c r="O285" s="839"/>
      <c r="P285" s="962" t="s">
        <v>325</v>
      </c>
      <c r="Q285" s="991" t="s">
        <v>61</v>
      </c>
      <c r="R285" s="965" t="s">
        <v>326</v>
      </c>
      <c r="S285" s="965" t="s">
        <v>348</v>
      </c>
      <c r="T285" s="965"/>
      <c r="U285" s="965"/>
      <c r="V285" s="965"/>
      <c r="W285" s="965"/>
      <c r="X285" s="965"/>
      <c r="Y285" s="983" t="s">
        <v>126</v>
      </c>
      <c r="Z285" s="962" t="s">
        <v>349</v>
      </c>
      <c r="AA285" s="962" t="s">
        <v>350</v>
      </c>
      <c r="AB285" s="962" t="s">
        <v>350</v>
      </c>
    </row>
    <row r="286" spans="1:28">
      <c r="A286" s="966"/>
      <c r="B286" s="967"/>
      <c r="C286" s="968" t="s">
        <v>328</v>
      </c>
      <c r="D286" s="968" t="s">
        <v>352</v>
      </c>
      <c r="E286" s="968" t="s">
        <v>54</v>
      </c>
      <c r="F286" s="968" t="s">
        <v>55</v>
      </c>
      <c r="G286" s="968" t="s">
        <v>329</v>
      </c>
      <c r="H286" s="968" t="s">
        <v>353</v>
      </c>
      <c r="I286" s="968" t="s">
        <v>330</v>
      </c>
      <c r="J286" s="964" t="s">
        <v>354</v>
      </c>
      <c r="K286" s="984" t="s">
        <v>355</v>
      </c>
      <c r="L286" s="984" t="s">
        <v>356</v>
      </c>
      <c r="M286" s="984" t="s">
        <v>357</v>
      </c>
      <c r="N286" s="1086"/>
      <c r="O286" s="839"/>
      <c r="P286" s="966"/>
      <c r="Q286" s="992"/>
      <c r="R286" s="968" t="s">
        <v>328</v>
      </c>
      <c r="S286" s="968" t="s">
        <v>352</v>
      </c>
      <c r="T286" s="968" t="s">
        <v>54</v>
      </c>
      <c r="U286" s="968" t="s">
        <v>55</v>
      </c>
      <c r="V286" s="968" t="s">
        <v>329</v>
      </c>
      <c r="W286" s="968" t="s">
        <v>353</v>
      </c>
      <c r="X286" s="968" t="s">
        <v>330</v>
      </c>
      <c r="Y286" s="964" t="s">
        <v>354</v>
      </c>
      <c r="Z286" s="984" t="s">
        <v>355</v>
      </c>
      <c r="AA286" s="984" t="s">
        <v>356</v>
      </c>
      <c r="AB286" s="984" t="s">
        <v>357</v>
      </c>
    </row>
    <row r="287" spans="1:28">
      <c r="A287" s="969" t="s">
        <v>54</v>
      </c>
      <c r="B287" s="970">
        <v>117916</v>
      </c>
      <c r="C287" s="971">
        <v>50534</v>
      </c>
      <c r="D287" s="971">
        <v>48308</v>
      </c>
      <c r="E287" s="1325" t="s">
        <v>245</v>
      </c>
      <c r="F287" s="971">
        <v>16687</v>
      </c>
      <c r="G287" s="971">
        <v>9869</v>
      </c>
      <c r="H287" s="971">
        <v>42847</v>
      </c>
      <c r="I287" s="971">
        <v>28966</v>
      </c>
      <c r="J287" s="985">
        <v>21814</v>
      </c>
      <c r="K287" s="986">
        <v>15432</v>
      </c>
      <c r="L287" s="986">
        <v>7019</v>
      </c>
      <c r="M287" s="986">
        <v>6600</v>
      </c>
      <c r="N287" s="985"/>
      <c r="O287" s="839"/>
      <c r="P287" s="969" t="s">
        <v>54</v>
      </c>
      <c r="Q287" s="993">
        <v>0.367905476474301</v>
      </c>
      <c r="R287" s="994">
        <v>0.71181778604503898</v>
      </c>
      <c r="S287" s="994">
        <v>0.72052248074852998</v>
      </c>
      <c r="T287" s="1325" t="s">
        <v>245</v>
      </c>
      <c r="U287" s="994">
        <v>0.85437765925570797</v>
      </c>
      <c r="V287" s="994">
        <v>0.88610801499645397</v>
      </c>
      <c r="W287" s="994">
        <v>0.73463719747006795</v>
      </c>
      <c r="X287" s="994">
        <v>0.78105364910584796</v>
      </c>
      <c r="Y287" s="1001">
        <v>0.82566241863023704</v>
      </c>
      <c r="Z287" s="996">
        <v>0.86242871954380496</v>
      </c>
      <c r="AA287" s="996">
        <v>0.91067103576008002</v>
      </c>
      <c r="AB287" s="996">
        <v>0.91318181818181798</v>
      </c>
    </row>
    <row r="288" spans="1:28">
      <c r="A288" s="972"/>
      <c r="B288" s="973"/>
      <c r="C288" s="974">
        <v>0.42855931340954601</v>
      </c>
      <c r="D288" s="974">
        <v>0.40968146816377798</v>
      </c>
      <c r="E288" s="974"/>
      <c r="F288" s="974">
        <v>0.141515994436718</v>
      </c>
      <c r="G288" s="974">
        <v>8.3695172834899398E-2</v>
      </c>
      <c r="H288" s="974">
        <v>0.363368838834425</v>
      </c>
      <c r="I288" s="974">
        <v>0.24564944536788899</v>
      </c>
      <c r="J288" s="987">
        <v>0.184996098917874</v>
      </c>
      <c r="K288" s="987">
        <v>0.13087282472268399</v>
      </c>
      <c r="L288" s="987">
        <v>5.9525424878727203E-2</v>
      </c>
      <c r="M288" s="987">
        <v>5.5972047898503997E-2</v>
      </c>
      <c r="N288" s="1088"/>
      <c r="O288" s="839"/>
      <c r="P288" s="972"/>
      <c r="Q288" s="995"/>
      <c r="R288" s="974"/>
      <c r="S288" s="974"/>
      <c r="T288" s="974"/>
      <c r="U288" s="974"/>
      <c r="V288" s="974"/>
      <c r="W288" s="974"/>
      <c r="X288" s="974"/>
      <c r="Y288" s="1002"/>
      <c r="Z288" s="1003"/>
      <c r="AA288" s="1003"/>
      <c r="AB288" s="1003"/>
    </row>
    <row r="289" spans="1:28">
      <c r="A289" s="969" t="s">
        <v>55</v>
      </c>
      <c r="B289" s="975">
        <v>276156</v>
      </c>
      <c r="C289" s="971">
        <v>76326</v>
      </c>
      <c r="D289" s="971">
        <v>74517</v>
      </c>
      <c r="E289" s="971">
        <v>29759</v>
      </c>
      <c r="F289" s="1325" t="s">
        <v>245</v>
      </c>
      <c r="G289" s="971">
        <v>18651</v>
      </c>
      <c r="H289" s="971">
        <v>63465</v>
      </c>
      <c r="I289" s="971">
        <v>46516</v>
      </c>
      <c r="J289" s="985">
        <v>18607</v>
      </c>
      <c r="K289" s="986">
        <v>27347</v>
      </c>
      <c r="L289" s="986">
        <v>9621</v>
      </c>
      <c r="M289" s="986">
        <v>9117</v>
      </c>
      <c r="N289" s="985"/>
      <c r="O289" s="839"/>
      <c r="P289" s="969" t="s">
        <v>55</v>
      </c>
      <c r="Q289" s="996">
        <v>0.146678498548062</v>
      </c>
      <c r="R289" s="994">
        <v>0.452218117024343</v>
      </c>
      <c r="S289" s="994">
        <v>0.44218097883704399</v>
      </c>
      <c r="T289" s="994">
        <v>0.67314089855169901</v>
      </c>
      <c r="U289" s="1325" t="s">
        <v>245</v>
      </c>
      <c r="V289" s="994">
        <v>0.64511286258109501</v>
      </c>
      <c r="W289" s="994">
        <v>0.45005908768612601</v>
      </c>
      <c r="X289" s="994">
        <v>0.54123312408633595</v>
      </c>
      <c r="Y289" s="1001">
        <v>0.67334873972161002</v>
      </c>
      <c r="Z289" s="996">
        <v>0.68969173949610596</v>
      </c>
      <c r="AA289" s="996">
        <v>0.81051865710425097</v>
      </c>
      <c r="AB289" s="996">
        <v>0.81704508061862502</v>
      </c>
    </row>
    <row r="290" spans="1:28">
      <c r="A290" s="972"/>
      <c r="B290" s="973"/>
      <c r="C290" s="974">
        <v>0.27638725937513597</v>
      </c>
      <c r="D290" s="974">
        <v>0.26983661408769</v>
      </c>
      <c r="E290" s="974">
        <v>0.10776155506307999</v>
      </c>
      <c r="F290" s="974"/>
      <c r="G290" s="974">
        <v>6.7537913353322002E-2</v>
      </c>
      <c r="H290" s="974">
        <v>0.22981575631164999</v>
      </c>
      <c r="I290" s="974">
        <v>0.168441026086705</v>
      </c>
      <c r="J290" s="987">
        <v>6.7378583119686003E-2</v>
      </c>
      <c r="K290" s="987">
        <v>9.9027361346485293E-2</v>
      </c>
      <c r="L290" s="987">
        <v>3.4839004041194097E-2</v>
      </c>
      <c r="M290" s="987">
        <v>3.3013948637726498E-2</v>
      </c>
      <c r="N290" s="1088"/>
      <c r="O290" s="839"/>
      <c r="P290" s="972"/>
      <c r="Q290" s="995"/>
      <c r="R290" s="974"/>
      <c r="S290" s="974"/>
      <c r="T290" s="974"/>
      <c r="U290" s="974"/>
      <c r="V290" s="974"/>
      <c r="W290" s="974"/>
      <c r="X290" s="974"/>
      <c r="Y290" s="1002"/>
      <c r="Z290" s="1003"/>
      <c r="AA290" s="1003"/>
      <c r="AB290" s="1003"/>
    </row>
    <row r="291" spans="1:28">
      <c r="A291" s="969" t="s">
        <v>329</v>
      </c>
      <c r="B291" s="975">
        <v>131461</v>
      </c>
      <c r="C291" s="971">
        <v>22172</v>
      </c>
      <c r="D291" s="971">
        <v>21948</v>
      </c>
      <c r="E291" s="971">
        <v>6823</v>
      </c>
      <c r="F291" s="971">
        <v>5753</v>
      </c>
      <c r="G291" s="1325" t="s">
        <v>245</v>
      </c>
      <c r="H291" s="971">
        <v>20106</v>
      </c>
      <c r="I291" s="971">
        <v>9192</v>
      </c>
      <c r="J291" s="985">
        <v>2950</v>
      </c>
      <c r="K291" s="986">
        <v>3254</v>
      </c>
      <c r="L291" s="986">
        <v>3254</v>
      </c>
      <c r="M291" s="986">
        <v>2813</v>
      </c>
      <c r="N291" s="985"/>
      <c r="O291" s="839"/>
      <c r="P291" s="969" t="s">
        <v>329</v>
      </c>
      <c r="Q291" s="996">
        <v>9.1398828241368996E-2</v>
      </c>
      <c r="R291" s="994">
        <v>0.31390943532383198</v>
      </c>
      <c r="S291" s="994">
        <v>0.30950428285037401</v>
      </c>
      <c r="T291" s="994">
        <v>0.51385021251648799</v>
      </c>
      <c r="U291" s="994">
        <v>0.51086389709716695</v>
      </c>
      <c r="V291" s="1325" t="s">
        <v>245</v>
      </c>
      <c r="W291" s="994">
        <v>0.29821943698398501</v>
      </c>
      <c r="X291" s="994">
        <v>0.467036553524804</v>
      </c>
      <c r="Y291" s="1001">
        <v>0.54271186440677999</v>
      </c>
      <c r="Z291" s="996">
        <v>0.63153042409342397</v>
      </c>
      <c r="AA291" s="996">
        <v>0.63153042409342397</v>
      </c>
      <c r="AB291" s="996">
        <v>0.66832563099893305</v>
      </c>
    </row>
    <row r="292" spans="1:28">
      <c r="A292" s="972"/>
      <c r="B292" s="973"/>
      <c r="C292" s="974">
        <v>0.16865838537665201</v>
      </c>
      <c r="D292" s="974">
        <v>0.16695445797613001</v>
      </c>
      <c r="E292" s="974">
        <v>5.1901324347144798E-2</v>
      </c>
      <c r="F292" s="974">
        <v>4.3762028282152102E-2</v>
      </c>
      <c r="G292" s="974"/>
      <c r="H292" s="974">
        <v>0.152942697834339</v>
      </c>
      <c r="I292" s="974">
        <v>6.9921877971413596E-2</v>
      </c>
      <c r="J292" s="987">
        <v>2.24401153193723E-2</v>
      </c>
      <c r="K292" s="987">
        <v>2.4752588220080501E-2</v>
      </c>
      <c r="L292" s="987">
        <v>2.4752588220080501E-2</v>
      </c>
      <c r="M292" s="987">
        <v>2.13979811503031E-2</v>
      </c>
      <c r="N292" s="1088"/>
      <c r="O292" s="839"/>
      <c r="P292" s="972"/>
      <c r="Q292" s="995"/>
      <c r="R292" s="974"/>
      <c r="S292" s="974"/>
      <c r="T292" s="974"/>
      <c r="U292" s="974"/>
      <c r="V292" s="997"/>
      <c r="W292" s="974"/>
      <c r="X292" s="974"/>
      <c r="Y292" s="1002"/>
      <c r="Z292" s="1003"/>
      <c r="AA292" s="1003"/>
      <c r="AB292" s="1003"/>
    </row>
    <row r="293" spans="1:28">
      <c r="A293" s="969" t="s">
        <v>360</v>
      </c>
      <c r="B293" s="975">
        <v>227907</v>
      </c>
      <c r="C293" s="971">
        <v>82419</v>
      </c>
      <c r="D293" s="971">
        <v>71275</v>
      </c>
      <c r="E293" s="971">
        <v>60003</v>
      </c>
      <c r="F293" s="971">
        <v>30705</v>
      </c>
      <c r="G293" s="971">
        <v>20146</v>
      </c>
      <c r="H293" s="1324" t="s">
        <v>245</v>
      </c>
      <c r="I293" s="971">
        <v>44364</v>
      </c>
      <c r="J293" s="985">
        <v>49256</v>
      </c>
      <c r="K293" s="986">
        <v>27218</v>
      </c>
      <c r="L293" s="986">
        <v>14090</v>
      </c>
      <c r="M293" s="986">
        <v>13281</v>
      </c>
      <c r="N293" s="985"/>
      <c r="O293" s="839"/>
      <c r="P293" s="969" t="s">
        <v>360</v>
      </c>
      <c r="Q293" s="996">
        <v>0.23555925603640901</v>
      </c>
      <c r="R293" s="994">
        <v>0.69291061527075104</v>
      </c>
      <c r="S293" s="994">
        <v>0.73077516660820796</v>
      </c>
      <c r="T293" s="994">
        <v>0.78544406113027698</v>
      </c>
      <c r="U293" s="994">
        <v>0.814036801823807</v>
      </c>
      <c r="V293" s="994">
        <v>0.88042291273702</v>
      </c>
      <c r="W293" s="1324" t="s">
        <v>245</v>
      </c>
      <c r="X293" s="994">
        <v>0.73897754936434901</v>
      </c>
      <c r="Y293" s="1001">
        <v>0.74078284878999501</v>
      </c>
      <c r="Z293" s="996">
        <v>0.85491219046219402</v>
      </c>
      <c r="AA293" s="996">
        <v>0.91674946770759402</v>
      </c>
      <c r="AB293" s="996">
        <v>0.92056321060161095</v>
      </c>
    </row>
    <row r="294" spans="1:28">
      <c r="A294" s="972"/>
      <c r="B294" s="1083"/>
      <c r="C294" s="974">
        <v>0.36163435085363799</v>
      </c>
      <c r="D294" s="974">
        <v>0.31273721298599899</v>
      </c>
      <c r="E294" s="974">
        <v>0.26327844252260801</v>
      </c>
      <c r="F294" s="974">
        <v>0.13472600666061199</v>
      </c>
      <c r="G294" s="974">
        <v>8.8395705265744404E-2</v>
      </c>
      <c r="H294" s="974"/>
      <c r="I294" s="974">
        <v>0.194658347483842</v>
      </c>
      <c r="J294" s="987">
        <v>0.21612324325273</v>
      </c>
      <c r="K294" s="987">
        <v>0.11942590618102999</v>
      </c>
      <c r="L294" s="987">
        <v>6.18234630792385E-2</v>
      </c>
      <c r="M294" s="987">
        <v>5.8273769563901102E-2</v>
      </c>
      <c r="N294" s="1088"/>
      <c r="O294" s="839"/>
      <c r="P294" s="972"/>
      <c r="Q294" s="999"/>
      <c r="R294" s="974"/>
      <c r="S294" s="974"/>
      <c r="T294" s="974"/>
      <c r="U294" s="974"/>
      <c r="V294" s="974"/>
      <c r="W294" s="1082"/>
      <c r="X294" s="974"/>
      <c r="Y294" s="1002"/>
      <c r="Z294" s="1003"/>
      <c r="AA294" s="1003"/>
      <c r="AB294" s="1003"/>
    </row>
    <row r="295" spans="1:28">
      <c r="A295" s="969" t="s">
        <v>330</v>
      </c>
      <c r="B295" s="975">
        <v>291960</v>
      </c>
      <c r="C295" s="971">
        <v>12888</v>
      </c>
      <c r="D295" s="971">
        <v>12513</v>
      </c>
      <c r="E295" s="971">
        <v>5089</v>
      </c>
      <c r="F295" s="971">
        <v>2641</v>
      </c>
      <c r="G295" s="971">
        <v>1369</v>
      </c>
      <c r="H295" s="971">
        <v>11198</v>
      </c>
      <c r="I295" s="1324" t="s">
        <v>245</v>
      </c>
      <c r="J295" s="985">
        <v>2234</v>
      </c>
      <c r="K295" s="986">
        <v>1701</v>
      </c>
      <c r="L295" s="986">
        <v>806</v>
      </c>
      <c r="M295" s="986">
        <v>806</v>
      </c>
      <c r="N295" s="985"/>
      <c r="O295" s="839"/>
      <c r="P295" s="969" t="s">
        <v>330</v>
      </c>
      <c r="Q295" s="996">
        <v>5.4593523280457697E-2</v>
      </c>
      <c r="R295" s="994">
        <v>0.53887337057728102</v>
      </c>
      <c r="S295" s="994">
        <v>0.53784064572844204</v>
      </c>
      <c r="T295" s="994">
        <v>0.88229514639418305</v>
      </c>
      <c r="U295" s="994">
        <v>0.75691026126467198</v>
      </c>
      <c r="V295" s="994">
        <v>0.86997808619430195</v>
      </c>
      <c r="W295" s="994">
        <v>0.52071798535452796</v>
      </c>
      <c r="X295" s="1324" t="s">
        <v>245</v>
      </c>
      <c r="Y295" s="1001">
        <v>0.79677708146821802</v>
      </c>
      <c r="Z295" s="996">
        <v>0.93004115226337403</v>
      </c>
      <c r="AA295" s="996">
        <v>0.97890818858560802</v>
      </c>
      <c r="AB295" s="996">
        <v>0.97890818858560802</v>
      </c>
    </row>
    <row r="296" spans="1:28">
      <c r="A296" s="978"/>
      <c r="B296" s="1084"/>
      <c r="C296" s="980">
        <v>4.4143033292231799E-2</v>
      </c>
      <c r="D296" s="981">
        <v>4.2858610768598399E-2</v>
      </c>
      <c r="E296" s="981">
        <v>1.7430469927387299E-2</v>
      </c>
      <c r="F296" s="981">
        <v>9.0457596931086508E-3</v>
      </c>
      <c r="G296" s="981">
        <v>4.6889984929442399E-3</v>
      </c>
      <c r="H296" s="981">
        <v>3.8354569119057401E-2</v>
      </c>
      <c r="I296" s="981"/>
      <c r="J296" s="1004">
        <v>7.6517331141252197E-3</v>
      </c>
      <c r="K296" s="988">
        <v>5.8261405672009898E-3</v>
      </c>
      <c r="L296" s="988">
        <v>2.7606521441293302E-3</v>
      </c>
      <c r="M296" s="988">
        <v>2.7606521441293302E-3</v>
      </c>
      <c r="N296" s="1088"/>
      <c r="O296" s="839"/>
      <c r="P296" s="978"/>
      <c r="Q296" s="1000"/>
      <c r="R296" s="981"/>
      <c r="S296" s="981"/>
      <c r="T296" s="981"/>
      <c r="U296" s="981"/>
      <c r="V296" s="981"/>
      <c r="W296" s="981"/>
      <c r="X296" s="981"/>
      <c r="Y296" s="1004"/>
      <c r="Z296" s="988"/>
      <c r="AA296" s="988"/>
      <c r="AB296" s="988"/>
    </row>
    <row r="297" spans="1:28">
      <c r="A297" s="1005" t="s">
        <v>361</v>
      </c>
      <c r="B297" s="1085">
        <v>1045400</v>
      </c>
      <c r="C297" s="1007">
        <v>244339</v>
      </c>
      <c r="D297" s="1007">
        <v>228561</v>
      </c>
      <c r="E297" s="1007">
        <v>101674</v>
      </c>
      <c r="F297" s="1007">
        <v>55786</v>
      </c>
      <c r="G297" s="1007">
        <v>50035</v>
      </c>
      <c r="H297" s="1007">
        <v>137616</v>
      </c>
      <c r="I297" s="1007">
        <v>129038</v>
      </c>
      <c r="J297" s="1019">
        <v>94861</v>
      </c>
      <c r="K297" s="1020">
        <v>74952</v>
      </c>
      <c r="L297" s="1020">
        <v>34790</v>
      </c>
      <c r="M297" s="1020">
        <v>32617</v>
      </c>
      <c r="N297" s="1019"/>
      <c r="O297" s="839"/>
      <c r="P297" s="1005" t="s">
        <v>361</v>
      </c>
      <c r="Q297" s="1033">
        <v>0.17087524139653601</v>
      </c>
      <c r="R297" s="1034">
        <v>0.57911753751959405</v>
      </c>
      <c r="S297" s="1034">
        <v>0.58350287231855003</v>
      </c>
      <c r="T297" s="1034">
        <v>0.73919586128213699</v>
      </c>
      <c r="U297" s="1034">
        <v>0.792134227225469</v>
      </c>
      <c r="V297" s="1034">
        <v>0.79354451883681398</v>
      </c>
      <c r="W297" s="1034">
        <v>0.522228519939542</v>
      </c>
      <c r="X297" s="1034">
        <v>0.65776747934716895</v>
      </c>
      <c r="Y297" s="1061">
        <v>0.74223337304055403</v>
      </c>
      <c r="Z297" s="1033">
        <v>0.78818443804034599</v>
      </c>
      <c r="AA297" s="1033">
        <v>0.86090830698476595</v>
      </c>
      <c r="AB297" s="1033">
        <v>0.86982248520710104</v>
      </c>
    </row>
    <row r="298" spans="1:28">
      <c r="A298" s="1008" t="s">
        <v>362</v>
      </c>
      <c r="B298" s="1009"/>
      <c r="C298" s="1036">
        <v>0.23372775970920201</v>
      </c>
      <c r="D298" s="1036">
        <v>0.21863497225942199</v>
      </c>
      <c r="E298" s="1036">
        <v>9.7258465659077906E-2</v>
      </c>
      <c r="F298" s="1036">
        <v>5.3363305911612799E-2</v>
      </c>
      <c r="G298" s="1036">
        <v>4.7862062368471403E-2</v>
      </c>
      <c r="H298" s="1036">
        <v>0.131639563803329</v>
      </c>
      <c r="I298" s="1036">
        <v>0.123434092213507</v>
      </c>
      <c r="J298" s="1062">
        <v>9.0741343026592702E-2</v>
      </c>
      <c r="K298" s="1063">
        <v>7.1696958102161895E-2</v>
      </c>
      <c r="L298" s="1063">
        <v>3.3279127606657702E-2</v>
      </c>
      <c r="M298" s="1063">
        <v>3.1200497417256601E-2</v>
      </c>
      <c r="N298" s="1031"/>
      <c r="O298" s="839"/>
      <c r="P298" s="1008" t="s">
        <v>362</v>
      </c>
      <c r="Q298" s="1035"/>
      <c r="R298" s="1036"/>
      <c r="S298" s="1036"/>
      <c r="T298" s="1036"/>
      <c r="U298" s="1036"/>
      <c r="V298" s="1036"/>
      <c r="W298" s="1036"/>
      <c r="X298" s="1036"/>
      <c r="Y298" s="1062"/>
      <c r="Z298" s="1063"/>
      <c r="AA298" s="1063"/>
      <c r="AB298" s="1063"/>
    </row>
    <row r="299" spans="1:28">
      <c r="A299" s="969" t="s">
        <v>59</v>
      </c>
      <c r="B299" s="975">
        <v>75585</v>
      </c>
      <c r="C299" s="971">
        <v>17434</v>
      </c>
      <c r="D299" s="971">
        <v>17434</v>
      </c>
      <c r="E299" s="971">
        <v>4716</v>
      </c>
      <c r="F299" s="971">
        <v>2259</v>
      </c>
      <c r="G299" s="971">
        <v>1192</v>
      </c>
      <c r="H299" s="971">
        <v>15707</v>
      </c>
      <c r="I299" s="971">
        <v>3358</v>
      </c>
      <c r="J299" s="1326" t="s">
        <v>245</v>
      </c>
      <c r="K299" s="1024">
        <v>1473</v>
      </c>
      <c r="L299" s="1024">
        <v>652</v>
      </c>
      <c r="M299" s="1024">
        <v>491</v>
      </c>
      <c r="N299" s="985"/>
      <c r="O299" s="839"/>
      <c r="P299" s="969" t="s">
        <v>59</v>
      </c>
      <c r="Q299" s="996">
        <v>9.5383316130243007E-2</v>
      </c>
      <c r="R299" s="994">
        <v>0.25823104278995102</v>
      </c>
      <c r="S299" s="994">
        <v>0.25823104278995102</v>
      </c>
      <c r="T299" s="994">
        <v>0.67345207803223095</v>
      </c>
      <c r="U299" s="994">
        <v>0.51173085436033605</v>
      </c>
      <c r="V299" s="994">
        <v>0.68372483221476499</v>
      </c>
      <c r="W299" s="994">
        <v>0.249379257655822</v>
      </c>
      <c r="X299" s="994">
        <v>0.565217391304348</v>
      </c>
      <c r="Y299" s="1324" t="s">
        <v>245</v>
      </c>
      <c r="Z299" s="996">
        <v>0.67956551255940301</v>
      </c>
      <c r="AA299" s="996">
        <v>0.82515337423312896</v>
      </c>
      <c r="AB299" s="996">
        <v>0.96537678207739297</v>
      </c>
    </row>
    <row r="300" spans="1:28">
      <c r="A300" s="1011"/>
      <c r="B300" s="967"/>
      <c r="C300" s="1012">
        <v>0.23065423033670701</v>
      </c>
      <c r="D300" s="1012">
        <v>0.23065423033670701</v>
      </c>
      <c r="E300" s="1012">
        <v>6.2393332010319498E-2</v>
      </c>
      <c r="F300" s="1012">
        <v>2.9886882317920201E-2</v>
      </c>
      <c r="G300" s="1012">
        <v>1.5770324799894202E-2</v>
      </c>
      <c r="H300" s="1012">
        <v>0.20780578157041699</v>
      </c>
      <c r="I300" s="1012">
        <v>4.4426804260104501E-2</v>
      </c>
      <c r="J300" s="1025"/>
      <c r="K300" s="1026">
        <v>1.9487993649533599E-2</v>
      </c>
      <c r="L300" s="1026">
        <v>8.6260501422239892E-3</v>
      </c>
      <c r="M300" s="1026">
        <v>6.4959978831778797E-3</v>
      </c>
      <c r="N300" s="1088"/>
      <c r="O300" s="839"/>
      <c r="P300" s="1011"/>
      <c r="Q300" s="992"/>
      <c r="R300" s="1012"/>
      <c r="S300" s="1012"/>
      <c r="T300" s="1012"/>
      <c r="U300" s="1012"/>
      <c r="V300" s="1012"/>
      <c r="W300" s="1012"/>
      <c r="X300" s="1012"/>
      <c r="Y300" s="1025"/>
      <c r="Z300" s="1026"/>
      <c r="AA300" s="1026"/>
      <c r="AB300" s="1026"/>
    </row>
    <row r="301" spans="1:28">
      <c r="A301" s="1005" t="s">
        <v>333</v>
      </c>
      <c r="B301" s="1013">
        <v>1120985</v>
      </c>
      <c r="C301" s="1014">
        <v>261773</v>
      </c>
      <c r="D301" s="1015">
        <v>245995</v>
      </c>
      <c r="E301" s="1015">
        <v>106390</v>
      </c>
      <c r="F301" s="1015">
        <v>58045</v>
      </c>
      <c r="G301" s="1015">
        <v>51227</v>
      </c>
      <c r="H301" s="1015">
        <v>153323</v>
      </c>
      <c r="I301" s="1015">
        <v>132396</v>
      </c>
      <c r="J301" s="1027">
        <v>94861</v>
      </c>
      <c r="K301" s="1028">
        <v>76425</v>
      </c>
      <c r="L301" s="1028">
        <v>35442</v>
      </c>
      <c r="M301" s="1028">
        <v>33108</v>
      </c>
      <c r="N301" s="1089"/>
      <c r="O301" s="839"/>
      <c r="P301" s="1005" t="s">
        <v>333</v>
      </c>
      <c r="Q301" s="1037">
        <v>0.16566083258594599</v>
      </c>
      <c r="R301" s="1038">
        <v>0.55774659724264897</v>
      </c>
      <c r="S301" s="1039">
        <v>0.56045041565885501</v>
      </c>
      <c r="T301" s="1039">
        <v>0.73628160541404297</v>
      </c>
      <c r="U301" s="1039">
        <v>0.78122146610388499</v>
      </c>
      <c r="V301" s="1039">
        <v>0.79098912682764899</v>
      </c>
      <c r="W301" s="1039">
        <v>0.49427678821833598</v>
      </c>
      <c r="X301" s="1039">
        <v>0.65542010332638401</v>
      </c>
      <c r="Y301" s="1064">
        <v>0.74223337304055403</v>
      </c>
      <c r="Z301" s="1065">
        <v>0.78609093882891701</v>
      </c>
      <c r="AA301" s="1065">
        <v>0.86025055019468399</v>
      </c>
      <c r="AB301" s="1065">
        <v>0.87123957955781095</v>
      </c>
    </row>
    <row r="302" spans="1:28">
      <c r="A302" s="1016"/>
      <c r="B302" s="1080"/>
      <c r="C302" s="1018">
        <v>0.23352051989990899</v>
      </c>
      <c r="D302" s="1018">
        <v>0.219445398466527</v>
      </c>
      <c r="E302" s="1018">
        <v>9.4907603580779404E-2</v>
      </c>
      <c r="F302" s="1018">
        <v>5.17803538851992E-2</v>
      </c>
      <c r="G302" s="1018">
        <v>4.56982029197536E-2</v>
      </c>
      <c r="H302" s="1018">
        <v>0.136775246769582</v>
      </c>
      <c r="I302" s="1018">
        <v>0.11810684353492699</v>
      </c>
      <c r="J302" s="1029">
        <v>8.4622898611489E-2</v>
      </c>
      <c r="K302" s="1030">
        <v>6.8176648215631797E-2</v>
      </c>
      <c r="L302" s="1030">
        <v>3.16168369781933E-2</v>
      </c>
      <c r="M302" s="1030">
        <v>2.9534739537103501E-2</v>
      </c>
      <c r="N302" s="1031"/>
      <c r="O302" s="839"/>
      <c r="P302" s="1016"/>
      <c r="Q302" s="1017"/>
      <c r="R302" s="1018"/>
      <c r="S302" s="1018"/>
      <c r="T302" s="1018"/>
      <c r="U302" s="1018"/>
      <c r="V302" s="1018"/>
      <c r="W302" s="1018"/>
      <c r="X302" s="1018"/>
      <c r="Y302" s="1029"/>
      <c r="Z302" s="1030"/>
      <c r="AA302" s="1030"/>
      <c r="AB302" s="1030"/>
    </row>
    <row r="303" spans="1:28">
      <c r="A303" s="839"/>
      <c r="B303" s="842"/>
      <c r="C303" s="839"/>
      <c r="D303" s="839"/>
      <c r="E303" s="839"/>
      <c r="F303" s="839"/>
      <c r="G303" s="839"/>
      <c r="N303" s="1081"/>
      <c r="O303" s="839"/>
      <c r="P303" s="839"/>
      <c r="Q303" s="839"/>
      <c r="R303" s="839"/>
      <c r="S303" s="839"/>
      <c r="T303" s="839"/>
      <c r="U303" s="839"/>
    </row>
    <row r="304" spans="1:28">
      <c r="A304" s="839"/>
      <c r="B304" s="842"/>
      <c r="C304" s="839"/>
      <c r="D304" s="839"/>
      <c r="E304" s="839"/>
      <c r="F304" s="839"/>
      <c r="O304" s="839"/>
      <c r="P304" s="839" t="s">
        <v>302</v>
      </c>
      <c r="Q304" s="839" t="s">
        <v>363</v>
      </c>
      <c r="R304" s="839"/>
      <c r="S304" s="839"/>
      <c r="T304" s="839"/>
      <c r="U304" s="839"/>
    </row>
    <row r="305" spans="1:28">
      <c r="A305" s="955" t="s">
        <v>338</v>
      </c>
      <c r="B305" s="956"/>
      <c r="C305" s="955">
        <v>2009</v>
      </c>
      <c r="D305" s="839"/>
      <c r="E305" s="839"/>
      <c r="F305" s="839"/>
      <c r="G305" s="839"/>
      <c r="H305" s="839"/>
      <c r="I305" s="839"/>
      <c r="J305" s="839"/>
      <c r="K305" s="839"/>
      <c r="L305" s="839"/>
      <c r="M305" s="839"/>
      <c r="N305" s="839"/>
      <c r="O305" s="839"/>
      <c r="P305" s="955" t="s">
        <v>338</v>
      </c>
      <c r="Q305" s="955"/>
      <c r="R305" s="955">
        <v>2009</v>
      </c>
      <c r="S305" s="839"/>
      <c r="T305" s="839"/>
      <c r="U305" s="839"/>
      <c r="V305" s="958"/>
      <c r="W305" s="958"/>
      <c r="X305" s="958"/>
      <c r="Y305" s="958"/>
      <c r="Z305" s="958"/>
      <c r="AA305" s="958"/>
      <c r="AB305" s="958"/>
    </row>
    <row r="306" spans="1:28">
      <c r="A306" s="839"/>
      <c r="B306" s="842"/>
      <c r="C306" s="839"/>
      <c r="D306" s="839"/>
      <c r="E306" s="839"/>
      <c r="F306" s="839"/>
      <c r="G306" s="958"/>
      <c r="H306" s="958"/>
      <c r="I306" s="958"/>
      <c r="J306" s="958"/>
      <c r="K306" s="958"/>
      <c r="L306" s="958"/>
      <c r="M306" s="958"/>
      <c r="N306" s="958"/>
      <c r="O306" s="839"/>
      <c r="P306" s="839"/>
      <c r="Q306" s="839"/>
      <c r="R306" s="839"/>
      <c r="S306" s="839"/>
      <c r="T306" s="839"/>
      <c r="U306" s="839"/>
      <c r="V306" s="958"/>
      <c r="W306" s="958"/>
      <c r="X306" s="958"/>
      <c r="Y306" s="958"/>
      <c r="Z306" s="958"/>
      <c r="AA306" s="958"/>
      <c r="AB306" s="958"/>
    </row>
    <row r="307" spans="1:28">
      <c r="A307" s="959" t="s">
        <v>315</v>
      </c>
      <c r="B307" s="960" t="s">
        <v>316</v>
      </c>
      <c r="C307" s="961"/>
      <c r="D307" s="961"/>
      <c r="E307" s="961" t="s">
        <v>339</v>
      </c>
      <c r="F307" s="961"/>
      <c r="G307" s="961"/>
      <c r="H307" s="961"/>
      <c r="I307" s="961"/>
      <c r="J307" s="961"/>
      <c r="K307" s="959" t="s">
        <v>340</v>
      </c>
      <c r="L307" s="959" t="s">
        <v>341</v>
      </c>
      <c r="M307" s="959" t="s">
        <v>342</v>
      </c>
      <c r="N307" s="1086"/>
      <c r="O307" s="839"/>
      <c r="P307" s="959" t="s">
        <v>315</v>
      </c>
      <c r="Q307" s="990" t="s">
        <v>316</v>
      </c>
      <c r="R307" s="961"/>
      <c r="S307" s="961"/>
      <c r="T307" s="961" t="s">
        <v>343</v>
      </c>
      <c r="U307" s="961"/>
      <c r="V307" s="961"/>
      <c r="W307" s="961"/>
      <c r="X307" s="961"/>
      <c r="Y307" s="961"/>
      <c r="Z307" s="959" t="s">
        <v>340</v>
      </c>
      <c r="AA307" s="959" t="s">
        <v>341</v>
      </c>
      <c r="AB307" s="959" t="s">
        <v>342</v>
      </c>
    </row>
    <row r="308" spans="1:28">
      <c r="A308" s="962" t="s">
        <v>344</v>
      </c>
      <c r="B308" s="963" t="s">
        <v>320</v>
      </c>
      <c r="C308" s="964"/>
      <c r="D308" s="964"/>
      <c r="E308" s="964" t="s">
        <v>345</v>
      </c>
      <c r="F308" s="964"/>
      <c r="G308" s="964"/>
      <c r="H308" s="964"/>
      <c r="I308" s="964"/>
      <c r="J308" s="964"/>
      <c r="K308" s="982" t="s">
        <v>346</v>
      </c>
      <c r="L308" s="982" t="s">
        <v>346</v>
      </c>
      <c r="M308" s="982" t="s">
        <v>346</v>
      </c>
      <c r="N308" s="1086"/>
      <c r="O308" s="839"/>
      <c r="P308" s="962" t="s">
        <v>344</v>
      </c>
      <c r="Q308" s="991" t="s">
        <v>320</v>
      </c>
      <c r="R308" s="964"/>
      <c r="S308" s="964"/>
      <c r="T308" s="964" t="s">
        <v>347</v>
      </c>
      <c r="U308" s="964"/>
      <c r="V308" s="964"/>
      <c r="W308" s="964"/>
      <c r="X308" s="964"/>
      <c r="Y308" s="964"/>
      <c r="Z308" s="982" t="s">
        <v>346</v>
      </c>
      <c r="AA308" s="982" t="s">
        <v>346</v>
      </c>
      <c r="AB308" s="982" t="s">
        <v>346</v>
      </c>
    </row>
    <row r="309" spans="1:28">
      <c r="A309" s="962" t="s">
        <v>325</v>
      </c>
      <c r="B309" s="963" t="s">
        <v>61</v>
      </c>
      <c r="C309" s="965" t="s">
        <v>326</v>
      </c>
      <c r="D309" s="965" t="s">
        <v>348</v>
      </c>
      <c r="E309" s="965"/>
      <c r="F309" s="965"/>
      <c r="G309" s="965"/>
      <c r="H309" s="965"/>
      <c r="I309" s="965"/>
      <c r="J309" s="983" t="s">
        <v>126</v>
      </c>
      <c r="K309" s="962" t="s">
        <v>349</v>
      </c>
      <c r="L309" s="962" t="s">
        <v>350</v>
      </c>
      <c r="M309" s="962" t="s">
        <v>350</v>
      </c>
      <c r="N309" s="1087"/>
      <c r="O309" s="839"/>
      <c r="P309" s="962" t="s">
        <v>325</v>
      </c>
      <c r="Q309" s="991" t="s">
        <v>61</v>
      </c>
      <c r="R309" s="965" t="s">
        <v>326</v>
      </c>
      <c r="S309" s="965" t="s">
        <v>348</v>
      </c>
      <c r="T309" s="965"/>
      <c r="U309" s="965"/>
      <c r="V309" s="965"/>
      <c r="W309" s="965"/>
      <c r="X309" s="965"/>
      <c r="Y309" s="983" t="s">
        <v>126</v>
      </c>
      <c r="Z309" s="962" t="s">
        <v>349</v>
      </c>
      <c r="AA309" s="962" t="s">
        <v>350</v>
      </c>
      <c r="AB309" s="962" t="s">
        <v>350</v>
      </c>
    </row>
    <row r="310" spans="1:28">
      <c r="A310" s="966"/>
      <c r="B310" s="967"/>
      <c r="C310" s="968" t="s">
        <v>328</v>
      </c>
      <c r="D310" s="968" t="s">
        <v>352</v>
      </c>
      <c r="E310" s="968" t="s">
        <v>54</v>
      </c>
      <c r="F310" s="968" t="s">
        <v>55</v>
      </c>
      <c r="G310" s="968" t="s">
        <v>329</v>
      </c>
      <c r="H310" s="968" t="s">
        <v>353</v>
      </c>
      <c r="I310" s="968" t="s">
        <v>330</v>
      </c>
      <c r="J310" s="964" t="s">
        <v>354</v>
      </c>
      <c r="K310" s="984" t="s">
        <v>355</v>
      </c>
      <c r="L310" s="984" t="s">
        <v>356</v>
      </c>
      <c r="M310" s="984" t="s">
        <v>357</v>
      </c>
      <c r="N310" s="1086"/>
      <c r="O310" s="839"/>
      <c r="P310" s="966"/>
      <c r="Q310" s="992"/>
      <c r="R310" s="968" t="s">
        <v>328</v>
      </c>
      <c r="S310" s="968" t="s">
        <v>352</v>
      </c>
      <c r="T310" s="968" t="s">
        <v>54</v>
      </c>
      <c r="U310" s="968" t="s">
        <v>55</v>
      </c>
      <c r="V310" s="968" t="s">
        <v>329</v>
      </c>
      <c r="W310" s="968" t="s">
        <v>353</v>
      </c>
      <c r="X310" s="968" t="s">
        <v>330</v>
      </c>
      <c r="Y310" s="964" t="s">
        <v>354</v>
      </c>
      <c r="Z310" s="984" t="s">
        <v>355</v>
      </c>
      <c r="AA310" s="984" t="s">
        <v>356</v>
      </c>
      <c r="AB310" s="984" t="s">
        <v>357</v>
      </c>
    </row>
    <row r="311" spans="1:28">
      <c r="A311" s="969" t="s">
        <v>54</v>
      </c>
      <c r="B311" s="970">
        <v>132568</v>
      </c>
      <c r="C311" s="971">
        <v>49097</v>
      </c>
      <c r="D311" s="971">
        <v>46894</v>
      </c>
      <c r="E311" s="1325" t="s">
        <v>245</v>
      </c>
      <c r="F311" s="971">
        <v>17416</v>
      </c>
      <c r="G311" s="971">
        <v>9862</v>
      </c>
      <c r="H311" s="971">
        <v>42358</v>
      </c>
      <c r="I311" s="971">
        <v>27172</v>
      </c>
      <c r="J311" s="985">
        <v>21517</v>
      </c>
      <c r="K311" s="986">
        <v>16492</v>
      </c>
      <c r="L311" s="986">
        <v>7524</v>
      </c>
      <c r="M311" s="986">
        <v>7113</v>
      </c>
      <c r="N311" s="985"/>
      <c r="O311" s="839"/>
      <c r="P311" s="969" t="s">
        <v>54</v>
      </c>
      <c r="Q311" s="993">
        <v>0.360876789366053</v>
      </c>
      <c r="R311" s="994">
        <v>0.71487056235615198</v>
      </c>
      <c r="S311" s="994">
        <v>0.72525269757324995</v>
      </c>
      <c r="T311" s="1325" t="s">
        <v>245</v>
      </c>
      <c r="U311" s="994">
        <v>0.85559255856683503</v>
      </c>
      <c r="V311" s="994">
        <v>0.89677550192658695</v>
      </c>
      <c r="W311" s="994">
        <v>0.73981302233344304</v>
      </c>
      <c r="X311" s="994">
        <v>0.80976740762549704</v>
      </c>
      <c r="Y311" s="1001">
        <v>0.83399172747130201</v>
      </c>
      <c r="Z311" s="996">
        <v>0.86775406257579402</v>
      </c>
      <c r="AA311" s="996">
        <v>0.921185539606592</v>
      </c>
      <c r="AB311" s="996">
        <v>0.92661324335723305</v>
      </c>
    </row>
    <row r="312" spans="1:28">
      <c r="A312" s="972"/>
      <c r="B312" s="973"/>
      <c r="C312" s="974">
        <v>0.37035332810331301</v>
      </c>
      <c r="D312" s="974">
        <v>0.35373544143383001</v>
      </c>
      <c r="E312" s="974"/>
      <c r="F312" s="974">
        <v>0.13137408726087699</v>
      </c>
      <c r="G312" s="974">
        <v>7.4392010138193201E-2</v>
      </c>
      <c r="H312" s="974">
        <v>0.31951903928549902</v>
      </c>
      <c r="I312" s="974">
        <v>0.204966507754511</v>
      </c>
      <c r="J312" s="987">
        <v>0.16230915454709999</v>
      </c>
      <c r="K312" s="987">
        <v>0.124404079415847</v>
      </c>
      <c r="L312" s="987">
        <v>5.67557781666767E-2</v>
      </c>
      <c r="M312" s="987">
        <v>5.3655482469374197E-2</v>
      </c>
      <c r="N312" s="1088"/>
      <c r="O312" s="839"/>
      <c r="P312" s="972"/>
      <c r="Q312" s="995"/>
      <c r="R312" s="974"/>
      <c r="S312" s="974"/>
      <c r="T312" s="974"/>
      <c r="U312" s="974"/>
      <c r="V312" s="974"/>
      <c r="W312" s="974"/>
      <c r="X312" s="974"/>
      <c r="Y312" s="1002"/>
      <c r="Z312" s="1003"/>
      <c r="AA312" s="1003"/>
      <c r="AB312" s="1003"/>
    </row>
    <row r="313" spans="1:28">
      <c r="A313" s="969" t="s">
        <v>55</v>
      </c>
      <c r="B313" s="975">
        <v>282359</v>
      </c>
      <c r="C313" s="971">
        <v>67726</v>
      </c>
      <c r="D313" s="971">
        <v>66431</v>
      </c>
      <c r="E313" s="971">
        <v>26777</v>
      </c>
      <c r="F313" s="1325" t="s">
        <v>245</v>
      </c>
      <c r="G313" s="971">
        <v>16733</v>
      </c>
      <c r="H313" s="971">
        <v>57618</v>
      </c>
      <c r="I313" s="971">
        <v>37949</v>
      </c>
      <c r="J313" s="985">
        <v>16096</v>
      </c>
      <c r="K313" s="986">
        <v>24658</v>
      </c>
      <c r="L313" s="986">
        <v>8976</v>
      </c>
      <c r="M313" s="986">
        <v>8477</v>
      </c>
      <c r="N313" s="985"/>
      <c r="O313" s="839"/>
      <c r="P313" s="969" t="s">
        <v>55</v>
      </c>
      <c r="Q313" s="996">
        <v>0.122803968278311</v>
      </c>
      <c r="R313" s="994">
        <v>0.43746862357145</v>
      </c>
      <c r="S313" s="994">
        <v>0.42994987280034902</v>
      </c>
      <c r="T313" s="994">
        <v>0.66318108824737598</v>
      </c>
      <c r="U313" s="1325" t="s">
        <v>245</v>
      </c>
      <c r="V313" s="994">
        <v>0.66037172055220195</v>
      </c>
      <c r="W313" s="994">
        <v>0.43661702940053498</v>
      </c>
      <c r="X313" s="994">
        <v>0.55867084771667197</v>
      </c>
      <c r="Y313" s="1001">
        <v>0.67047713717693802</v>
      </c>
      <c r="Z313" s="996">
        <v>0.68180712142104005</v>
      </c>
      <c r="AA313" s="996">
        <v>0.82776292335115897</v>
      </c>
      <c r="AB313" s="996">
        <v>0.83496519995281304</v>
      </c>
    </row>
    <row r="314" spans="1:28">
      <c r="A314" s="972"/>
      <c r="B314" s="973"/>
      <c r="C314" s="974">
        <v>0.23985776971869099</v>
      </c>
      <c r="D314" s="974">
        <v>0.235271409800998</v>
      </c>
      <c r="E314" s="974">
        <v>9.4833173371488097E-2</v>
      </c>
      <c r="F314" s="974"/>
      <c r="G314" s="974">
        <v>5.9261436681671199E-2</v>
      </c>
      <c r="H314" s="974">
        <v>0.20405937122599199</v>
      </c>
      <c r="I314" s="974">
        <v>0.13439982433710301</v>
      </c>
      <c r="J314" s="987">
        <v>5.7005443424859803E-2</v>
      </c>
      <c r="K314" s="987">
        <v>8.7328542741686999E-2</v>
      </c>
      <c r="L314" s="987">
        <v>3.1789317854220997E-2</v>
      </c>
      <c r="M314" s="987">
        <v>3.0022064109874302E-2</v>
      </c>
      <c r="N314" s="1088"/>
      <c r="O314" s="839"/>
      <c r="P314" s="972"/>
      <c r="Q314" s="995"/>
      <c r="R314" s="974"/>
      <c r="S314" s="974"/>
      <c r="T314" s="974"/>
      <c r="U314" s="974"/>
      <c r="V314" s="974"/>
      <c r="W314" s="974"/>
      <c r="X314" s="974"/>
      <c r="Y314" s="1002"/>
      <c r="Z314" s="1003"/>
      <c r="AA314" s="1003"/>
      <c r="AB314" s="1003"/>
    </row>
    <row r="315" spans="1:28">
      <c r="A315" s="969" t="s">
        <v>329</v>
      </c>
      <c r="B315" s="975">
        <v>126988</v>
      </c>
      <c r="C315" s="971">
        <v>19318</v>
      </c>
      <c r="D315" s="971">
        <v>19078</v>
      </c>
      <c r="E315" s="971">
        <v>5865</v>
      </c>
      <c r="F315" s="971">
        <v>5124</v>
      </c>
      <c r="G315" s="1325" t="s">
        <v>245</v>
      </c>
      <c r="H315" s="971">
        <v>17252</v>
      </c>
      <c r="I315" s="971">
        <v>7826</v>
      </c>
      <c r="J315" s="985">
        <v>2598</v>
      </c>
      <c r="K315" s="986">
        <v>2815</v>
      </c>
      <c r="L315" s="986">
        <v>2815</v>
      </c>
      <c r="M315" s="986">
        <v>2343</v>
      </c>
      <c r="N315" s="985"/>
      <c r="O315" s="839"/>
      <c r="P315" s="969" t="s">
        <v>329</v>
      </c>
      <c r="Q315" s="996">
        <v>8.5557487132290305E-2</v>
      </c>
      <c r="R315" s="994">
        <v>0.32410187389999001</v>
      </c>
      <c r="S315" s="994">
        <v>0.31963518188489398</v>
      </c>
      <c r="T315" s="994">
        <v>0.53231031543051999</v>
      </c>
      <c r="U315" s="994">
        <v>0.51795472287275601</v>
      </c>
      <c r="V315" s="1325" t="s">
        <v>245</v>
      </c>
      <c r="W315" s="994">
        <v>0.30912357987479699</v>
      </c>
      <c r="X315" s="994">
        <v>0.50255558395093303</v>
      </c>
      <c r="Y315" s="1001">
        <v>0.55350269438029298</v>
      </c>
      <c r="Z315" s="996">
        <v>0.62344582593250397</v>
      </c>
      <c r="AA315" s="996">
        <v>0.62344582593250397</v>
      </c>
      <c r="AB315" s="996">
        <v>0.68544600938967104</v>
      </c>
    </row>
    <row r="316" spans="1:28">
      <c r="A316" s="972"/>
      <c r="B316" s="973"/>
      <c r="C316" s="974">
        <v>0.152124610199389</v>
      </c>
      <c r="D316" s="974">
        <v>0.15023466784263101</v>
      </c>
      <c r="E316" s="974">
        <v>4.6185466343276499E-2</v>
      </c>
      <c r="F316" s="974">
        <v>4.03502693167858E-2</v>
      </c>
      <c r="G316" s="974"/>
      <c r="H316" s="974">
        <v>0.13585535641162899</v>
      </c>
      <c r="I316" s="974">
        <v>6.1627870349954303E-2</v>
      </c>
      <c r="J316" s="987">
        <v>2.0458626011906601E-2</v>
      </c>
      <c r="K316" s="987">
        <v>2.2167448892808798E-2</v>
      </c>
      <c r="L316" s="987">
        <v>2.2167448892808798E-2</v>
      </c>
      <c r="M316" s="987">
        <v>1.8450562257851098E-2</v>
      </c>
      <c r="N316" s="1088"/>
      <c r="O316" s="839"/>
      <c r="P316" s="972"/>
      <c r="Q316" s="995"/>
      <c r="R316" s="974"/>
      <c r="S316" s="974"/>
      <c r="T316" s="974"/>
      <c r="U316" s="974"/>
      <c r="V316" s="997"/>
      <c r="W316" s="974"/>
      <c r="X316" s="974"/>
      <c r="Y316" s="1002"/>
      <c r="Z316" s="1003"/>
      <c r="AA316" s="1003"/>
      <c r="AB316" s="1003"/>
    </row>
    <row r="317" spans="1:28">
      <c r="A317" s="969" t="s">
        <v>360</v>
      </c>
      <c r="B317" s="975">
        <v>213093</v>
      </c>
      <c r="C317" s="971">
        <v>77308</v>
      </c>
      <c r="D317" s="971">
        <v>66751</v>
      </c>
      <c r="E317" s="971">
        <v>57188</v>
      </c>
      <c r="F317" s="971">
        <v>30690</v>
      </c>
      <c r="G317" s="971">
        <v>19932</v>
      </c>
      <c r="H317" s="1324" t="s">
        <v>245</v>
      </c>
      <c r="I317" s="971">
        <v>40366</v>
      </c>
      <c r="J317" s="985">
        <v>47903</v>
      </c>
      <c r="K317" s="986">
        <v>27508</v>
      </c>
      <c r="L317" s="986">
        <v>14340</v>
      </c>
      <c r="M317" s="986">
        <v>13560</v>
      </c>
      <c r="N317" s="985"/>
      <c r="O317" s="839"/>
      <c r="P317" s="969" t="s">
        <v>360</v>
      </c>
      <c r="Q317" s="996">
        <v>0.238403339596197</v>
      </c>
      <c r="R317" s="994">
        <v>0.70497231851813502</v>
      </c>
      <c r="S317" s="994">
        <v>0.74640080298422495</v>
      </c>
      <c r="T317" s="994">
        <v>0.79201930474924798</v>
      </c>
      <c r="U317" s="994">
        <v>0.81893124796350603</v>
      </c>
      <c r="V317" s="994">
        <v>0.88827011840256898</v>
      </c>
      <c r="W317" s="1324" t="s">
        <v>245</v>
      </c>
      <c r="X317" s="994">
        <v>0.77386909775553703</v>
      </c>
      <c r="Y317" s="1001">
        <v>0.75258334551072004</v>
      </c>
      <c r="Z317" s="996">
        <v>0.86018612767195002</v>
      </c>
      <c r="AA317" s="996">
        <v>0.92691771269177103</v>
      </c>
      <c r="AB317" s="996">
        <v>0.93053097345132696</v>
      </c>
    </row>
    <row r="318" spans="1:28">
      <c r="A318" s="972"/>
      <c r="B318" s="1083"/>
      <c r="C318" s="974">
        <v>0.36278995555930998</v>
      </c>
      <c r="D318" s="974">
        <v>0.313248206182277</v>
      </c>
      <c r="E318" s="974">
        <v>0.26837108680247601</v>
      </c>
      <c r="F318" s="974">
        <v>0.14402162436119401</v>
      </c>
      <c r="G318" s="974">
        <v>9.3536624853937003E-2</v>
      </c>
      <c r="H318" s="974"/>
      <c r="I318" s="974">
        <v>0.18942902864007699</v>
      </c>
      <c r="J318" s="987">
        <v>0.22479856213015001</v>
      </c>
      <c r="K318" s="987">
        <v>0.12908917702599301</v>
      </c>
      <c r="L318" s="987">
        <v>6.7294561529473093E-2</v>
      </c>
      <c r="M318" s="987">
        <v>6.3634187889794594E-2</v>
      </c>
      <c r="N318" s="1088"/>
      <c r="O318" s="839"/>
      <c r="P318" s="972"/>
      <c r="Q318" s="999"/>
      <c r="R318" s="974"/>
      <c r="S318" s="974"/>
      <c r="T318" s="974"/>
      <c r="U318" s="974"/>
      <c r="V318" s="974"/>
      <c r="W318" s="1082"/>
      <c r="X318" s="974"/>
      <c r="Y318" s="1002"/>
      <c r="Z318" s="1003"/>
      <c r="AA318" s="1003"/>
      <c r="AB318" s="1003"/>
    </row>
    <row r="319" spans="1:28">
      <c r="A319" s="969" t="s">
        <v>330</v>
      </c>
      <c r="B319" s="975">
        <v>228456</v>
      </c>
      <c r="C319" s="971">
        <v>11448</v>
      </c>
      <c r="D319" s="971">
        <v>11191</v>
      </c>
      <c r="E319" s="971">
        <v>4343</v>
      </c>
      <c r="F319" s="971">
        <v>2378</v>
      </c>
      <c r="G319" s="971">
        <v>1177</v>
      </c>
      <c r="H319" s="971">
        <v>10162</v>
      </c>
      <c r="I319" s="1324" t="s">
        <v>245</v>
      </c>
      <c r="J319" s="985">
        <v>1745</v>
      </c>
      <c r="K319" s="986">
        <v>1507</v>
      </c>
      <c r="L319" s="986">
        <v>706</v>
      </c>
      <c r="M319" s="986">
        <v>706</v>
      </c>
      <c r="N319" s="985"/>
      <c r="O319" s="839"/>
      <c r="P319" s="969" t="s">
        <v>330</v>
      </c>
      <c r="Q319" s="996">
        <v>4.9763741038453199E-2</v>
      </c>
      <c r="R319" s="994">
        <v>0.45711041229909199</v>
      </c>
      <c r="S319" s="994">
        <v>0.45331069609507602</v>
      </c>
      <c r="T319" s="994">
        <v>0.84411696983651896</v>
      </c>
      <c r="U319" s="994">
        <v>0.69217830109335599</v>
      </c>
      <c r="V319" s="994">
        <v>0.84706881903143605</v>
      </c>
      <c r="W319" s="994">
        <v>0.43091911041133601</v>
      </c>
      <c r="X319" s="1324" t="s">
        <v>245</v>
      </c>
      <c r="Y319" s="1001">
        <v>0.81833810888252101</v>
      </c>
      <c r="Z319" s="996">
        <v>0.87392169873921699</v>
      </c>
      <c r="AA319" s="996">
        <v>0.91501416430594895</v>
      </c>
      <c r="AB319" s="996">
        <v>0.91501416430594895</v>
      </c>
    </row>
    <row r="320" spans="1:28">
      <c r="A320" s="978"/>
      <c r="B320" s="1084"/>
      <c r="C320" s="980">
        <v>5.01103057043807E-2</v>
      </c>
      <c r="D320" s="981">
        <v>4.8985362608117103E-2</v>
      </c>
      <c r="E320" s="981">
        <v>1.9010225163707699E-2</v>
      </c>
      <c r="F320" s="981">
        <v>1.04090065483069E-2</v>
      </c>
      <c r="G320" s="981">
        <v>5.1519767482578697E-3</v>
      </c>
      <c r="H320" s="981">
        <v>4.4481213012571297E-2</v>
      </c>
      <c r="I320" s="981"/>
      <c r="J320" s="1004">
        <v>7.6382323073151898E-3</v>
      </c>
      <c r="K320" s="988">
        <v>6.5964562103862498E-3</v>
      </c>
      <c r="L320" s="988">
        <v>3.0903106068564598E-3</v>
      </c>
      <c r="M320" s="988">
        <v>3.0903106068564598E-3</v>
      </c>
      <c r="N320" s="1088"/>
      <c r="O320" s="839"/>
      <c r="P320" s="978"/>
      <c r="Q320" s="1000"/>
      <c r="R320" s="981"/>
      <c r="S320" s="981"/>
      <c r="T320" s="981"/>
      <c r="U320" s="981"/>
      <c r="V320" s="981"/>
      <c r="W320" s="981"/>
      <c r="X320" s="981"/>
      <c r="Y320" s="1004"/>
      <c r="Z320" s="988"/>
      <c r="AA320" s="988"/>
      <c r="AB320" s="988"/>
    </row>
    <row r="321" spans="1:28">
      <c r="A321" s="1005" t="s">
        <v>361</v>
      </c>
      <c r="B321" s="1085">
        <v>983464</v>
      </c>
      <c r="C321" s="1007">
        <v>224897</v>
      </c>
      <c r="D321" s="1007">
        <v>210345</v>
      </c>
      <c r="E321" s="1007">
        <v>94173</v>
      </c>
      <c r="F321" s="1007">
        <v>55608</v>
      </c>
      <c r="G321" s="1007">
        <v>47704</v>
      </c>
      <c r="H321" s="1007">
        <v>127390</v>
      </c>
      <c r="I321" s="1007">
        <v>113313</v>
      </c>
      <c r="J321" s="1019">
        <v>89859</v>
      </c>
      <c r="K321" s="1020">
        <v>72980</v>
      </c>
      <c r="L321" s="1020">
        <v>34361</v>
      </c>
      <c r="M321" s="1020">
        <v>32199</v>
      </c>
      <c r="N321" s="1019"/>
      <c r="O321" s="839"/>
      <c r="P321" s="1005" t="s">
        <v>361</v>
      </c>
      <c r="Q321" s="1033">
        <v>0.16711211955831001</v>
      </c>
      <c r="R321" s="1034">
        <v>0.58124385829957703</v>
      </c>
      <c r="S321" s="1034">
        <v>0.58744443652095402</v>
      </c>
      <c r="T321" s="1034">
        <v>0.741613838361314</v>
      </c>
      <c r="U321" s="1034">
        <v>0.79725938713854105</v>
      </c>
      <c r="V321" s="1034">
        <v>0.80907261445581102</v>
      </c>
      <c r="W321" s="1034">
        <v>0.51971112332208202</v>
      </c>
      <c r="X321" s="1034">
        <v>0.69166821106139598</v>
      </c>
      <c r="Y321" s="1061">
        <v>0.75289063978009996</v>
      </c>
      <c r="Z321" s="1033">
        <v>0.79277884351877204</v>
      </c>
      <c r="AA321" s="1033">
        <v>0.87465440470300604</v>
      </c>
      <c r="AB321" s="1033">
        <v>0.88633187366067301</v>
      </c>
    </row>
    <row r="322" spans="1:28">
      <c r="A322" s="1008" t="s">
        <v>362</v>
      </c>
      <c r="B322" s="1009"/>
      <c r="C322" s="1036">
        <v>0.22867842645994199</v>
      </c>
      <c r="D322" s="1036">
        <v>0.213881748594763</v>
      </c>
      <c r="E322" s="1036">
        <v>9.5756428298341398E-2</v>
      </c>
      <c r="F322" s="1036">
        <v>5.6542994964736901E-2</v>
      </c>
      <c r="G322" s="1036">
        <v>4.85060968169653E-2</v>
      </c>
      <c r="H322" s="1036">
        <v>0.129531940162528</v>
      </c>
      <c r="I322" s="1036">
        <v>0.115218248964883</v>
      </c>
      <c r="J322" s="1062">
        <v>9.1369892543092607E-2</v>
      </c>
      <c r="K322" s="1063">
        <v>7.4207088414014105E-2</v>
      </c>
      <c r="L322" s="1063">
        <v>3.4938747122416298E-2</v>
      </c>
      <c r="M322" s="1063">
        <v>3.2740395174607299E-2</v>
      </c>
      <c r="N322" s="1031"/>
      <c r="O322" s="839"/>
      <c r="P322" s="1008" t="s">
        <v>362</v>
      </c>
      <c r="Q322" s="1035"/>
      <c r="R322" s="1036"/>
      <c r="S322" s="1036"/>
      <c r="T322" s="1036"/>
      <c r="U322" s="1036"/>
      <c r="V322" s="1036"/>
      <c r="W322" s="1036"/>
      <c r="X322" s="1036"/>
      <c r="Y322" s="1062"/>
      <c r="Z322" s="1063"/>
      <c r="AA322" s="1063"/>
      <c r="AB322" s="1063"/>
    </row>
    <row r="323" spans="1:28">
      <c r="A323" s="969" t="s">
        <v>59</v>
      </c>
      <c r="B323" s="975">
        <v>90607</v>
      </c>
      <c r="C323" s="971">
        <v>15911</v>
      </c>
      <c r="D323" s="971">
        <v>15911</v>
      </c>
      <c r="E323" s="971">
        <v>4542</v>
      </c>
      <c r="F323" s="971">
        <v>2245</v>
      </c>
      <c r="G323" s="971">
        <v>1059</v>
      </c>
      <c r="H323" s="971">
        <v>14636</v>
      </c>
      <c r="I323" s="971">
        <v>2175</v>
      </c>
      <c r="J323" s="1326" t="s">
        <v>245</v>
      </c>
      <c r="K323" s="1024">
        <v>1452</v>
      </c>
      <c r="L323" s="1024">
        <v>653</v>
      </c>
      <c r="M323" s="1024">
        <v>505</v>
      </c>
      <c r="N323" s="985"/>
      <c r="O323" s="839"/>
      <c r="P323" s="969" t="s">
        <v>59</v>
      </c>
      <c r="Q323" s="996">
        <v>9.3511356358082498E-2</v>
      </c>
      <c r="R323" s="994">
        <v>0.26635660863553501</v>
      </c>
      <c r="S323" s="994">
        <v>0.26635660863553501</v>
      </c>
      <c r="T323" s="994">
        <v>0.67349185380889498</v>
      </c>
      <c r="U323" s="994">
        <v>0.48641425389755</v>
      </c>
      <c r="V323" s="994">
        <v>0.71576959395656303</v>
      </c>
      <c r="W323" s="994">
        <v>0.25567094834654303</v>
      </c>
      <c r="X323" s="994">
        <v>0.82574712643678205</v>
      </c>
      <c r="Y323" s="1324" t="s">
        <v>245</v>
      </c>
      <c r="Z323" s="996">
        <v>0.673553719008264</v>
      </c>
      <c r="AA323" s="996">
        <v>0.83920367534456397</v>
      </c>
      <c r="AB323" s="996">
        <v>0.97029702970297005</v>
      </c>
    </row>
    <row r="324" spans="1:28">
      <c r="A324" s="1011"/>
      <c r="B324" s="967"/>
      <c r="C324" s="1012">
        <v>0.175604533866037</v>
      </c>
      <c r="D324" s="1012">
        <v>0.175604533866037</v>
      </c>
      <c r="E324" s="1012">
        <v>5.0128577262242402E-2</v>
      </c>
      <c r="F324" s="1012">
        <v>2.4777335084485701E-2</v>
      </c>
      <c r="G324" s="1012">
        <v>1.1687838687960099E-2</v>
      </c>
      <c r="H324" s="1012">
        <v>0.16153277340602801</v>
      </c>
      <c r="I324" s="1012">
        <v>2.4004767843544099E-2</v>
      </c>
      <c r="J324" s="1025"/>
      <c r="K324" s="1026">
        <v>1.60252519121039E-2</v>
      </c>
      <c r="L324" s="1026">
        <v>7.2069486904985302E-3</v>
      </c>
      <c r="M324" s="1026">
        <v>5.5735208096504701E-3</v>
      </c>
      <c r="N324" s="1088"/>
      <c r="O324" s="839"/>
      <c r="P324" s="1011"/>
      <c r="Q324" s="992"/>
      <c r="R324" s="1012"/>
      <c r="S324" s="1012"/>
      <c r="T324" s="1012"/>
      <c r="U324" s="1012"/>
      <c r="V324" s="1012"/>
      <c r="W324" s="1012"/>
      <c r="X324" s="1012"/>
      <c r="Y324" s="1025"/>
      <c r="Z324" s="1026"/>
      <c r="AA324" s="1026"/>
      <c r="AB324" s="1026"/>
    </row>
    <row r="325" spans="1:28">
      <c r="A325" s="1005" t="s">
        <v>333</v>
      </c>
      <c r="B325" s="1013">
        <v>1074071</v>
      </c>
      <c r="C325" s="1014">
        <v>240808</v>
      </c>
      <c r="D325" s="1015">
        <v>226256</v>
      </c>
      <c r="E325" s="1015">
        <v>98715</v>
      </c>
      <c r="F325" s="1015">
        <v>57853</v>
      </c>
      <c r="G325" s="1015">
        <v>48763</v>
      </c>
      <c r="H325" s="1015">
        <v>142026</v>
      </c>
      <c r="I325" s="1015">
        <v>115488</v>
      </c>
      <c r="J325" s="1027">
        <v>89859</v>
      </c>
      <c r="K325" s="1028">
        <v>74432</v>
      </c>
      <c r="L325" s="1028">
        <v>35014</v>
      </c>
      <c r="M325" s="1028">
        <v>32704</v>
      </c>
      <c r="N325" s="1089"/>
      <c r="O325" s="839"/>
      <c r="P325" s="1005" t="s">
        <v>333</v>
      </c>
      <c r="Q325" s="1037">
        <v>0.161921720549659</v>
      </c>
      <c r="R325" s="1038">
        <v>0.56043819142221196</v>
      </c>
      <c r="S325" s="1039">
        <v>0.56486457817693203</v>
      </c>
      <c r="T325" s="1039">
        <v>0.73847946107481099</v>
      </c>
      <c r="U325" s="1039">
        <v>0.78519696472093103</v>
      </c>
      <c r="V325" s="1039">
        <v>0.80704632610791005</v>
      </c>
      <c r="W325" s="1039">
        <v>0.49250137298804397</v>
      </c>
      <c r="X325" s="1039">
        <v>0.69419333610418399</v>
      </c>
      <c r="Y325" s="1064">
        <v>0.75289063978009996</v>
      </c>
      <c r="Z325" s="1065">
        <v>0.79045303095442798</v>
      </c>
      <c r="AA325" s="1065">
        <v>0.87399325983892195</v>
      </c>
      <c r="AB325" s="1065">
        <v>0.887628424657534</v>
      </c>
    </row>
    <row r="326" spans="1:28">
      <c r="A326" s="1016"/>
      <c r="B326" s="1080"/>
      <c r="C326" s="1018">
        <v>0.22420119340341599</v>
      </c>
      <c r="D326" s="1018">
        <v>0.210652740833707</v>
      </c>
      <c r="E326" s="1018">
        <v>9.19073320106399E-2</v>
      </c>
      <c r="F326" s="1018">
        <v>5.3863292091491197E-2</v>
      </c>
      <c r="G326" s="1018">
        <v>4.5400164421160197E-2</v>
      </c>
      <c r="H326" s="1018">
        <v>0.132231481903896</v>
      </c>
      <c r="I326" s="1018">
        <v>0.107523618084838</v>
      </c>
      <c r="J326" s="1029">
        <v>8.3662067032812495E-2</v>
      </c>
      <c r="K326" s="1030">
        <v>6.9298956959083696E-2</v>
      </c>
      <c r="L326" s="1030">
        <v>3.2599334680854401E-2</v>
      </c>
      <c r="M326" s="1030">
        <v>3.0448638870242298E-2</v>
      </c>
      <c r="N326" s="1031"/>
      <c r="O326" s="839"/>
      <c r="P326" s="1016"/>
      <c r="Q326" s="1017"/>
      <c r="R326" s="1018"/>
      <c r="S326" s="1018"/>
      <c r="T326" s="1018"/>
      <c r="U326" s="1018"/>
      <c r="V326" s="1018"/>
      <c r="W326" s="1018"/>
      <c r="X326" s="1018"/>
      <c r="Y326" s="1029"/>
      <c r="Z326" s="1030"/>
      <c r="AA326" s="1030"/>
      <c r="AB326" s="1030"/>
    </row>
    <row r="327" spans="1:28">
      <c r="A327" s="839"/>
      <c r="B327" s="842"/>
      <c r="C327" s="839"/>
      <c r="D327" s="839"/>
      <c r="E327" s="839"/>
      <c r="F327" s="839"/>
      <c r="G327" s="839"/>
      <c r="N327" s="1081"/>
      <c r="O327" s="839"/>
      <c r="P327" s="839"/>
      <c r="Q327" s="839"/>
      <c r="R327" s="839"/>
      <c r="S327" s="839"/>
      <c r="T327" s="839"/>
      <c r="U327" s="839"/>
    </row>
    <row r="328" spans="1:28">
      <c r="A328" s="839"/>
      <c r="B328" s="842"/>
      <c r="C328" s="839"/>
      <c r="D328" s="839"/>
      <c r="E328" s="839"/>
      <c r="F328" s="839"/>
      <c r="O328" s="839"/>
      <c r="P328" s="839" t="s">
        <v>302</v>
      </c>
      <c r="Q328" s="839" t="s">
        <v>363</v>
      </c>
      <c r="R328" s="839"/>
      <c r="S328" s="839"/>
      <c r="T328" s="839"/>
      <c r="U328" s="839"/>
    </row>
    <row r="329" spans="1:28">
      <c r="A329" s="955" t="s">
        <v>338</v>
      </c>
      <c r="B329" s="956"/>
      <c r="C329" s="955">
        <v>2008</v>
      </c>
      <c r="D329" s="839"/>
      <c r="E329" s="839"/>
      <c r="F329" s="839"/>
      <c r="G329" s="839"/>
      <c r="H329" s="839"/>
      <c r="I329" s="839"/>
      <c r="J329" s="839"/>
      <c r="K329" s="839"/>
      <c r="L329" s="839"/>
      <c r="M329" s="839"/>
      <c r="N329" s="839"/>
      <c r="O329" s="839"/>
      <c r="P329" s="955" t="s">
        <v>338</v>
      </c>
      <c r="Q329" s="955"/>
      <c r="R329" s="955">
        <v>2008</v>
      </c>
      <c r="S329" s="839"/>
      <c r="T329" s="839"/>
      <c r="U329" s="839"/>
      <c r="V329" s="958"/>
      <c r="W329" s="958"/>
      <c r="X329" s="958"/>
      <c r="Y329" s="958"/>
      <c r="Z329" s="958"/>
      <c r="AA329" s="958"/>
      <c r="AB329" s="958"/>
    </row>
    <row r="330" spans="1:28">
      <c r="A330" s="839"/>
      <c r="B330" s="842"/>
      <c r="C330" s="839"/>
      <c r="D330" s="839"/>
      <c r="E330" s="839"/>
      <c r="F330" s="839"/>
      <c r="G330" s="958"/>
      <c r="H330" s="958"/>
      <c r="I330" s="958"/>
      <c r="J330" s="958"/>
      <c r="K330" s="958"/>
      <c r="L330" s="958"/>
      <c r="M330" s="958"/>
      <c r="N330" s="958"/>
      <c r="O330" s="839"/>
      <c r="P330" s="839"/>
      <c r="Q330" s="839"/>
      <c r="R330" s="839"/>
      <c r="S330" s="839"/>
      <c r="T330" s="839"/>
      <c r="U330" s="839"/>
      <c r="V330" s="958"/>
      <c r="W330" s="958"/>
      <c r="X330" s="958"/>
      <c r="Y330" s="958"/>
      <c r="Z330" s="958"/>
      <c r="AA330" s="958"/>
      <c r="AB330" s="958"/>
    </row>
    <row r="331" spans="1:28">
      <c r="A331" s="959" t="s">
        <v>315</v>
      </c>
      <c r="B331" s="960" t="s">
        <v>316</v>
      </c>
      <c r="C331" s="961"/>
      <c r="D331" s="961"/>
      <c r="E331" s="961" t="s">
        <v>339</v>
      </c>
      <c r="F331" s="961"/>
      <c r="G331" s="961"/>
      <c r="H331" s="961"/>
      <c r="I331" s="961"/>
      <c r="J331" s="961"/>
      <c r="K331" s="959" t="s">
        <v>340</v>
      </c>
      <c r="L331" s="959" t="s">
        <v>341</v>
      </c>
      <c r="M331" s="959" t="s">
        <v>342</v>
      </c>
      <c r="N331" s="1086"/>
      <c r="O331" s="839"/>
      <c r="P331" s="959" t="s">
        <v>315</v>
      </c>
      <c r="Q331" s="990" t="s">
        <v>316</v>
      </c>
      <c r="R331" s="961"/>
      <c r="S331" s="961"/>
      <c r="T331" s="961" t="s">
        <v>343</v>
      </c>
      <c r="U331" s="961"/>
      <c r="V331" s="961"/>
      <c r="W331" s="961"/>
      <c r="X331" s="961"/>
      <c r="Y331" s="961"/>
      <c r="Z331" s="959" t="s">
        <v>340</v>
      </c>
      <c r="AA331" s="959" t="s">
        <v>341</v>
      </c>
      <c r="AB331" s="959" t="s">
        <v>342</v>
      </c>
    </row>
    <row r="332" spans="1:28">
      <c r="A332" s="962" t="s">
        <v>344</v>
      </c>
      <c r="B332" s="963" t="s">
        <v>320</v>
      </c>
      <c r="C332" s="964"/>
      <c r="D332" s="964"/>
      <c r="E332" s="964" t="s">
        <v>345</v>
      </c>
      <c r="F332" s="964"/>
      <c r="G332" s="964"/>
      <c r="H332" s="964"/>
      <c r="I332" s="964"/>
      <c r="J332" s="964"/>
      <c r="K332" s="982" t="s">
        <v>346</v>
      </c>
      <c r="L332" s="982" t="s">
        <v>346</v>
      </c>
      <c r="M332" s="982" t="s">
        <v>346</v>
      </c>
      <c r="N332" s="1086"/>
      <c r="O332" s="839"/>
      <c r="P332" s="962" t="s">
        <v>344</v>
      </c>
      <c r="Q332" s="991" t="s">
        <v>320</v>
      </c>
      <c r="R332" s="964"/>
      <c r="S332" s="964"/>
      <c r="T332" s="964" t="s">
        <v>347</v>
      </c>
      <c r="U332" s="964"/>
      <c r="V332" s="964"/>
      <c r="W332" s="964"/>
      <c r="X332" s="964"/>
      <c r="Y332" s="964"/>
      <c r="Z332" s="982" t="s">
        <v>346</v>
      </c>
      <c r="AA332" s="982" t="s">
        <v>346</v>
      </c>
      <c r="AB332" s="982" t="s">
        <v>346</v>
      </c>
    </row>
    <row r="333" spans="1:28">
      <c r="A333" s="962" t="s">
        <v>325</v>
      </c>
      <c r="B333" s="963" t="s">
        <v>61</v>
      </c>
      <c r="C333" s="965" t="s">
        <v>326</v>
      </c>
      <c r="D333" s="965" t="s">
        <v>348</v>
      </c>
      <c r="E333" s="965"/>
      <c r="F333" s="965"/>
      <c r="G333" s="965"/>
      <c r="H333" s="965"/>
      <c r="I333" s="965"/>
      <c r="J333" s="983" t="s">
        <v>126</v>
      </c>
      <c r="K333" s="962" t="s">
        <v>349</v>
      </c>
      <c r="L333" s="962" t="s">
        <v>350</v>
      </c>
      <c r="M333" s="962" t="s">
        <v>350</v>
      </c>
      <c r="N333" s="1087"/>
      <c r="O333" s="839"/>
      <c r="P333" s="962" t="s">
        <v>325</v>
      </c>
      <c r="Q333" s="991" t="s">
        <v>61</v>
      </c>
      <c r="R333" s="965" t="s">
        <v>326</v>
      </c>
      <c r="S333" s="965" t="s">
        <v>348</v>
      </c>
      <c r="T333" s="965"/>
      <c r="U333" s="965"/>
      <c r="V333" s="965"/>
      <c r="W333" s="965"/>
      <c r="X333" s="965"/>
      <c r="Y333" s="983" t="s">
        <v>126</v>
      </c>
      <c r="Z333" s="962" t="s">
        <v>349</v>
      </c>
      <c r="AA333" s="962" t="s">
        <v>350</v>
      </c>
      <c r="AB333" s="962" t="s">
        <v>350</v>
      </c>
    </row>
    <row r="334" spans="1:28">
      <c r="A334" s="966"/>
      <c r="B334" s="967"/>
      <c r="C334" s="968" t="s">
        <v>328</v>
      </c>
      <c r="D334" s="968" t="s">
        <v>352</v>
      </c>
      <c r="E334" s="968" t="s">
        <v>54</v>
      </c>
      <c r="F334" s="968" t="s">
        <v>55</v>
      </c>
      <c r="G334" s="968" t="s">
        <v>329</v>
      </c>
      <c r="H334" s="968" t="s">
        <v>353</v>
      </c>
      <c r="I334" s="968" t="s">
        <v>330</v>
      </c>
      <c r="J334" s="964" t="s">
        <v>354</v>
      </c>
      <c r="K334" s="984" t="s">
        <v>355</v>
      </c>
      <c r="L334" s="984" t="s">
        <v>356</v>
      </c>
      <c r="M334" s="984" t="s">
        <v>357</v>
      </c>
      <c r="N334" s="1086"/>
      <c r="O334" s="839"/>
      <c r="P334" s="966"/>
      <c r="Q334" s="992"/>
      <c r="R334" s="968" t="s">
        <v>328</v>
      </c>
      <c r="S334" s="968" t="s">
        <v>352</v>
      </c>
      <c r="T334" s="968" t="s">
        <v>54</v>
      </c>
      <c r="U334" s="968" t="s">
        <v>55</v>
      </c>
      <c r="V334" s="968" t="s">
        <v>329</v>
      </c>
      <c r="W334" s="968" t="s">
        <v>353</v>
      </c>
      <c r="X334" s="968" t="s">
        <v>330</v>
      </c>
      <c r="Y334" s="964" t="s">
        <v>354</v>
      </c>
      <c r="Z334" s="984" t="s">
        <v>355</v>
      </c>
      <c r="AA334" s="984" t="s">
        <v>356</v>
      </c>
      <c r="AB334" s="984" t="s">
        <v>357</v>
      </c>
    </row>
    <row r="335" spans="1:28">
      <c r="A335" s="969" t="s">
        <v>54</v>
      </c>
      <c r="B335" s="970">
        <v>132401</v>
      </c>
      <c r="C335" s="971">
        <v>48635</v>
      </c>
      <c r="D335" s="971">
        <v>46771</v>
      </c>
      <c r="E335" s="1325" t="s">
        <v>245</v>
      </c>
      <c r="F335" s="971">
        <v>17986</v>
      </c>
      <c r="G335" s="971">
        <v>9085</v>
      </c>
      <c r="H335" s="971">
        <v>42610</v>
      </c>
      <c r="I335" s="971">
        <v>25081</v>
      </c>
      <c r="J335" s="985">
        <v>20718</v>
      </c>
      <c r="K335" s="986">
        <v>16889</v>
      </c>
      <c r="L335" s="986">
        <v>7169</v>
      </c>
      <c r="M335" s="986">
        <v>6704</v>
      </c>
      <c r="N335" s="985"/>
      <c r="O335" s="839"/>
      <c r="P335" s="969" t="s">
        <v>54</v>
      </c>
      <c r="Q335" s="993">
        <v>0.35448768534285802</v>
      </c>
      <c r="R335" s="994">
        <v>0.71547239642232996</v>
      </c>
      <c r="S335" s="994">
        <v>0.72016848046866599</v>
      </c>
      <c r="T335" s="1325" t="s">
        <v>245</v>
      </c>
      <c r="U335" s="994">
        <v>0.83870788390970796</v>
      </c>
      <c r="V335" s="994">
        <v>0.89201981287837095</v>
      </c>
      <c r="W335" s="994">
        <v>0.73414691386998399</v>
      </c>
      <c r="X335" s="994">
        <v>0.82313304892149397</v>
      </c>
      <c r="Y335" s="1001">
        <v>0.84588280722077402</v>
      </c>
      <c r="Z335" s="996">
        <v>0.85517200544733296</v>
      </c>
      <c r="AA335" s="996">
        <v>0.91686427674710602</v>
      </c>
      <c r="AB335" s="996">
        <v>0.92332935560859197</v>
      </c>
    </row>
    <row r="336" spans="1:28">
      <c r="A336" s="972"/>
      <c r="B336" s="973"/>
      <c r="C336" s="974">
        <v>0.36733106245421099</v>
      </c>
      <c r="D336" s="974">
        <v>0.35325261893792298</v>
      </c>
      <c r="E336" s="974"/>
      <c r="F336" s="974">
        <v>0.13584489543130299</v>
      </c>
      <c r="G336" s="974">
        <v>6.8617306515811799E-2</v>
      </c>
      <c r="H336" s="974">
        <v>0.32182536385676802</v>
      </c>
      <c r="I336" s="974">
        <v>0.18943210398713001</v>
      </c>
      <c r="J336" s="987">
        <v>0.15647918067084099</v>
      </c>
      <c r="K336" s="987">
        <v>0.127559459520698</v>
      </c>
      <c r="L336" s="987">
        <v>5.4146116721172803E-2</v>
      </c>
      <c r="M336" s="987">
        <v>5.06340586551461E-2</v>
      </c>
      <c r="N336" s="1088"/>
      <c r="O336" s="839"/>
      <c r="P336" s="972"/>
      <c r="Q336" s="995"/>
      <c r="R336" s="974"/>
      <c r="S336" s="974"/>
      <c r="T336" s="974"/>
      <c r="U336" s="974"/>
      <c r="V336" s="974"/>
      <c r="W336" s="974"/>
      <c r="X336" s="974"/>
      <c r="Y336" s="1002"/>
      <c r="Z336" s="1003"/>
      <c r="AA336" s="1003"/>
      <c r="AB336" s="1003"/>
    </row>
    <row r="337" spans="1:28">
      <c r="A337" s="969" t="s">
        <v>55</v>
      </c>
      <c r="B337" s="975">
        <v>317528</v>
      </c>
      <c r="C337" s="971">
        <v>70509</v>
      </c>
      <c r="D337" s="971">
        <v>69208</v>
      </c>
      <c r="E337" s="971">
        <v>26146</v>
      </c>
      <c r="F337" s="1325" t="s">
        <v>245</v>
      </c>
      <c r="G337" s="971">
        <v>16640</v>
      </c>
      <c r="H337" s="971">
        <v>60981</v>
      </c>
      <c r="I337" s="971">
        <v>34894</v>
      </c>
      <c r="J337" s="985">
        <v>15724</v>
      </c>
      <c r="K337" s="986">
        <v>24043</v>
      </c>
      <c r="L337" s="986">
        <v>8467</v>
      </c>
      <c r="M337" s="986">
        <v>7794</v>
      </c>
      <c r="N337" s="985"/>
      <c r="O337" s="839"/>
      <c r="P337" s="969" t="s">
        <v>55</v>
      </c>
      <c r="Q337" s="996">
        <v>0.10290900300783599</v>
      </c>
      <c r="R337" s="994">
        <v>0.38524160036307398</v>
      </c>
      <c r="S337" s="994">
        <v>0.37771644896543799</v>
      </c>
      <c r="T337" s="994">
        <v>0.59152451617838298</v>
      </c>
      <c r="U337" s="1325" t="s">
        <v>245</v>
      </c>
      <c r="V337" s="994">
        <v>0.62259615384615397</v>
      </c>
      <c r="W337" s="994">
        <v>0.38138108591200498</v>
      </c>
      <c r="X337" s="994">
        <v>0.54327391528629598</v>
      </c>
      <c r="Y337" s="1001">
        <v>0.63285423556346998</v>
      </c>
      <c r="Z337" s="996">
        <v>0.60903381441583804</v>
      </c>
      <c r="AA337" s="996">
        <v>0.77796149757883504</v>
      </c>
      <c r="AB337" s="996">
        <v>0.800102643058763</v>
      </c>
    </row>
    <row r="338" spans="1:28">
      <c r="A338" s="972"/>
      <c r="B338" s="973"/>
      <c r="C338" s="974">
        <v>0.222056007659167</v>
      </c>
      <c r="D338" s="974">
        <v>0.217958731198508</v>
      </c>
      <c r="E338" s="974">
        <v>8.2342344612128707E-2</v>
      </c>
      <c r="F338" s="974"/>
      <c r="G338" s="974">
        <v>5.2404827290821597E-2</v>
      </c>
      <c r="H338" s="974">
        <v>0.19204920510947099</v>
      </c>
      <c r="I338" s="974">
        <v>0.109892670882568</v>
      </c>
      <c r="J338" s="987">
        <v>4.9520042326975898E-2</v>
      </c>
      <c r="K338" s="987">
        <v>7.5719306643823495E-2</v>
      </c>
      <c r="L338" s="987">
        <v>2.6665364944193901E-2</v>
      </c>
      <c r="M338" s="987">
        <v>2.4545866821193699E-2</v>
      </c>
      <c r="N338" s="1088"/>
      <c r="O338" s="839"/>
      <c r="P338" s="972"/>
      <c r="Q338" s="995"/>
      <c r="R338" s="974"/>
      <c r="S338" s="974"/>
      <c r="T338" s="974"/>
      <c r="U338" s="974"/>
      <c r="V338" s="974"/>
      <c r="W338" s="974"/>
      <c r="X338" s="974"/>
      <c r="Y338" s="1002"/>
      <c r="Z338" s="1003"/>
      <c r="AA338" s="1003"/>
      <c r="AB338" s="1003"/>
    </row>
    <row r="339" spans="1:28">
      <c r="A339" s="969" t="s">
        <v>329</v>
      </c>
      <c r="B339" s="975">
        <v>126691</v>
      </c>
      <c r="C339" s="971">
        <v>18824</v>
      </c>
      <c r="D339" s="971">
        <v>18652</v>
      </c>
      <c r="E339" s="971">
        <v>5112</v>
      </c>
      <c r="F339" s="971">
        <v>5097</v>
      </c>
      <c r="G339" s="1325" t="s">
        <v>245</v>
      </c>
      <c r="H339" s="971">
        <v>16868</v>
      </c>
      <c r="I339" s="971">
        <v>7055</v>
      </c>
      <c r="J339" s="985">
        <v>2601</v>
      </c>
      <c r="K339" s="986">
        <v>2523</v>
      </c>
      <c r="L339" s="986">
        <v>2523</v>
      </c>
      <c r="M339" s="986">
        <v>2057</v>
      </c>
      <c r="N339" s="985"/>
      <c r="O339" s="839"/>
      <c r="P339" s="969" t="s">
        <v>329</v>
      </c>
      <c r="Q339" s="996">
        <v>7.3528407538923798E-2</v>
      </c>
      <c r="R339" s="994">
        <v>0.29850191245218899</v>
      </c>
      <c r="S339" s="994">
        <v>0.295142612052327</v>
      </c>
      <c r="T339" s="994">
        <v>0.51604068857590002</v>
      </c>
      <c r="U339" s="994">
        <v>0.48773788503040999</v>
      </c>
      <c r="V339" s="1325" t="s">
        <v>245</v>
      </c>
      <c r="W339" s="994">
        <v>0.28823808394593298</v>
      </c>
      <c r="X339" s="994">
        <v>0.46576895818568398</v>
      </c>
      <c r="Y339" s="1001">
        <v>0.49942329873125701</v>
      </c>
      <c r="Z339" s="996">
        <v>0.62029330162505003</v>
      </c>
      <c r="AA339" s="996">
        <v>0.62029330162505003</v>
      </c>
      <c r="AB339" s="996">
        <v>0.66990763247447704</v>
      </c>
    </row>
    <row r="340" spans="1:28">
      <c r="A340" s="972"/>
      <c r="B340" s="973"/>
      <c r="C340" s="974">
        <v>0.148581982934857</v>
      </c>
      <c r="D340" s="974">
        <v>0.147224349006638</v>
      </c>
      <c r="E340" s="974">
        <v>4.0350143261952298E-2</v>
      </c>
      <c r="F340" s="974">
        <v>4.0231744954258797E-2</v>
      </c>
      <c r="G340" s="974"/>
      <c r="H340" s="974">
        <v>0.13314284361162201</v>
      </c>
      <c r="I340" s="974">
        <v>5.5686670718519897E-2</v>
      </c>
      <c r="J340" s="987">
        <v>2.0530266554056702E-2</v>
      </c>
      <c r="K340" s="987">
        <v>1.99145953540504E-2</v>
      </c>
      <c r="L340" s="987">
        <v>1.99145953540504E-2</v>
      </c>
      <c r="M340" s="987">
        <v>1.6236354595038301E-2</v>
      </c>
      <c r="N340" s="1088"/>
      <c r="O340" s="839"/>
      <c r="P340" s="972"/>
      <c r="Q340" s="995"/>
      <c r="R340" s="974"/>
      <c r="S340" s="974"/>
      <c r="T340" s="974"/>
      <c r="U340" s="974"/>
      <c r="V340" s="997"/>
      <c r="W340" s="974"/>
      <c r="X340" s="974"/>
      <c r="Y340" s="1002"/>
      <c r="Z340" s="1003"/>
      <c r="AA340" s="1003"/>
      <c r="AB340" s="1003"/>
    </row>
    <row r="341" spans="1:28">
      <c r="A341" s="969" t="s">
        <v>360</v>
      </c>
      <c r="B341" s="975">
        <v>223045</v>
      </c>
      <c r="C341" s="971">
        <v>77292</v>
      </c>
      <c r="D341" s="971">
        <v>66396</v>
      </c>
      <c r="E341" s="971">
        <v>56457</v>
      </c>
      <c r="F341" s="971">
        <v>30865</v>
      </c>
      <c r="G341" s="971">
        <v>18770</v>
      </c>
      <c r="H341" s="1324" t="s">
        <v>245</v>
      </c>
      <c r="I341" s="971">
        <v>38101</v>
      </c>
      <c r="J341" s="985">
        <v>47669</v>
      </c>
      <c r="K341" s="986">
        <v>27030</v>
      </c>
      <c r="L341" s="986">
        <v>13609</v>
      </c>
      <c r="M341" s="986">
        <v>12700</v>
      </c>
      <c r="N341" s="985"/>
      <c r="O341" s="839"/>
      <c r="P341" s="969" t="s">
        <v>360</v>
      </c>
      <c r="Q341" s="996">
        <v>0.23197072502297</v>
      </c>
      <c r="R341" s="994">
        <v>0.70748589763494296</v>
      </c>
      <c r="S341" s="994">
        <v>0.75234953912886304</v>
      </c>
      <c r="T341" s="994">
        <v>0.80016649839701004</v>
      </c>
      <c r="U341" s="994">
        <v>0.82783087639721398</v>
      </c>
      <c r="V341" s="994">
        <v>0.89877464038359101</v>
      </c>
      <c r="W341" s="1324" t="s">
        <v>245</v>
      </c>
      <c r="X341" s="994">
        <v>0.78892942442455605</v>
      </c>
      <c r="Y341" s="1001">
        <v>0.75604690679477204</v>
      </c>
      <c r="Z341" s="996">
        <v>0.87081021087680399</v>
      </c>
      <c r="AA341" s="996">
        <v>0.93849658314350803</v>
      </c>
      <c r="AB341" s="996">
        <v>0.94511811023622005</v>
      </c>
    </row>
    <row r="342" spans="1:28">
      <c r="A342" s="972"/>
      <c r="B342" s="1083"/>
      <c r="C342" s="974">
        <v>0.34653096908695602</v>
      </c>
      <c r="D342" s="974">
        <v>0.29767984039095302</v>
      </c>
      <c r="E342" s="974">
        <v>0.253119325696608</v>
      </c>
      <c r="F342" s="974">
        <v>0.13838014750386701</v>
      </c>
      <c r="G342" s="974">
        <v>8.4153421955210805E-2</v>
      </c>
      <c r="H342" s="974"/>
      <c r="I342" s="974">
        <v>0.170822031428635</v>
      </c>
      <c r="J342" s="987">
        <v>0.21371920464480301</v>
      </c>
      <c r="K342" s="987">
        <v>0.121186307695756</v>
      </c>
      <c r="L342" s="987">
        <v>6.1014593467685903E-2</v>
      </c>
      <c r="M342" s="987">
        <v>5.6939182676141599E-2</v>
      </c>
      <c r="N342" s="1088"/>
      <c r="O342" s="839"/>
      <c r="P342" s="972"/>
      <c r="Q342" s="999"/>
      <c r="R342" s="974"/>
      <c r="S342" s="974"/>
      <c r="T342" s="974"/>
      <c r="U342" s="974"/>
      <c r="V342" s="974"/>
      <c r="W342" s="1082"/>
      <c r="X342" s="974"/>
      <c r="Y342" s="1002"/>
      <c r="Z342" s="1003"/>
      <c r="AA342" s="1003"/>
      <c r="AB342" s="1003"/>
    </row>
    <row r="343" spans="1:28">
      <c r="A343" s="969" t="s">
        <v>330</v>
      </c>
      <c r="B343" s="975">
        <v>194005</v>
      </c>
      <c r="C343" s="971">
        <v>9129</v>
      </c>
      <c r="D343" s="971">
        <v>8967</v>
      </c>
      <c r="E343" s="971">
        <v>2787</v>
      </c>
      <c r="F343" s="971">
        <v>1606</v>
      </c>
      <c r="G343" s="971">
        <v>809</v>
      </c>
      <c r="H343" s="971">
        <v>8194</v>
      </c>
      <c r="I343" s="1324" t="s">
        <v>245</v>
      </c>
      <c r="J343" s="985">
        <v>1050</v>
      </c>
      <c r="K343" s="986">
        <v>901</v>
      </c>
      <c r="L343" s="986">
        <v>393</v>
      </c>
      <c r="M343" s="986">
        <v>393</v>
      </c>
      <c r="N343" s="985"/>
      <c r="O343" s="839"/>
      <c r="P343" s="969" t="s">
        <v>330</v>
      </c>
      <c r="Q343" s="996">
        <v>3.9611108967752197E-2</v>
      </c>
      <c r="R343" s="994">
        <v>0.37550662723189798</v>
      </c>
      <c r="S343" s="994">
        <v>0.37370357979257302</v>
      </c>
      <c r="T343" s="994">
        <v>0.78327951202009305</v>
      </c>
      <c r="U343" s="994">
        <v>0.61083437110834404</v>
      </c>
      <c r="V343" s="994">
        <v>0.77626699629171803</v>
      </c>
      <c r="W343" s="994">
        <v>0.34940200146448602</v>
      </c>
      <c r="X343" s="1324" t="s">
        <v>245</v>
      </c>
      <c r="Y343" s="1001">
        <v>0.79142857142857104</v>
      </c>
      <c r="Z343" s="996">
        <v>0.77025527192008902</v>
      </c>
      <c r="AA343" s="996">
        <v>0.79134860050890599</v>
      </c>
      <c r="AB343" s="996">
        <v>0.79134860050890599</v>
      </c>
    </row>
    <row r="344" spans="1:28">
      <c r="A344" s="978"/>
      <c r="B344" s="1084"/>
      <c r="C344" s="980">
        <v>4.7055488260611802E-2</v>
      </c>
      <c r="D344" s="981">
        <v>4.6220458235612501E-2</v>
      </c>
      <c r="E344" s="981">
        <v>1.43656091337852E-2</v>
      </c>
      <c r="F344" s="981">
        <v>8.2781371614133598E-3</v>
      </c>
      <c r="G344" s="981">
        <v>4.16999561866962E-3</v>
      </c>
      <c r="H344" s="981">
        <v>4.2236024844720499E-2</v>
      </c>
      <c r="I344" s="981"/>
      <c r="J344" s="1004">
        <v>5.4122316435143399E-3</v>
      </c>
      <c r="K344" s="988">
        <v>4.6442102007680196E-3</v>
      </c>
      <c r="L344" s="988">
        <v>2.0257209865725098E-3</v>
      </c>
      <c r="M344" s="988">
        <v>2.0257209865725098E-3</v>
      </c>
      <c r="N344" s="1088"/>
      <c r="O344" s="839"/>
      <c r="P344" s="978"/>
      <c r="Q344" s="1000"/>
      <c r="R344" s="981"/>
      <c r="S344" s="981"/>
      <c r="T344" s="981"/>
      <c r="U344" s="981"/>
      <c r="V344" s="981"/>
      <c r="W344" s="981"/>
      <c r="X344" s="981"/>
      <c r="Y344" s="1004"/>
      <c r="Z344" s="988"/>
      <c r="AA344" s="988"/>
      <c r="AB344" s="988"/>
    </row>
    <row r="345" spans="1:28">
      <c r="A345" s="1005" t="s">
        <v>361</v>
      </c>
      <c r="B345" s="1085">
        <v>993670</v>
      </c>
      <c r="C345" s="1007">
        <v>224389</v>
      </c>
      <c r="D345" s="1007">
        <v>209994</v>
      </c>
      <c r="E345" s="1007">
        <v>90502</v>
      </c>
      <c r="F345" s="1007">
        <v>55554</v>
      </c>
      <c r="G345" s="1007">
        <v>45304</v>
      </c>
      <c r="H345" s="1007">
        <v>128653</v>
      </c>
      <c r="I345" s="1007">
        <v>105131</v>
      </c>
      <c r="J345" s="1019">
        <v>87762</v>
      </c>
      <c r="K345" s="1020">
        <v>71386</v>
      </c>
      <c r="L345" s="1020">
        <v>32161</v>
      </c>
      <c r="M345" s="1020">
        <v>29648</v>
      </c>
      <c r="N345" s="1019"/>
      <c r="O345" s="839"/>
      <c r="P345" s="1005" t="s">
        <v>361</v>
      </c>
      <c r="Q345" s="1033">
        <v>0.160238434658246</v>
      </c>
      <c r="R345" s="1034">
        <v>0.56014332253363597</v>
      </c>
      <c r="S345" s="1034">
        <v>0.56493518862443703</v>
      </c>
      <c r="T345" s="1034">
        <v>0.72332103157941297</v>
      </c>
      <c r="U345" s="1034">
        <v>0.79387622853439899</v>
      </c>
      <c r="V345" s="1034">
        <v>0.79379304255694905</v>
      </c>
      <c r="W345" s="1034">
        <v>0.48396850442663603</v>
      </c>
      <c r="X345" s="1034">
        <v>0.69386765083562396</v>
      </c>
      <c r="Y345" s="1061">
        <v>0.74800027346687603</v>
      </c>
      <c r="Z345" s="1033">
        <v>0.76882021684924196</v>
      </c>
      <c r="AA345" s="1033">
        <v>0.86464973104070098</v>
      </c>
      <c r="AB345" s="1033">
        <v>0.88093631948192097</v>
      </c>
    </row>
    <row r="346" spans="1:28">
      <c r="A346" s="1008" t="s">
        <v>362</v>
      </c>
      <c r="B346" s="1009"/>
      <c r="C346" s="1036">
        <v>0.22581843066611701</v>
      </c>
      <c r="D346" s="1036">
        <v>0.21133172984995</v>
      </c>
      <c r="E346" s="1036">
        <v>9.1078527076393606E-2</v>
      </c>
      <c r="F346" s="1036">
        <v>5.5907896987933602E-2</v>
      </c>
      <c r="G346" s="1036">
        <v>4.5592601165376799E-2</v>
      </c>
      <c r="H346" s="1036">
        <v>0.12947256131311199</v>
      </c>
      <c r="I346" s="1036">
        <v>0.105800718548411</v>
      </c>
      <c r="J346" s="1062">
        <v>8.8321072388217403E-2</v>
      </c>
      <c r="K346" s="1063">
        <v>7.1840751959906204E-2</v>
      </c>
      <c r="L346" s="1063">
        <v>3.2365875995048698E-2</v>
      </c>
      <c r="M346" s="1063">
        <v>2.9836867370455E-2</v>
      </c>
      <c r="N346" s="1031"/>
      <c r="O346" s="839"/>
      <c r="P346" s="1008" t="s">
        <v>362</v>
      </c>
      <c r="Q346" s="1035"/>
      <c r="R346" s="1036"/>
      <c r="S346" s="1036"/>
      <c r="T346" s="1036"/>
      <c r="U346" s="1036"/>
      <c r="V346" s="1036"/>
      <c r="W346" s="1036"/>
      <c r="X346" s="1036"/>
      <c r="Y346" s="1062"/>
      <c r="Z346" s="1063"/>
      <c r="AA346" s="1063"/>
      <c r="AB346" s="1063"/>
    </row>
    <row r="347" spans="1:28">
      <c r="A347" s="969" t="s">
        <v>59</v>
      </c>
      <c r="B347" s="975">
        <v>108544</v>
      </c>
      <c r="C347" s="971">
        <v>15949</v>
      </c>
      <c r="D347" s="971">
        <v>15949</v>
      </c>
      <c r="E347" s="971">
        <v>4164</v>
      </c>
      <c r="F347" s="971">
        <v>2240</v>
      </c>
      <c r="G347" s="971">
        <v>997</v>
      </c>
      <c r="H347" s="971">
        <v>14683</v>
      </c>
      <c r="I347" s="971">
        <v>1946</v>
      </c>
      <c r="J347" s="1326" t="s">
        <v>245</v>
      </c>
      <c r="K347" s="1024">
        <v>1315</v>
      </c>
      <c r="L347" s="1024">
        <v>569</v>
      </c>
      <c r="M347" s="1024">
        <v>419</v>
      </c>
      <c r="N347" s="985"/>
      <c r="O347" s="839"/>
      <c r="P347" s="969" t="s">
        <v>59</v>
      </c>
      <c r="Q347" s="996">
        <v>8.5112094016595294E-2</v>
      </c>
      <c r="R347" s="994">
        <v>0.25895040441407002</v>
      </c>
      <c r="S347" s="994">
        <v>0.25895040441407002</v>
      </c>
      <c r="T347" s="994">
        <v>0.68587896253602298</v>
      </c>
      <c r="U347" s="994">
        <v>0.48526785714285697</v>
      </c>
      <c r="V347" s="994">
        <v>0.69107321965897694</v>
      </c>
      <c r="W347" s="994">
        <v>0.24436423074303601</v>
      </c>
      <c r="X347" s="994">
        <v>0.84583761562178805</v>
      </c>
      <c r="Y347" s="1324" t="s">
        <v>245</v>
      </c>
      <c r="Z347" s="996">
        <v>0.70418250950570305</v>
      </c>
      <c r="AA347" s="996">
        <v>0.85061511423550096</v>
      </c>
      <c r="AB347" s="996">
        <v>0.97136038186157503</v>
      </c>
    </row>
    <row r="348" spans="1:28">
      <c r="A348" s="1011"/>
      <c r="B348" s="967"/>
      <c r="C348" s="1012">
        <v>0.14693580483490601</v>
      </c>
      <c r="D348" s="1012">
        <v>0.14693580483490601</v>
      </c>
      <c r="E348" s="1012">
        <v>3.8362323113207503E-2</v>
      </c>
      <c r="F348" s="1012">
        <v>2.0636792452830201E-2</v>
      </c>
      <c r="G348" s="1012">
        <v>9.1852152122641507E-3</v>
      </c>
      <c r="H348" s="1012">
        <v>0.13527233195754701</v>
      </c>
      <c r="I348" s="1012">
        <v>1.79282134433962E-2</v>
      </c>
      <c r="J348" s="1025"/>
      <c r="K348" s="1026">
        <v>1.2114902712264199E-2</v>
      </c>
      <c r="L348" s="1026">
        <v>5.2421137971698098E-3</v>
      </c>
      <c r="M348" s="1026">
        <v>3.8601857311320801E-3</v>
      </c>
      <c r="N348" s="1088"/>
      <c r="O348" s="839"/>
      <c r="P348" s="1011"/>
      <c r="Q348" s="992"/>
      <c r="R348" s="1012"/>
      <c r="S348" s="1012"/>
      <c r="T348" s="1012"/>
      <c r="U348" s="1012"/>
      <c r="V348" s="1012"/>
      <c r="W348" s="1012"/>
      <c r="X348" s="1012"/>
      <c r="Y348" s="1025"/>
      <c r="Z348" s="1026"/>
      <c r="AA348" s="1026"/>
      <c r="AB348" s="1026"/>
    </row>
    <row r="349" spans="1:28">
      <c r="A349" s="1005" t="s">
        <v>333</v>
      </c>
      <c r="B349" s="1013">
        <v>1102214</v>
      </c>
      <c r="C349" s="1014">
        <v>240338</v>
      </c>
      <c r="D349" s="1015">
        <v>225943</v>
      </c>
      <c r="E349" s="1015">
        <v>94666</v>
      </c>
      <c r="F349" s="1015">
        <v>57794</v>
      </c>
      <c r="G349" s="1015">
        <v>46301</v>
      </c>
      <c r="H349" s="1015">
        <v>143336</v>
      </c>
      <c r="I349" s="1015">
        <v>107077</v>
      </c>
      <c r="J349" s="1027">
        <v>87762</v>
      </c>
      <c r="K349" s="1028">
        <v>72701</v>
      </c>
      <c r="L349" s="1028">
        <v>32730</v>
      </c>
      <c r="M349" s="1028">
        <v>30067</v>
      </c>
      <c r="N349" s="1089"/>
      <c r="O349" s="839"/>
      <c r="P349" s="1005" t="s">
        <v>333</v>
      </c>
      <c r="Q349" s="1037">
        <v>0.15474709837461201</v>
      </c>
      <c r="R349" s="1038">
        <v>0.54015594704125003</v>
      </c>
      <c r="S349" s="1039">
        <v>0.54333615115316702</v>
      </c>
      <c r="T349" s="1039">
        <v>0.72167409629645296</v>
      </c>
      <c r="U349" s="1039">
        <v>0.78191507768972601</v>
      </c>
      <c r="V349" s="1039">
        <v>0.79158117535258399</v>
      </c>
      <c r="W349" s="1039">
        <v>0.45942401071608002</v>
      </c>
      <c r="X349" s="1039">
        <v>0.69662952828338498</v>
      </c>
      <c r="Y349" s="1064">
        <v>0.74800027346687603</v>
      </c>
      <c r="Z349" s="1065">
        <v>0.76765106394685101</v>
      </c>
      <c r="AA349" s="1065">
        <v>0.86440574396578096</v>
      </c>
      <c r="AB349" s="1065">
        <v>0.88219642797751696</v>
      </c>
    </row>
    <row r="350" spans="1:28">
      <c r="A350" s="1016"/>
      <c r="B350" s="1080"/>
      <c r="C350" s="1018">
        <v>0.218050215293945</v>
      </c>
      <c r="D350" s="1018">
        <v>0.204990138031272</v>
      </c>
      <c r="E350" s="1018">
        <v>8.5887132625787704E-2</v>
      </c>
      <c r="F350" s="1018">
        <v>5.2434463724830203E-2</v>
      </c>
      <c r="G350" s="1018">
        <v>4.2007269005837303E-2</v>
      </c>
      <c r="H350" s="1018">
        <v>0.130043712019626</v>
      </c>
      <c r="I350" s="1018">
        <v>9.7147196460941304E-2</v>
      </c>
      <c r="J350" s="1029">
        <v>7.9623376222766204E-2</v>
      </c>
      <c r="K350" s="1030">
        <v>6.5959060581701895E-2</v>
      </c>
      <c r="L350" s="1030">
        <v>2.96947779650776E-2</v>
      </c>
      <c r="M350" s="1030">
        <v>2.7278731716345501E-2</v>
      </c>
      <c r="N350" s="1031"/>
      <c r="O350" s="839"/>
      <c r="P350" s="1016"/>
      <c r="Q350" s="1017"/>
      <c r="R350" s="1018"/>
      <c r="S350" s="1018"/>
      <c r="T350" s="1018"/>
      <c r="U350" s="1018"/>
      <c r="V350" s="1018"/>
      <c r="W350" s="1018"/>
      <c r="X350" s="1018"/>
      <c r="Y350" s="1029"/>
      <c r="Z350" s="1030"/>
      <c r="AA350" s="1030"/>
      <c r="AB350" s="1030"/>
    </row>
    <row r="351" spans="1:28">
      <c r="A351" s="839"/>
      <c r="B351" s="842"/>
      <c r="C351" s="839"/>
      <c r="D351" s="839"/>
      <c r="E351" s="839"/>
      <c r="F351" s="839"/>
      <c r="G351" s="839"/>
      <c r="N351" s="1081"/>
      <c r="O351" s="839"/>
      <c r="P351" s="839"/>
      <c r="Q351" s="839"/>
      <c r="R351" s="839"/>
      <c r="S351" s="839"/>
      <c r="T351" s="839"/>
      <c r="U351" s="839"/>
    </row>
    <row r="352" spans="1:28">
      <c r="A352" s="839"/>
      <c r="B352" s="842"/>
      <c r="C352" s="839"/>
      <c r="D352" s="839"/>
      <c r="E352" s="839"/>
      <c r="F352" s="839"/>
      <c r="O352" s="839"/>
      <c r="P352" s="839" t="s">
        <v>302</v>
      </c>
      <c r="Q352" s="839" t="s">
        <v>363</v>
      </c>
      <c r="R352" s="839"/>
      <c r="S352" s="839"/>
      <c r="T352" s="839"/>
      <c r="U352" s="839"/>
    </row>
    <row r="353" spans="1:28">
      <c r="A353" s="955" t="s">
        <v>338</v>
      </c>
      <c r="B353" s="956"/>
      <c r="C353" s="955">
        <v>2007</v>
      </c>
      <c r="D353" s="839"/>
      <c r="E353" s="839"/>
      <c r="F353" s="839"/>
      <c r="G353" s="839"/>
      <c r="H353" s="839"/>
      <c r="I353" s="839"/>
      <c r="J353" s="839"/>
      <c r="K353" s="839"/>
      <c r="L353" s="839"/>
      <c r="M353" s="839"/>
      <c r="N353" s="839"/>
      <c r="O353" s="839"/>
      <c r="P353" s="955" t="s">
        <v>338</v>
      </c>
      <c r="Q353" s="955"/>
      <c r="R353" s="955">
        <v>2007</v>
      </c>
      <c r="S353" s="839"/>
      <c r="T353" s="839"/>
      <c r="U353" s="839"/>
      <c r="V353" s="958"/>
      <c r="W353" s="958"/>
      <c r="X353" s="958"/>
      <c r="Y353" s="958"/>
      <c r="Z353" s="958"/>
      <c r="AA353" s="958"/>
      <c r="AB353" s="958"/>
    </row>
    <row r="354" spans="1:28">
      <c r="A354" s="839"/>
      <c r="B354" s="842"/>
      <c r="C354" s="839"/>
      <c r="D354" s="839"/>
      <c r="E354" s="839"/>
      <c r="F354" s="839"/>
      <c r="G354" s="958"/>
      <c r="H354" s="958"/>
      <c r="I354" s="958"/>
      <c r="J354" s="958"/>
      <c r="K354" s="958"/>
      <c r="L354" s="958"/>
      <c r="M354" s="958"/>
      <c r="N354" s="958"/>
      <c r="O354" s="839"/>
      <c r="P354" s="839"/>
      <c r="Q354" s="839"/>
      <c r="R354" s="839"/>
      <c r="S354" s="839"/>
      <c r="T354" s="839"/>
      <c r="U354" s="839"/>
      <c r="V354" s="958"/>
      <c r="W354" s="958"/>
      <c r="X354" s="958"/>
      <c r="Y354" s="958"/>
      <c r="Z354" s="958"/>
      <c r="AA354" s="958"/>
      <c r="AB354" s="958"/>
    </row>
    <row r="355" spans="1:28">
      <c r="A355" s="959" t="s">
        <v>315</v>
      </c>
      <c r="B355" s="960" t="s">
        <v>316</v>
      </c>
      <c r="C355" s="961"/>
      <c r="D355" s="961"/>
      <c r="E355" s="961" t="s">
        <v>339</v>
      </c>
      <c r="F355" s="961"/>
      <c r="G355" s="961"/>
      <c r="H355" s="961"/>
      <c r="I355" s="961"/>
      <c r="J355" s="961"/>
      <c r="K355" s="959" t="s">
        <v>340</v>
      </c>
      <c r="L355" s="959" t="s">
        <v>341</v>
      </c>
      <c r="M355" s="959" t="s">
        <v>342</v>
      </c>
      <c r="N355" s="1086"/>
      <c r="O355" s="839"/>
      <c r="P355" s="959" t="s">
        <v>315</v>
      </c>
      <c r="Q355" s="990" t="s">
        <v>316</v>
      </c>
      <c r="R355" s="961"/>
      <c r="S355" s="961"/>
      <c r="T355" s="961" t="s">
        <v>343</v>
      </c>
      <c r="U355" s="961"/>
      <c r="V355" s="961"/>
      <c r="W355" s="961"/>
      <c r="X355" s="961"/>
      <c r="Y355" s="961"/>
      <c r="Z355" s="959" t="s">
        <v>340</v>
      </c>
      <c r="AA355" s="959" t="s">
        <v>341</v>
      </c>
      <c r="AB355" s="959" t="s">
        <v>342</v>
      </c>
    </row>
    <row r="356" spans="1:28">
      <c r="A356" s="962" t="s">
        <v>344</v>
      </c>
      <c r="B356" s="963" t="s">
        <v>320</v>
      </c>
      <c r="C356" s="964"/>
      <c r="D356" s="964"/>
      <c r="E356" s="964" t="s">
        <v>345</v>
      </c>
      <c r="F356" s="964"/>
      <c r="G356" s="964"/>
      <c r="H356" s="964"/>
      <c r="I356" s="964"/>
      <c r="J356" s="964"/>
      <c r="K356" s="982" t="s">
        <v>346</v>
      </c>
      <c r="L356" s="982" t="s">
        <v>346</v>
      </c>
      <c r="M356" s="982" t="s">
        <v>346</v>
      </c>
      <c r="N356" s="1086"/>
      <c r="O356" s="839"/>
      <c r="P356" s="962" t="s">
        <v>344</v>
      </c>
      <c r="Q356" s="991" t="s">
        <v>320</v>
      </c>
      <c r="R356" s="964"/>
      <c r="S356" s="964"/>
      <c r="T356" s="964" t="s">
        <v>347</v>
      </c>
      <c r="U356" s="964"/>
      <c r="V356" s="964"/>
      <c r="W356" s="964"/>
      <c r="X356" s="964"/>
      <c r="Y356" s="964"/>
      <c r="Z356" s="982" t="s">
        <v>346</v>
      </c>
      <c r="AA356" s="982" t="s">
        <v>346</v>
      </c>
      <c r="AB356" s="982" t="s">
        <v>346</v>
      </c>
    </row>
    <row r="357" spans="1:28">
      <c r="A357" s="962" t="s">
        <v>325</v>
      </c>
      <c r="B357" s="963" t="s">
        <v>61</v>
      </c>
      <c r="C357" s="965" t="s">
        <v>326</v>
      </c>
      <c r="D357" s="965" t="s">
        <v>348</v>
      </c>
      <c r="E357" s="965"/>
      <c r="F357" s="965"/>
      <c r="G357" s="965"/>
      <c r="H357" s="965"/>
      <c r="I357" s="965"/>
      <c r="J357" s="983" t="s">
        <v>126</v>
      </c>
      <c r="K357" s="962" t="s">
        <v>349</v>
      </c>
      <c r="L357" s="962" t="s">
        <v>350</v>
      </c>
      <c r="M357" s="962" t="s">
        <v>350</v>
      </c>
      <c r="N357" s="1087"/>
      <c r="O357" s="839"/>
      <c r="P357" s="962" t="s">
        <v>325</v>
      </c>
      <c r="Q357" s="991" t="s">
        <v>61</v>
      </c>
      <c r="R357" s="965" t="s">
        <v>326</v>
      </c>
      <c r="S357" s="965" t="s">
        <v>348</v>
      </c>
      <c r="T357" s="965"/>
      <c r="U357" s="965"/>
      <c r="V357" s="965"/>
      <c r="W357" s="965"/>
      <c r="X357" s="965"/>
      <c r="Y357" s="983" t="s">
        <v>126</v>
      </c>
      <c r="Z357" s="962" t="s">
        <v>349</v>
      </c>
      <c r="AA357" s="962" t="s">
        <v>350</v>
      </c>
      <c r="AB357" s="962" t="s">
        <v>350</v>
      </c>
    </row>
    <row r="358" spans="1:28">
      <c r="A358" s="966"/>
      <c r="B358" s="967"/>
      <c r="C358" s="968" t="s">
        <v>328</v>
      </c>
      <c r="D358" s="968" t="s">
        <v>352</v>
      </c>
      <c r="E358" s="968" t="s">
        <v>54</v>
      </c>
      <c r="F358" s="968" t="s">
        <v>55</v>
      </c>
      <c r="G358" s="968" t="s">
        <v>329</v>
      </c>
      <c r="H358" s="968" t="s">
        <v>353</v>
      </c>
      <c r="I358" s="968" t="s">
        <v>330</v>
      </c>
      <c r="J358" s="964" t="s">
        <v>354</v>
      </c>
      <c r="K358" s="984" t="s">
        <v>355</v>
      </c>
      <c r="L358" s="984" t="s">
        <v>356</v>
      </c>
      <c r="M358" s="984" t="s">
        <v>357</v>
      </c>
      <c r="N358" s="1086"/>
      <c r="O358" s="839"/>
      <c r="P358" s="966"/>
      <c r="Q358" s="992"/>
      <c r="R358" s="968" t="s">
        <v>328</v>
      </c>
      <c r="S358" s="968" t="s">
        <v>352</v>
      </c>
      <c r="T358" s="968" t="s">
        <v>54</v>
      </c>
      <c r="U358" s="968" t="s">
        <v>55</v>
      </c>
      <c r="V358" s="968" t="s">
        <v>329</v>
      </c>
      <c r="W358" s="968" t="s">
        <v>353</v>
      </c>
      <c r="X358" s="968" t="s">
        <v>330</v>
      </c>
      <c r="Y358" s="964" t="s">
        <v>354</v>
      </c>
      <c r="Z358" s="984" t="s">
        <v>355</v>
      </c>
      <c r="AA358" s="984" t="s">
        <v>356</v>
      </c>
      <c r="AB358" s="984" t="s">
        <v>357</v>
      </c>
    </row>
    <row r="359" spans="1:28">
      <c r="A359" s="969" t="s">
        <v>54</v>
      </c>
      <c r="B359" s="970">
        <v>131364</v>
      </c>
      <c r="C359" s="971">
        <v>49715</v>
      </c>
      <c r="D359" s="971">
        <v>47406</v>
      </c>
      <c r="E359" s="1325" t="s">
        <v>245</v>
      </c>
      <c r="F359" s="971">
        <v>18637</v>
      </c>
      <c r="G359" s="971">
        <v>8522</v>
      </c>
      <c r="H359" s="971">
        <v>43451</v>
      </c>
      <c r="I359" s="971">
        <v>23384</v>
      </c>
      <c r="J359" s="985">
        <v>20901</v>
      </c>
      <c r="K359" s="986">
        <v>17495</v>
      </c>
      <c r="L359" s="986">
        <v>6735</v>
      </c>
      <c r="M359" s="986">
        <v>6085</v>
      </c>
      <c r="N359" s="985"/>
      <c r="O359" s="839"/>
      <c r="P359" s="969" t="s">
        <v>54</v>
      </c>
      <c r="Q359" s="993">
        <v>0.370183789042143</v>
      </c>
      <c r="R359" s="994">
        <v>0.69777733078547699</v>
      </c>
      <c r="S359" s="994">
        <v>0.70303337130321097</v>
      </c>
      <c r="T359" s="1325" t="s">
        <v>245</v>
      </c>
      <c r="U359" s="994">
        <v>0.80882116220421696</v>
      </c>
      <c r="V359" s="994">
        <v>0.86892748181178103</v>
      </c>
      <c r="W359" s="994">
        <v>0.71312512945616902</v>
      </c>
      <c r="X359" s="994">
        <v>0.80349811837153595</v>
      </c>
      <c r="Y359" s="1001">
        <v>0.817090091383187</v>
      </c>
      <c r="Z359" s="996">
        <v>0.82234924264075404</v>
      </c>
      <c r="AA359" s="996">
        <v>0.89888641425389804</v>
      </c>
      <c r="AB359" s="996">
        <v>0.90484798685291701</v>
      </c>
    </row>
    <row r="360" spans="1:28">
      <c r="A360" s="972"/>
      <c r="B360" s="973"/>
      <c r="C360" s="974">
        <v>0.37845223957857599</v>
      </c>
      <c r="D360" s="974">
        <v>0.36087512560518897</v>
      </c>
      <c r="E360" s="974"/>
      <c r="F360" s="974">
        <v>0.141872963673457</v>
      </c>
      <c r="G360" s="974">
        <v>6.4873176821655901E-2</v>
      </c>
      <c r="H360" s="974">
        <v>0.33076794251088598</v>
      </c>
      <c r="I360" s="974">
        <v>0.17800919582229499</v>
      </c>
      <c r="J360" s="987">
        <v>0.159107518041473</v>
      </c>
      <c r="K360" s="987">
        <v>0.13317956213269999</v>
      </c>
      <c r="L360" s="987">
        <v>5.1269754270576402E-2</v>
      </c>
      <c r="M360" s="987">
        <v>4.6321671081879401E-2</v>
      </c>
      <c r="N360" s="1088"/>
      <c r="O360" s="839"/>
      <c r="P360" s="972"/>
      <c r="Q360" s="995"/>
      <c r="R360" s="974"/>
      <c r="S360" s="974"/>
      <c r="T360" s="974"/>
      <c r="U360" s="974"/>
      <c r="V360" s="974"/>
      <c r="W360" s="974"/>
      <c r="X360" s="974"/>
      <c r="Y360" s="1002"/>
      <c r="Z360" s="1003"/>
      <c r="AA360" s="1003"/>
      <c r="AB360" s="1003"/>
    </row>
    <row r="361" spans="1:28">
      <c r="A361" s="969" t="s">
        <v>55</v>
      </c>
      <c r="B361" s="975">
        <v>321375</v>
      </c>
      <c r="C361" s="971">
        <v>74495</v>
      </c>
      <c r="D361" s="971">
        <v>72885</v>
      </c>
      <c r="E361" s="971">
        <v>28510</v>
      </c>
      <c r="F361" s="1325" t="s">
        <v>245</v>
      </c>
      <c r="G361" s="971">
        <v>18608</v>
      </c>
      <c r="H361" s="971">
        <v>65054</v>
      </c>
      <c r="I361" s="971">
        <v>36025</v>
      </c>
      <c r="J361" s="985">
        <v>17319</v>
      </c>
      <c r="K361" s="986">
        <v>26580</v>
      </c>
      <c r="L361" s="986">
        <v>9340</v>
      </c>
      <c r="M361" s="986">
        <v>8278</v>
      </c>
      <c r="N361" s="985"/>
      <c r="O361" s="839"/>
      <c r="P361" s="969" t="s">
        <v>55</v>
      </c>
      <c r="Q361" s="996">
        <v>0.102532509497666</v>
      </c>
      <c r="R361" s="994">
        <v>0.35805087589771101</v>
      </c>
      <c r="S361" s="994">
        <v>0.34819235782396901</v>
      </c>
      <c r="T361" s="994">
        <v>0.53679410733076105</v>
      </c>
      <c r="U361" s="1325" t="s">
        <v>245</v>
      </c>
      <c r="V361" s="994">
        <v>0.53665090283748895</v>
      </c>
      <c r="W361" s="994">
        <v>0.35087773234543601</v>
      </c>
      <c r="X361" s="994">
        <v>0.47616932685634999</v>
      </c>
      <c r="Y361" s="1001">
        <v>0.58900629366591595</v>
      </c>
      <c r="Z361" s="996">
        <v>0.54823175319789297</v>
      </c>
      <c r="AA361" s="996">
        <v>0.70139186295503197</v>
      </c>
      <c r="AB361" s="996">
        <v>0.72420874607393104</v>
      </c>
    </row>
    <row r="362" spans="1:28">
      <c r="A362" s="972"/>
      <c r="B362" s="973"/>
      <c r="C362" s="974">
        <v>0.23180085569817199</v>
      </c>
      <c r="D362" s="974">
        <v>0.226791131855309</v>
      </c>
      <c r="E362" s="974">
        <v>8.8712563204978598E-2</v>
      </c>
      <c r="F362" s="974"/>
      <c r="G362" s="974">
        <v>5.7901205756515001E-2</v>
      </c>
      <c r="H362" s="974">
        <v>0.20242395954881401</v>
      </c>
      <c r="I362" s="974">
        <v>0.112096460521198</v>
      </c>
      <c r="J362" s="987">
        <v>5.38903150525087E-2</v>
      </c>
      <c r="K362" s="987">
        <v>8.2707117852975506E-2</v>
      </c>
      <c r="L362" s="987">
        <v>2.9062621548035801E-2</v>
      </c>
      <c r="M362" s="987">
        <v>2.5758070789575999E-2</v>
      </c>
      <c r="N362" s="1088"/>
      <c r="O362" s="839"/>
      <c r="P362" s="972"/>
      <c r="Q362" s="995"/>
      <c r="R362" s="974"/>
      <c r="S362" s="974"/>
      <c r="T362" s="974"/>
      <c r="U362" s="974"/>
      <c r="V362" s="974"/>
      <c r="W362" s="974"/>
      <c r="X362" s="974"/>
      <c r="Y362" s="1002"/>
      <c r="Z362" s="1003"/>
      <c r="AA362" s="1003"/>
      <c r="AB362" s="1003"/>
    </row>
    <row r="363" spans="1:28">
      <c r="A363" s="969" t="s">
        <v>329</v>
      </c>
      <c r="B363" s="975">
        <v>128438</v>
      </c>
      <c r="C363" s="971">
        <v>21101</v>
      </c>
      <c r="D363" s="971">
        <v>20904</v>
      </c>
      <c r="E363" s="971">
        <v>6290</v>
      </c>
      <c r="F363" s="971">
        <v>6054</v>
      </c>
      <c r="G363" s="1325" t="s">
        <v>245</v>
      </c>
      <c r="H363" s="971">
        <v>19023</v>
      </c>
      <c r="I363" s="971">
        <v>8355</v>
      </c>
      <c r="J363" s="985">
        <v>3148</v>
      </c>
      <c r="K363" s="986">
        <v>3001</v>
      </c>
      <c r="L363" s="986">
        <v>3001</v>
      </c>
      <c r="M363" s="986">
        <v>2366</v>
      </c>
      <c r="N363" s="985"/>
      <c r="O363" s="839"/>
      <c r="P363" s="969" t="s">
        <v>329</v>
      </c>
      <c r="Q363" s="996">
        <v>7.6561555075594007E-2</v>
      </c>
      <c r="R363" s="994">
        <v>0.29012842993223098</v>
      </c>
      <c r="S363" s="994">
        <v>0.28669154228855698</v>
      </c>
      <c r="T363" s="994">
        <v>0.468839427662957</v>
      </c>
      <c r="U363" s="994">
        <v>0.44449950445986097</v>
      </c>
      <c r="V363" s="1325" t="s">
        <v>245</v>
      </c>
      <c r="W363" s="994">
        <v>0.27966146244020401</v>
      </c>
      <c r="X363" s="994">
        <v>0.38874925194494298</v>
      </c>
      <c r="Y363" s="1001">
        <v>0.46791613722998698</v>
      </c>
      <c r="Z363" s="996">
        <v>0.55614795068310596</v>
      </c>
      <c r="AA363" s="996">
        <v>0.55614795068310596</v>
      </c>
      <c r="AB363" s="996">
        <v>0.58326289095519901</v>
      </c>
    </row>
    <row r="364" spans="1:28">
      <c r="A364" s="972"/>
      <c r="B364" s="973"/>
      <c r="C364" s="974">
        <v>0.164289384761519</v>
      </c>
      <c r="D364" s="974">
        <v>0.16275557078123301</v>
      </c>
      <c r="E364" s="974">
        <v>4.8973045360407398E-2</v>
      </c>
      <c r="F364" s="974">
        <v>4.7135582927171099E-2</v>
      </c>
      <c r="G364" s="974"/>
      <c r="H364" s="974">
        <v>0.14811037231971799</v>
      </c>
      <c r="I364" s="974">
        <v>6.5050841651224697E-2</v>
      </c>
      <c r="J364" s="987">
        <v>2.4509880253507501E-2</v>
      </c>
      <c r="K364" s="987">
        <v>2.33653591616188E-2</v>
      </c>
      <c r="L364" s="987">
        <v>2.33653591616188E-2</v>
      </c>
      <c r="M364" s="987">
        <v>1.84213394789704E-2</v>
      </c>
      <c r="N364" s="1088"/>
      <c r="O364" s="839"/>
      <c r="P364" s="972"/>
      <c r="Q364" s="995"/>
      <c r="R364" s="974"/>
      <c r="S364" s="974"/>
      <c r="T364" s="974"/>
      <c r="U364" s="974"/>
      <c r="V364" s="997"/>
      <c r="W364" s="974"/>
      <c r="X364" s="974"/>
      <c r="Y364" s="1002"/>
      <c r="Z364" s="1003"/>
      <c r="AA364" s="1003"/>
      <c r="AB364" s="1003"/>
    </row>
    <row r="365" spans="1:28">
      <c r="A365" s="969" t="s">
        <v>360</v>
      </c>
      <c r="B365" s="975">
        <v>234043</v>
      </c>
      <c r="C365" s="971">
        <v>79992</v>
      </c>
      <c r="D365" s="971">
        <v>67427</v>
      </c>
      <c r="E365" s="971">
        <v>57728</v>
      </c>
      <c r="F365" s="971">
        <v>31409</v>
      </c>
      <c r="G365" s="971">
        <v>17304</v>
      </c>
      <c r="H365" s="1324" t="s">
        <v>245</v>
      </c>
      <c r="I365" s="971">
        <v>34923</v>
      </c>
      <c r="J365" s="985">
        <v>49427</v>
      </c>
      <c r="K365" s="986">
        <v>27345</v>
      </c>
      <c r="L365" s="986">
        <v>12502</v>
      </c>
      <c r="M365" s="986">
        <v>10916</v>
      </c>
      <c r="N365" s="985"/>
      <c r="O365" s="839"/>
      <c r="P365" s="969" t="s">
        <v>360</v>
      </c>
      <c r="Q365" s="996">
        <v>0.245328456305409</v>
      </c>
      <c r="R365" s="994">
        <v>0.70389538953895403</v>
      </c>
      <c r="S365" s="994">
        <v>0.74161685971495095</v>
      </c>
      <c r="T365" s="994">
        <v>0.79396480044345896</v>
      </c>
      <c r="U365" s="994">
        <v>0.80855805660797897</v>
      </c>
      <c r="V365" s="994">
        <v>0.86257512713823403</v>
      </c>
      <c r="W365" s="1324" t="s">
        <v>245</v>
      </c>
      <c r="X365" s="994">
        <v>0.75740915728889302</v>
      </c>
      <c r="Y365" s="1001">
        <v>0.74726364132963796</v>
      </c>
      <c r="Z365" s="996">
        <v>0.859389285061254</v>
      </c>
      <c r="AA365" s="996">
        <v>0.90889457686770103</v>
      </c>
      <c r="AB365" s="996">
        <v>0.91636130450714504</v>
      </c>
    </row>
    <row r="366" spans="1:28">
      <c r="A366" s="972"/>
      <c r="B366" s="1083"/>
      <c r="C366" s="974">
        <v>0.341783347504518</v>
      </c>
      <c r="D366" s="974">
        <v>0.28809663181552098</v>
      </c>
      <c r="E366" s="974">
        <v>0.24665552911217201</v>
      </c>
      <c r="F366" s="974">
        <v>0.134201834705588</v>
      </c>
      <c r="G366" s="974">
        <v>7.3935131578385202E-2</v>
      </c>
      <c r="H366" s="974"/>
      <c r="I366" s="974">
        <v>0.14921616967822199</v>
      </c>
      <c r="J366" s="987">
        <v>0.211187687732596</v>
      </c>
      <c r="K366" s="987">
        <v>0.11683750421931</v>
      </c>
      <c r="L366" s="987">
        <v>5.3417534384707102E-2</v>
      </c>
      <c r="M366" s="987">
        <v>4.6641001867178303E-2</v>
      </c>
      <c r="N366" s="1088"/>
      <c r="O366" s="839"/>
      <c r="P366" s="972"/>
      <c r="Q366" s="999"/>
      <c r="R366" s="974"/>
      <c r="S366" s="974"/>
      <c r="T366" s="974"/>
      <c r="U366" s="974"/>
      <c r="V366" s="974"/>
      <c r="W366" s="1082"/>
      <c r="X366" s="974"/>
      <c r="Y366" s="1002"/>
      <c r="Z366" s="1003"/>
      <c r="AA366" s="1003"/>
      <c r="AB366" s="1003"/>
    </row>
    <row r="367" spans="1:28">
      <c r="A367" s="969" t="s">
        <v>330</v>
      </c>
      <c r="B367" s="975">
        <v>152299</v>
      </c>
      <c r="C367" s="971">
        <v>7794</v>
      </c>
      <c r="D367" s="971">
        <v>7585</v>
      </c>
      <c r="E367" s="971">
        <v>2536</v>
      </c>
      <c r="F367" s="971">
        <v>1407</v>
      </c>
      <c r="G367" s="971">
        <v>722</v>
      </c>
      <c r="H367" s="971">
        <v>6761</v>
      </c>
      <c r="I367" s="1324" t="s">
        <v>245</v>
      </c>
      <c r="J367" s="985">
        <v>1023</v>
      </c>
      <c r="K367" s="986">
        <v>771</v>
      </c>
      <c r="L367" s="986">
        <v>367</v>
      </c>
      <c r="M367" s="986">
        <v>367</v>
      </c>
      <c r="N367" s="985"/>
      <c r="O367" s="839"/>
      <c r="P367" s="969" t="s">
        <v>330</v>
      </c>
      <c r="Q367" s="996">
        <v>4.7397711403380803E-2</v>
      </c>
      <c r="R367" s="994">
        <v>0.40056453682319698</v>
      </c>
      <c r="S367" s="994">
        <v>0.398945286750165</v>
      </c>
      <c r="T367" s="994">
        <v>0.76577287066246102</v>
      </c>
      <c r="U367" s="994">
        <v>0.62615493958777502</v>
      </c>
      <c r="V367" s="994">
        <v>0.77562326869806097</v>
      </c>
      <c r="W367" s="994">
        <v>0.374500813489129</v>
      </c>
      <c r="X367" s="1324" t="s">
        <v>245</v>
      </c>
      <c r="Y367" s="1001">
        <v>0.71652003910068396</v>
      </c>
      <c r="Z367" s="996">
        <v>0.79377431906614804</v>
      </c>
      <c r="AA367" s="996">
        <v>0.82561307901907399</v>
      </c>
      <c r="AB367" s="996">
        <v>0.82561307901907399</v>
      </c>
    </row>
    <row r="368" spans="1:28">
      <c r="A368" s="978"/>
      <c r="B368" s="1084"/>
      <c r="C368" s="980">
        <v>5.1175647903137902E-2</v>
      </c>
      <c r="D368" s="981">
        <v>4.9803347362753499E-2</v>
      </c>
      <c r="E368" s="981">
        <v>1.66514553608362E-2</v>
      </c>
      <c r="F368" s="981">
        <v>9.2384060302431407E-3</v>
      </c>
      <c r="G368" s="981">
        <v>4.7406745940551196E-3</v>
      </c>
      <c r="H368" s="981">
        <v>4.4392937576740503E-2</v>
      </c>
      <c r="I368" s="981"/>
      <c r="J368" s="1004">
        <v>6.71705001346036E-3</v>
      </c>
      <c r="K368" s="988">
        <v>5.0624101274466702E-3</v>
      </c>
      <c r="L368" s="988">
        <v>2.4097334847897902E-3</v>
      </c>
      <c r="M368" s="988">
        <v>2.4097334847897902E-3</v>
      </c>
      <c r="N368" s="1088"/>
      <c r="O368" s="839"/>
      <c r="P368" s="978"/>
      <c r="Q368" s="1000"/>
      <c r="R368" s="981"/>
      <c r="S368" s="981"/>
      <c r="T368" s="981"/>
      <c r="U368" s="981"/>
      <c r="V368" s="981"/>
      <c r="W368" s="981"/>
      <c r="X368" s="981"/>
      <c r="Y368" s="1004"/>
      <c r="Z368" s="988"/>
      <c r="AA368" s="988"/>
      <c r="AB368" s="988"/>
    </row>
    <row r="369" spans="1:28">
      <c r="A369" s="1005" t="s">
        <v>361</v>
      </c>
      <c r="B369" s="1085">
        <v>967519</v>
      </c>
      <c r="C369" s="1007">
        <v>233097</v>
      </c>
      <c r="D369" s="1007">
        <v>216207</v>
      </c>
      <c r="E369" s="1007">
        <v>95064</v>
      </c>
      <c r="F369" s="1007">
        <v>57507</v>
      </c>
      <c r="G369" s="1007">
        <v>45156</v>
      </c>
      <c r="H369" s="1007">
        <v>134289</v>
      </c>
      <c r="I369" s="1007">
        <v>102687</v>
      </c>
      <c r="J369" s="1019">
        <v>91818</v>
      </c>
      <c r="K369" s="1020">
        <v>75192</v>
      </c>
      <c r="L369" s="1020">
        <v>31945</v>
      </c>
      <c r="M369" s="1020">
        <v>28012</v>
      </c>
      <c r="N369" s="1019"/>
      <c r="O369" s="839"/>
      <c r="P369" s="1005" t="s">
        <v>361</v>
      </c>
      <c r="Q369" s="1033">
        <v>0.172671238088796</v>
      </c>
      <c r="R369" s="1034">
        <v>0.54446432172014203</v>
      </c>
      <c r="S369" s="1034">
        <v>0.54452446035512303</v>
      </c>
      <c r="T369" s="1034">
        <v>0.694574181603972</v>
      </c>
      <c r="U369" s="1034">
        <v>0.76585459161493397</v>
      </c>
      <c r="V369" s="1034">
        <v>0.72807600318894505</v>
      </c>
      <c r="W369" s="1034">
        <v>0.45918876453023</v>
      </c>
      <c r="X369" s="1034">
        <v>0.63924352644443805</v>
      </c>
      <c r="Y369" s="1061">
        <v>0.72338757106449703</v>
      </c>
      <c r="Z369" s="1033">
        <v>0.72800297904032296</v>
      </c>
      <c r="AA369" s="1033">
        <v>0.81202066051025201</v>
      </c>
      <c r="AB369" s="1033">
        <v>0.82775239183207205</v>
      </c>
    </row>
    <row r="370" spans="1:28">
      <c r="A370" s="1008" t="s">
        <v>362</v>
      </c>
      <c r="B370" s="1009"/>
      <c r="C370" s="1036">
        <v>0.24092240049032601</v>
      </c>
      <c r="D370" s="1036">
        <v>0.22346537897447</v>
      </c>
      <c r="E370" s="1036">
        <v>9.8255434776991502E-2</v>
      </c>
      <c r="F370" s="1036">
        <v>5.9437592440045102E-2</v>
      </c>
      <c r="G370" s="1036">
        <v>4.6671951661931201E-2</v>
      </c>
      <c r="H370" s="1036">
        <v>0.13879727426541499</v>
      </c>
      <c r="I370" s="1036">
        <v>0.106134349816386</v>
      </c>
      <c r="J370" s="1062">
        <v>9.4900461903073705E-2</v>
      </c>
      <c r="K370" s="1063">
        <v>7.77163032457244E-2</v>
      </c>
      <c r="L370" s="1063">
        <v>3.3017439450801503E-2</v>
      </c>
      <c r="M370" s="1063">
        <v>2.8952403001904901E-2</v>
      </c>
      <c r="N370" s="1031"/>
      <c r="O370" s="839"/>
      <c r="P370" s="1008" t="s">
        <v>362</v>
      </c>
      <c r="Q370" s="1035"/>
      <c r="R370" s="1036"/>
      <c r="S370" s="1036"/>
      <c r="T370" s="1036"/>
      <c r="U370" s="1036"/>
      <c r="V370" s="1036"/>
      <c r="W370" s="1036"/>
      <c r="X370" s="1036"/>
      <c r="Y370" s="1062"/>
      <c r="Z370" s="1063"/>
      <c r="AA370" s="1063"/>
      <c r="AB370" s="1063"/>
    </row>
    <row r="371" spans="1:28">
      <c r="A371" s="969" t="s">
        <v>59</v>
      </c>
      <c r="B371" s="975">
        <v>54347</v>
      </c>
      <c r="C371" s="971">
        <v>15231</v>
      </c>
      <c r="D371" s="971">
        <v>15231</v>
      </c>
      <c r="E371" s="971">
        <v>3992</v>
      </c>
      <c r="F371" s="971">
        <v>2312</v>
      </c>
      <c r="G371" s="971">
        <v>981</v>
      </c>
      <c r="H371" s="971">
        <v>13987</v>
      </c>
      <c r="I371" s="971">
        <v>1752</v>
      </c>
      <c r="J371" s="1326" t="s">
        <v>245</v>
      </c>
      <c r="K371" s="1024">
        <v>1283</v>
      </c>
      <c r="L371" s="1024">
        <v>518</v>
      </c>
      <c r="M371" s="1024">
        <v>363</v>
      </c>
      <c r="N371" s="985"/>
      <c r="O371" s="839"/>
      <c r="P371" s="969" t="s">
        <v>59</v>
      </c>
      <c r="Q371" s="996">
        <v>8.9830687458199901E-2</v>
      </c>
      <c r="R371" s="994">
        <v>0.26958177401352501</v>
      </c>
      <c r="S371" s="994">
        <v>0.26958177401352501</v>
      </c>
      <c r="T371" s="994">
        <v>0.68061122244489003</v>
      </c>
      <c r="U371" s="994">
        <v>0.45891003460207602</v>
      </c>
      <c r="V371" s="994">
        <v>0.64831804281345595</v>
      </c>
      <c r="W371" s="994">
        <v>0.25866876385214799</v>
      </c>
      <c r="X371" s="994">
        <v>0.84189497716895001</v>
      </c>
      <c r="Y371" s="1324" t="s">
        <v>245</v>
      </c>
      <c r="Z371" s="996">
        <v>0.696024941543258</v>
      </c>
      <c r="AA371" s="996">
        <v>0.82625482625482605</v>
      </c>
      <c r="AB371" s="996">
        <v>0.96418732782369099</v>
      </c>
    </row>
    <row r="372" spans="1:28">
      <c r="A372" s="1011"/>
      <c r="B372" s="967"/>
      <c r="C372" s="1012">
        <v>0.28025465987082998</v>
      </c>
      <c r="D372" s="1012">
        <v>0.28025465987082998</v>
      </c>
      <c r="E372" s="1012">
        <v>7.34539164995308E-2</v>
      </c>
      <c r="F372" s="1012">
        <v>4.2541446629988801E-2</v>
      </c>
      <c r="G372" s="1012">
        <v>1.8050674370250399E-2</v>
      </c>
      <c r="H372" s="1012">
        <v>0.25736471194362198</v>
      </c>
      <c r="I372" s="1012">
        <v>3.2237290006808098E-2</v>
      </c>
      <c r="J372" s="1025"/>
      <c r="K372" s="1026">
        <v>2.36075588348943E-2</v>
      </c>
      <c r="L372" s="1026">
        <v>9.5313448764421192E-3</v>
      </c>
      <c r="M372" s="1026">
        <v>6.6793015253831904E-3</v>
      </c>
      <c r="N372" s="1088"/>
      <c r="O372" s="839"/>
      <c r="P372" s="1011"/>
      <c r="Q372" s="992"/>
      <c r="R372" s="1012"/>
      <c r="S372" s="1012"/>
      <c r="T372" s="1012"/>
      <c r="U372" s="1012"/>
      <c r="V372" s="1012"/>
      <c r="W372" s="1012"/>
      <c r="X372" s="1012"/>
      <c r="Y372" s="1025"/>
      <c r="Z372" s="1026"/>
      <c r="AA372" s="1026"/>
      <c r="AB372" s="1026"/>
    </row>
    <row r="373" spans="1:28">
      <c r="A373" s="1005" t="s">
        <v>333</v>
      </c>
      <c r="B373" s="1013">
        <v>1021866</v>
      </c>
      <c r="C373" s="1014">
        <v>248328</v>
      </c>
      <c r="D373" s="1015">
        <v>231438</v>
      </c>
      <c r="E373" s="1015">
        <v>99056</v>
      </c>
      <c r="F373" s="1015">
        <v>59819</v>
      </c>
      <c r="G373" s="1015">
        <v>46137</v>
      </c>
      <c r="H373" s="1015">
        <v>148276</v>
      </c>
      <c r="I373" s="1015">
        <v>104439</v>
      </c>
      <c r="J373" s="1027">
        <v>91818</v>
      </c>
      <c r="K373" s="1028">
        <v>76475</v>
      </c>
      <c r="L373" s="1028">
        <v>32463</v>
      </c>
      <c r="M373" s="1028">
        <v>28375</v>
      </c>
      <c r="N373" s="1089"/>
      <c r="O373" s="839"/>
      <c r="P373" s="1005" t="s">
        <v>333</v>
      </c>
      <c r="Q373" s="1037">
        <v>0.166530105265355</v>
      </c>
      <c r="R373" s="1038">
        <v>0.52760461969653005</v>
      </c>
      <c r="S373" s="1039">
        <v>0.52643040468721602</v>
      </c>
      <c r="T373" s="1039">
        <v>0.69401146826037796</v>
      </c>
      <c r="U373" s="1039">
        <v>0.753991206807202</v>
      </c>
      <c r="V373" s="1039">
        <v>0.72638012874699298</v>
      </c>
      <c r="W373" s="1039">
        <v>0.44027354393158702</v>
      </c>
      <c r="X373" s="1039">
        <v>0.642643073947472</v>
      </c>
      <c r="Y373" s="1064">
        <v>0.72338757106449703</v>
      </c>
      <c r="Z373" s="1065">
        <v>0.72746649231775096</v>
      </c>
      <c r="AA373" s="1065">
        <v>0.81224778979145495</v>
      </c>
      <c r="AB373" s="1065">
        <v>0.82949779735682805</v>
      </c>
    </row>
    <row r="374" spans="1:28">
      <c r="A374" s="1016"/>
      <c r="B374" s="1080"/>
      <c r="C374" s="1018">
        <v>0.24301425040073699</v>
      </c>
      <c r="D374" s="1018">
        <v>0.22648566446089799</v>
      </c>
      <c r="E374" s="1018">
        <v>9.6936388919877894E-2</v>
      </c>
      <c r="F374" s="1018">
        <v>5.85389865207376E-2</v>
      </c>
      <c r="G374" s="1018">
        <v>4.5149755447387398E-2</v>
      </c>
      <c r="H374" s="1018">
        <v>0.14510317399737299</v>
      </c>
      <c r="I374" s="1018">
        <v>0.10220420289940201</v>
      </c>
      <c r="J374" s="1029">
        <v>8.9853268432455904E-2</v>
      </c>
      <c r="K374" s="1030">
        <v>7.4838579618071194E-2</v>
      </c>
      <c r="L374" s="1030">
        <v>3.1768353189165703E-2</v>
      </c>
      <c r="M374" s="1030">
        <v>2.77678286585521E-2</v>
      </c>
      <c r="N374" s="1031"/>
      <c r="O374" s="839"/>
      <c r="P374" s="1016"/>
      <c r="Q374" s="1017"/>
      <c r="R374" s="1018"/>
      <c r="S374" s="1018"/>
      <c r="T374" s="1018"/>
      <c r="U374" s="1018"/>
      <c r="V374" s="1018"/>
      <c r="W374" s="1018"/>
      <c r="X374" s="1018"/>
      <c r="Y374" s="1029"/>
      <c r="Z374" s="1030"/>
      <c r="AA374" s="1030"/>
      <c r="AB374" s="1030"/>
    </row>
    <row r="375" spans="1:28">
      <c r="A375" s="839"/>
      <c r="B375" s="839"/>
      <c r="C375" s="839"/>
      <c r="D375" s="839"/>
      <c r="E375" s="839"/>
      <c r="F375" s="839"/>
      <c r="G375" s="839"/>
      <c r="N375" s="1081"/>
      <c r="O375" s="839"/>
      <c r="P375" s="839"/>
      <c r="Q375" s="839"/>
      <c r="R375" s="839"/>
      <c r="S375" s="839"/>
      <c r="T375" s="839"/>
      <c r="U375" s="839"/>
    </row>
    <row r="376" spans="1:28">
      <c r="A376" s="839"/>
      <c r="B376" s="839"/>
      <c r="C376" s="839"/>
      <c r="D376" s="839"/>
      <c r="E376" s="839"/>
      <c r="F376" s="839"/>
      <c r="O376" s="839"/>
      <c r="P376" s="839" t="s">
        <v>302</v>
      </c>
      <c r="Q376" s="839" t="s">
        <v>363</v>
      </c>
      <c r="R376" s="839"/>
      <c r="S376" s="839"/>
      <c r="T376" s="839"/>
      <c r="U376" s="839"/>
    </row>
    <row r="377" spans="1:28">
      <c r="A377" s="955" t="s">
        <v>338</v>
      </c>
      <c r="B377" s="956"/>
      <c r="C377" s="955">
        <v>2006</v>
      </c>
      <c r="D377" s="839"/>
      <c r="E377" s="839"/>
      <c r="F377" s="839"/>
      <c r="G377" s="839"/>
      <c r="H377" s="839"/>
      <c r="I377" s="839"/>
      <c r="J377" s="839"/>
      <c r="K377" s="839"/>
      <c r="L377" s="839"/>
      <c r="M377" s="839"/>
      <c r="N377" s="839"/>
      <c r="O377" s="839"/>
      <c r="P377" s="955" t="s">
        <v>338</v>
      </c>
      <c r="Q377" s="955"/>
      <c r="R377" s="955">
        <v>2006</v>
      </c>
      <c r="S377" s="839"/>
      <c r="T377" s="839"/>
      <c r="U377" s="839"/>
      <c r="V377" s="958"/>
      <c r="W377" s="958"/>
      <c r="X377" s="958"/>
      <c r="Y377" s="958"/>
      <c r="Z377" s="958"/>
      <c r="AA377" s="958"/>
      <c r="AB377" s="958"/>
    </row>
    <row r="378" spans="1:28">
      <c r="A378" s="839"/>
      <c r="B378" s="842"/>
      <c r="C378" s="839"/>
      <c r="D378" s="839"/>
      <c r="E378" s="839"/>
      <c r="F378" s="839"/>
      <c r="G378" s="958"/>
      <c r="H378" s="958"/>
      <c r="I378" s="958"/>
      <c r="J378" s="958"/>
      <c r="K378" s="958"/>
      <c r="L378" s="958"/>
      <c r="M378" s="958"/>
      <c r="N378" s="958"/>
      <c r="O378" s="839"/>
      <c r="P378" s="839"/>
      <c r="Q378" s="839"/>
      <c r="R378" s="839"/>
      <c r="S378" s="839"/>
      <c r="T378" s="839"/>
      <c r="U378" s="839"/>
      <c r="V378" s="958"/>
      <c r="W378" s="958"/>
      <c r="X378" s="958"/>
      <c r="Y378" s="958"/>
      <c r="Z378" s="958"/>
      <c r="AA378" s="958"/>
      <c r="AB378" s="958"/>
    </row>
    <row r="379" spans="1:28">
      <c r="A379" s="959" t="s">
        <v>315</v>
      </c>
      <c r="B379" s="960" t="s">
        <v>316</v>
      </c>
      <c r="C379" s="961"/>
      <c r="D379" s="961"/>
      <c r="E379" s="961" t="s">
        <v>339</v>
      </c>
      <c r="F379" s="961"/>
      <c r="G379" s="961"/>
      <c r="H379" s="961"/>
      <c r="I379" s="961"/>
      <c r="J379" s="961"/>
      <c r="K379" s="959" t="s">
        <v>340</v>
      </c>
      <c r="L379" s="959" t="s">
        <v>341</v>
      </c>
      <c r="M379" s="959" t="s">
        <v>342</v>
      </c>
      <c r="N379" s="1086"/>
      <c r="O379" s="839"/>
      <c r="P379" s="959" t="s">
        <v>315</v>
      </c>
      <c r="Q379" s="990" t="s">
        <v>316</v>
      </c>
      <c r="R379" s="961"/>
      <c r="S379" s="961"/>
      <c r="T379" s="961" t="s">
        <v>343</v>
      </c>
      <c r="U379" s="961"/>
      <c r="V379" s="961"/>
      <c r="W379" s="961"/>
      <c r="X379" s="961"/>
      <c r="Y379" s="961"/>
      <c r="Z379" s="959" t="s">
        <v>340</v>
      </c>
      <c r="AA379" s="959" t="s">
        <v>341</v>
      </c>
      <c r="AB379" s="959" t="s">
        <v>342</v>
      </c>
    </row>
    <row r="380" spans="1:28">
      <c r="A380" s="962" t="s">
        <v>344</v>
      </c>
      <c r="B380" s="963" t="s">
        <v>320</v>
      </c>
      <c r="C380" s="964"/>
      <c r="D380" s="964"/>
      <c r="E380" s="964" t="s">
        <v>345</v>
      </c>
      <c r="F380" s="964"/>
      <c r="G380" s="964"/>
      <c r="H380" s="964"/>
      <c r="I380" s="964"/>
      <c r="J380" s="964"/>
      <c r="K380" s="982" t="s">
        <v>346</v>
      </c>
      <c r="L380" s="982" t="s">
        <v>346</v>
      </c>
      <c r="M380" s="982" t="s">
        <v>346</v>
      </c>
      <c r="N380" s="1086"/>
      <c r="O380" s="839"/>
      <c r="P380" s="962" t="s">
        <v>344</v>
      </c>
      <c r="Q380" s="991" t="s">
        <v>320</v>
      </c>
      <c r="R380" s="964"/>
      <c r="S380" s="964"/>
      <c r="T380" s="964" t="s">
        <v>347</v>
      </c>
      <c r="U380" s="964"/>
      <c r="V380" s="964"/>
      <c r="W380" s="964"/>
      <c r="X380" s="964"/>
      <c r="Y380" s="964"/>
      <c r="Z380" s="982" t="s">
        <v>346</v>
      </c>
      <c r="AA380" s="982" t="s">
        <v>346</v>
      </c>
      <c r="AB380" s="982" t="s">
        <v>346</v>
      </c>
    </row>
    <row r="381" spans="1:28">
      <c r="A381" s="962" t="s">
        <v>325</v>
      </c>
      <c r="B381" s="963" t="s">
        <v>61</v>
      </c>
      <c r="C381" s="965" t="s">
        <v>326</v>
      </c>
      <c r="D381" s="965" t="s">
        <v>348</v>
      </c>
      <c r="E381" s="965"/>
      <c r="F381" s="965"/>
      <c r="G381" s="965"/>
      <c r="H381" s="965"/>
      <c r="I381" s="965"/>
      <c r="J381" s="983" t="s">
        <v>126</v>
      </c>
      <c r="K381" s="962" t="s">
        <v>349</v>
      </c>
      <c r="L381" s="962" t="s">
        <v>350</v>
      </c>
      <c r="M381" s="962" t="s">
        <v>350</v>
      </c>
      <c r="N381" s="1087"/>
      <c r="O381" s="839"/>
      <c r="P381" s="962" t="s">
        <v>325</v>
      </c>
      <c r="Q381" s="991" t="s">
        <v>61</v>
      </c>
      <c r="R381" s="965" t="s">
        <v>326</v>
      </c>
      <c r="S381" s="965" t="s">
        <v>348</v>
      </c>
      <c r="T381" s="965"/>
      <c r="U381" s="965"/>
      <c r="V381" s="965"/>
      <c r="W381" s="965"/>
      <c r="X381" s="965"/>
      <c r="Y381" s="983" t="s">
        <v>126</v>
      </c>
      <c r="Z381" s="962" t="s">
        <v>349</v>
      </c>
      <c r="AA381" s="962" t="s">
        <v>350</v>
      </c>
      <c r="AB381" s="962" t="s">
        <v>350</v>
      </c>
    </row>
    <row r="382" spans="1:28">
      <c r="A382" s="966"/>
      <c r="B382" s="967"/>
      <c r="C382" s="968" t="s">
        <v>328</v>
      </c>
      <c r="D382" s="968" t="s">
        <v>352</v>
      </c>
      <c r="E382" s="968" t="s">
        <v>54</v>
      </c>
      <c r="F382" s="968" t="s">
        <v>55</v>
      </c>
      <c r="G382" s="968" t="s">
        <v>329</v>
      </c>
      <c r="H382" s="968" t="s">
        <v>353</v>
      </c>
      <c r="I382" s="968" t="s">
        <v>330</v>
      </c>
      <c r="J382" s="964" t="s">
        <v>354</v>
      </c>
      <c r="K382" s="984" t="s">
        <v>355</v>
      </c>
      <c r="L382" s="984" t="s">
        <v>356</v>
      </c>
      <c r="M382" s="984" t="s">
        <v>357</v>
      </c>
      <c r="N382" s="1086"/>
      <c r="O382" s="839"/>
      <c r="P382" s="966"/>
      <c r="Q382" s="992"/>
      <c r="R382" s="968" t="s">
        <v>328</v>
      </c>
      <c r="S382" s="968" t="s">
        <v>352</v>
      </c>
      <c r="T382" s="968" t="s">
        <v>54</v>
      </c>
      <c r="U382" s="968" t="s">
        <v>55</v>
      </c>
      <c r="V382" s="968" t="s">
        <v>329</v>
      </c>
      <c r="W382" s="968" t="s">
        <v>353</v>
      </c>
      <c r="X382" s="968" t="s">
        <v>330</v>
      </c>
      <c r="Y382" s="964" t="s">
        <v>354</v>
      </c>
      <c r="Z382" s="984" t="s">
        <v>355</v>
      </c>
      <c r="AA382" s="984" t="s">
        <v>356</v>
      </c>
      <c r="AB382" s="984" t="s">
        <v>357</v>
      </c>
    </row>
    <row r="383" spans="1:28">
      <c r="A383" s="969" t="s">
        <v>54</v>
      </c>
      <c r="B383" s="970">
        <v>129229</v>
      </c>
      <c r="C383" s="971">
        <v>50308</v>
      </c>
      <c r="D383" s="971">
        <v>48206</v>
      </c>
      <c r="E383" s="1325" t="s">
        <v>245</v>
      </c>
      <c r="F383" s="971">
        <v>21060</v>
      </c>
      <c r="G383" s="971">
        <v>9132</v>
      </c>
      <c r="H383" s="971">
        <v>44295</v>
      </c>
      <c r="I383" s="971">
        <v>23325</v>
      </c>
      <c r="J383" s="985">
        <v>21124</v>
      </c>
      <c r="K383" s="986">
        <v>19597</v>
      </c>
      <c r="L383" s="986">
        <v>7273</v>
      </c>
      <c r="M383" s="986">
        <v>6438</v>
      </c>
      <c r="N383" s="985"/>
      <c r="O383" s="839"/>
      <c r="P383" s="969" t="s">
        <v>54</v>
      </c>
      <c r="Q383" s="993">
        <v>0.35723806984804102</v>
      </c>
      <c r="R383" s="994">
        <v>0.68183986642283501</v>
      </c>
      <c r="S383" s="994">
        <v>0.68505995104343897</v>
      </c>
      <c r="T383" s="1325" t="s">
        <v>245</v>
      </c>
      <c r="U383" s="994">
        <v>0.79814814814814805</v>
      </c>
      <c r="V383" s="994">
        <v>0.84954007884362703</v>
      </c>
      <c r="W383" s="994">
        <v>0.69448018963765701</v>
      </c>
      <c r="X383" s="994">
        <v>0.79712754555198295</v>
      </c>
      <c r="Y383" s="1001">
        <v>0.82010982768415097</v>
      </c>
      <c r="Z383" s="996">
        <v>0.81231821197122001</v>
      </c>
      <c r="AA383" s="996">
        <v>0.87639213529492599</v>
      </c>
      <c r="AB383" s="996">
        <v>0.88381484933209098</v>
      </c>
    </row>
    <row r="384" spans="1:28">
      <c r="A384" s="972"/>
      <c r="B384" s="973"/>
      <c r="C384" s="974">
        <v>0.38929342485045898</v>
      </c>
      <c r="D384" s="974">
        <v>0.37302772597481998</v>
      </c>
      <c r="E384" s="974"/>
      <c r="F384" s="974">
        <v>0.16296651680350399</v>
      </c>
      <c r="G384" s="974">
        <v>7.0665253155251503E-2</v>
      </c>
      <c r="H384" s="974">
        <v>0.34276362116862302</v>
      </c>
      <c r="I384" s="974">
        <v>0.18049354247111701</v>
      </c>
      <c r="J384" s="987">
        <v>0.16346176167887999</v>
      </c>
      <c r="K384" s="987">
        <v>0.15164552848044899</v>
      </c>
      <c r="L384" s="987">
        <v>5.6279937165806398E-2</v>
      </c>
      <c r="M384" s="987">
        <v>4.9818539182381702E-2</v>
      </c>
      <c r="N384" s="1088"/>
      <c r="O384" s="839"/>
      <c r="P384" s="972"/>
      <c r="Q384" s="995"/>
      <c r="R384" s="974"/>
      <c r="S384" s="974"/>
      <c r="T384" s="974"/>
      <c r="U384" s="974"/>
      <c r="V384" s="974"/>
      <c r="W384" s="974"/>
      <c r="X384" s="974"/>
      <c r="Y384" s="1002"/>
      <c r="Z384" s="1003"/>
      <c r="AA384" s="1003"/>
      <c r="AB384" s="1003"/>
    </row>
    <row r="385" spans="1:28">
      <c r="A385" s="969" t="s">
        <v>55</v>
      </c>
      <c r="B385" s="975">
        <v>336013</v>
      </c>
      <c r="C385" s="971">
        <v>75179</v>
      </c>
      <c r="D385" s="971">
        <v>73735</v>
      </c>
      <c r="E385" s="971">
        <v>30421</v>
      </c>
      <c r="F385" s="1325" t="s">
        <v>245</v>
      </c>
      <c r="G385" s="971">
        <v>20481</v>
      </c>
      <c r="H385" s="971">
        <v>66674</v>
      </c>
      <c r="I385" s="971">
        <v>35332</v>
      </c>
      <c r="J385" s="985">
        <v>17789</v>
      </c>
      <c r="K385" s="986">
        <v>28624</v>
      </c>
      <c r="L385" s="986">
        <v>11072</v>
      </c>
      <c r="M385" s="986">
        <v>9533</v>
      </c>
      <c r="N385" s="985"/>
      <c r="O385" s="839"/>
      <c r="P385" s="969" t="s">
        <v>55</v>
      </c>
      <c r="Q385" s="996">
        <v>9.3238583045470294E-2</v>
      </c>
      <c r="R385" s="994">
        <v>0.344484497000492</v>
      </c>
      <c r="S385" s="994">
        <v>0.33676001898691299</v>
      </c>
      <c r="T385" s="994">
        <v>0.53962723118898104</v>
      </c>
      <c r="U385" s="1325" t="s">
        <v>245</v>
      </c>
      <c r="V385" s="994">
        <v>0.52184951906645205</v>
      </c>
      <c r="W385" s="994">
        <v>0.339667636559978</v>
      </c>
      <c r="X385" s="994">
        <v>0.46428167100645301</v>
      </c>
      <c r="Y385" s="1001">
        <v>0.56934060374388695</v>
      </c>
      <c r="Z385" s="996">
        <v>0.54828116266070404</v>
      </c>
      <c r="AA385" s="996">
        <v>0.69291907514450901</v>
      </c>
      <c r="AB385" s="996">
        <v>0.71142347634532699</v>
      </c>
    </row>
    <row r="386" spans="1:28">
      <c r="A386" s="972"/>
      <c r="B386" s="973"/>
      <c r="C386" s="974">
        <v>0.22373836726555199</v>
      </c>
      <c r="D386" s="974">
        <v>0.21944091448842801</v>
      </c>
      <c r="E386" s="974">
        <v>9.0535187626669206E-2</v>
      </c>
      <c r="F386" s="974"/>
      <c r="G386" s="974">
        <v>6.0952998842306698E-2</v>
      </c>
      <c r="H386" s="974">
        <v>0.19842684658034099</v>
      </c>
      <c r="I386" s="974">
        <v>0.105150693574356</v>
      </c>
      <c r="J386" s="987">
        <v>5.2941404052819399E-2</v>
      </c>
      <c r="K386" s="987">
        <v>8.5187180257906697E-2</v>
      </c>
      <c r="L386" s="987">
        <v>3.2951106058396601E-2</v>
      </c>
      <c r="M386" s="987">
        <v>2.8370926124882099E-2</v>
      </c>
      <c r="N386" s="1088"/>
      <c r="O386" s="839"/>
      <c r="P386" s="972"/>
      <c r="Q386" s="995"/>
      <c r="R386" s="974"/>
      <c r="S386" s="974"/>
      <c r="T386" s="974"/>
      <c r="U386" s="974"/>
      <c r="V386" s="974"/>
      <c r="W386" s="974"/>
      <c r="X386" s="974"/>
      <c r="Y386" s="1002"/>
      <c r="Z386" s="1003"/>
      <c r="AA386" s="1003"/>
      <c r="AB386" s="1003"/>
    </row>
    <row r="387" spans="1:28">
      <c r="A387" s="969" t="s">
        <v>329</v>
      </c>
      <c r="B387" s="975">
        <v>125249</v>
      </c>
      <c r="C387" s="971">
        <v>21674</v>
      </c>
      <c r="D387" s="971">
        <v>21481</v>
      </c>
      <c r="E387" s="971">
        <v>6987</v>
      </c>
      <c r="F387" s="971">
        <v>7257</v>
      </c>
      <c r="G387" s="1325" t="s">
        <v>245</v>
      </c>
      <c r="H387" s="971">
        <v>19715</v>
      </c>
      <c r="I387" s="971">
        <v>9501</v>
      </c>
      <c r="J387" s="985">
        <v>3381</v>
      </c>
      <c r="K387" s="986">
        <v>3682</v>
      </c>
      <c r="L387" s="986">
        <v>3682</v>
      </c>
      <c r="M387" s="986">
        <v>2881</v>
      </c>
      <c r="N387" s="985"/>
      <c r="O387" s="839"/>
      <c r="P387" s="969" t="s">
        <v>329</v>
      </c>
      <c r="Q387" s="996">
        <v>6.9055166397471002E-2</v>
      </c>
      <c r="R387" s="994">
        <v>0.25934299160284202</v>
      </c>
      <c r="S387" s="994">
        <v>0.25627298542898402</v>
      </c>
      <c r="T387" s="994">
        <v>0.42364391011879199</v>
      </c>
      <c r="U387" s="994">
        <v>0.372330163979606</v>
      </c>
      <c r="V387" s="1325" t="s">
        <v>245</v>
      </c>
      <c r="W387" s="994">
        <v>0.24549835150900301</v>
      </c>
      <c r="X387" s="994">
        <v>0.32028207557099297</v>
      </c>
      <c r="Y387" s="1001">
        <v>0.47412008281573498</v>
      </c>
      <c r="Z387" s="996">
        <v>0.47582835415535002</v>
      </c>
      <c r="AA387" s="996">
        <v>0.47582835415535002</v>
      </c>
      <c r="AB387" s="996">
        <v>0.48420687261367601</v>
      </c>
    </row>
    <row r="388" spans="1:28">
      <c r="A388" s="972"/>
      <c r="B388" s="973"/>
      <c r="C388" s="974">
        <v>0.173047289798721</v>
      </c>
      <c r="D388" s="974">
        <v>0.17150635933221001</v>
      </c>
      <c r="E388" s="974">
        <v>5.57848765259603E-2</v>
      </c>
      <c r="F388" s="974">
        <v>5.7940582359939E-2</v>
      </c>
      <c r="G388" s="974"/>
      <c r="H388" s="974">
        <v>0.15740644635885301</v>
      </c>
      <c r="I388" s="974">
        <v>7.5856893069006504E-2</v>
      </c>
      <c r="J388" s="987">
        <v>2.6994227498822299E-2</v>
      </c>
      <c r="K388" s="987">
        <v>2.93974402989245E-2</v>
      </c>
      <c r="L388" s="987">
        <v>2.93974402989245E-2</v>
      </c>
      <c r="M388" s="987">
        <v>2.3002179658121E-2</v>
      </c>
      <c r="N388" s="1088"/>
      <c r="O388" s="839"/>
      <c r="P388" s="972"/>
      <c r="Q388" s="995"/>
      <c r="R388" s="974"/>
      <c r="S388" s="974"/>
      <c r="T388" s="974"/>
      <c r="U388" s="974"/>
      <c r="V388" s="997"/>
      <c r="W388" s="974"/>
      <c r="X388" s="974"/>
      <c r="Y388" s="1002"/>
      <c r="Z388" s="1003"/>
      <c r="AA388" s="1003"/>
      <c r="AB388" s="1003"/>
    </row>
    <row r="389" spans="1:28">
      <c r="A389" s="969" t="s">
        <v>360</v>
      </c>
      <c r="B389" s="975">
        <v>215904</v>
      </c>
      <c r="C389" s="971">
        <v>80393</v>
      </c>
      <c r="D389" s="971">
        <v>68023</v>
      </c>
      <c r="E389" s="971">
        <v>59147</v>
      </c>
      <c r="F389" s="971">
        <v>34476</v>
      </c>
      <c r="G389" s="971">
        <v>18158</v>
      </c>
      <c r="H389" s="1324" t="s">
        <v>245</v>
      </c>
      <c r="I389" s="971">
        <v>33447</v>
      </c>
      <c r="J389" s="985">
        <v>50669</v>
      </c>
      <c r="K389" s="986">
        <v>30702</v>
      </c>
      <c r="L389" s="986">
        <v>13911</v>
      </c>
      <c r="M389" s="986">
        <v>11513</v>
      </c>
      <c r="N389" s="985"/>
      <c r="O389" s="839"/>
      <c r="P389" s="969" t="s">
        <v>360</v>
      </c>
      <c r="Q389" s="996">
        <v>0.25419989125071102</v>
      </c>
      <c r="R389" s="994">
        <v>0.703941885487542</v>
      </c>
      <c r="S389" s="994">
        <v>0.74507151992708398</v>
      </c>
      <c r="T389" s="994">
        <v>0.80223849054051799</v>
      </c>
      <c r="U389" s="994">
        <v>0.800092818192366</v>
      </c>
      <c r="V389" s="994">
        <v>0.85527040422954104</v>
      </c>
      <c r="W389" s="1324" t="s">
        <v>245</v>
      </c>
      <c r="X389" s="994">
        <v>0.75334110682572397</v>
      </c>
      <c r="Y389" s="1001">
        <v>0.73871598018512297</v>
      </c>
      <c r="Z389" s="996">
        <v>0.85020519835841302</v>
      </c>
      <c r="AA389" s="996">
        <v>0.89943210409028795</v>
      </c>
      <c r="AB389" s="996">
        <v>0.90515069920958902</v>
      </c>
    </row>
    <row r="390" spans="1:28">
      <c r="A390" s="972"/>
      <c r="B390" s="1083"/>
      <c r="C390" s="974">
        <v>0.372355306061953</v>
      </c>
      <c r="D390" s="974">
        <v>0.31506132355120797</v>
      </c>
      <c r="E390" s="974">
        <v>0.27395045946346502</v>
      </c>
      <c r="F390" s="974">
        <v>0.159682080924856</v>
      </c>
      <c r="G390" s="974">
        <v>8.4102193567511502E-2</v>
      </c>
      <c r="H390" s="974"/>
      <c r="I390" s="974">
        <v>0.15491607381058201</v>
      </c>
      <c r="J390" s="987">
        <v>0.234683007262487</v>
      </c>
      <c r="K390" s="987">
        <v>0.142202089817697</v>
      </c>
      <c r="L390" s="987">
        <v>6.4431413961760803E-2</v>
      </c>
      <c r="M390" s="987">
        <v>5.33246257595969E-2</v>
      </c>
      <c r="N390" s="1088"/>
      <c r="O390" s="839"/>
      <c r="P390" s="972"/>
      <c r="Q390" s="999"/>
      <c r="R390" s="974"/>
      <c r="S390" s="974"/>
      <c r="T390" s="974"/>
      <c r="U390" s="974"/>
      <c r="V390" s="974"/>
      <c r="W390" s="1082"/>
      <c r="X390" s="974"/>
      <c r="Y390" s="1002"/>
      <c r="Z390" s="1003"/>
      <c r="AA390" s="1003"/>
      <c r="AB390" s="1003"/>
    </row>
    <row r="391" spans="1:28">
      <c r="A391" s="969" t="s">
        <v>330</v>
      </c>
      <c r="B391" s="975">
        <v>121968</v>
      </c>
      <c r="C391" s="971">
        <v>5987</v>
      </c>
      <c r="D391" s="971">
        <v>5815</v>
      </c>
      <c r="E391" s="971">
        <v>2240</v>
      </c>
      <c r="F391" s="971">
        <v>1175</v>
      </c>
      <c r="G391" s="971">
        <v>496</v>
      </c>
      <c r="H391" s="971">
        <v>4955</v>
      </c>
      <c r="I391" s="1324" t="s">
        <v>245</v>
      </c>
      <c r="J391" s="985">
        <v>796</v>
      </c>
      <c r="K391" s="986">
        <v>629</v>
      </c>
      <c r="L391" s="986">
        <v>270</v>
      </c>
      <c r="M391" s="986">
        <v>270</v>
      </c>
      <c r="N391" s="985"/>
      <c r="O391" s="839"/>
      <c r="P391" s="969" t="s">
        <v>330</v>
      </c>
      <c r="Q391" s="996">
        <v>4.6947715376273402E-2</v>
      </c>
      <c r="R391" s="994">
        <v>0.42041089026223499</v>
      </c>
      <c r="S391" s="994">
        <v>0.42012037833190002</v>
      </c>
      <c r="T391" s="994">
        <v>0.74464285714285705</v>
      </c>
      <c r="U391" s="994">
        <v>0.64340425531914902</v>
      </c>
      <c r="V391" s="994">
        <v>0.83064516129032295</v>
      </c>
      <c r="W391" s="994">
        <v>0.40504540867810301</v>
      </c>
      <c r="X391" s="1324" t="s">
        <v>245</v>
      </c>
      <c r="Y391" s="1001">
        <v>0.68592964824120595</v>
      </c>
      <c r="Z391" s="996">
        <v>0.86168521462639103</v>
      </c>
      <c r="AA391" s="996">
        <v>0.93333333333333302</v>
      </c>
      <c r="AB391" s="996">
        <v>0.93333333333333302</v>
      </c>
    </row>
    <row r="392" spans="1:28">
      <c r="A392" s="978"/>
      <c r="B392" s="1084"/>
      <c r="C392" s="980">
        <v>4.9086645677554802E-2</v>
      </c>
      <c r="D392" s="981">
        <v>4.7676439721894302E-2</v>
      </c>
      <c r="E392" s="981">
        <v>1.8365472910927501E-2</v>
      </c>
      <c r="F392" s="981">
        <v>9.6336744064016797E-3</v>
      </c>
      <c r="G392" s="981">
        <v>4.0666404302767897E-3</v>
      </c>
      <c r="H392" s="981">
        <v>4.0625409943591803E-2</v>
      </c>
      <c r="I392" s="981"/>
      <c r="J392" s="1004">
        <v>6.5263019808474397E-3</v>
      </c>
      <c r="K392" s="988">
        <v>5.1570903843631104E-3</v>
      </c>
      <c r="L392" s="988">
        <v>2.2136953955135801E-3</v>
      </c>
      <c r="M392" s="988">
        <v>2.2136953955135801E-3</v>
      </c>
      <c r="N392" s="1088"/>
      <c r="O392" s="839"/>
      <c r="P392" s="978"/>
      <c r="Q392" s="1000"/>
      <c r="R392" s="981"/>
      <c r="S392" s="981"/>
      <c r="T392" s="981"/>
      <c r="U392" s="981"/>
      <c r="V392" s="981"/>
      <c r="W392" s="981"/>
      <c r="X392" s="981"/>
      <c r="Y392" s="1004"/>
      <c r="Z392" s="988"/>
      <c r="AA392" s="988"/>
      <c r="AB392" s="988"/>
    </row>
    <row r="393" spans="1:28">
      <c r="A393" s="1005" t="s">
        <v>361</v>
      </c>
      <c r="B393" s="1085">
        <v>928363</v>
      </c>
      <c r="C393" s="1007">
        <v>233541</v>
      </c>
      <c r="D393" s="1007">
        <v>217260</v>
      </c>
      <c r="E393" s="1007">
        <v>98795</v>
      </c>
      <c r="F393" s="1007">
        <v>63968</v>
      </c>
      <c r="G393" s="1007">
        <v>48267</v>
      </c>
      <c r="H393" s="1007">
        <v>135639</v>
      </c>
      <c r="I393" s="1007">
        <v>101605</v>
      </c>
      <c r="J393" s="1019">
        <v>93759</v>
      </c>
      <c r="K393" s="1020">
        <v>83234</v>
      </c>
      <c r="L393" s="1020">
        <v>36208</v>
      </c>
      <c r="M393" s="1020">
        <v>30635</v>
      </c>
      <c r="N393" s="1019"/>
      <c r="O393" s="839"/>
      <c r="P393" s="1005" t="s">
        <v>361</v>
      </c>
      <c r="Q393" s="1033">
        <v>0.17092378997677801</v>
      </c>
      <c r="R393" s="1034">
        <v>0.53493819072454096</v>
      </c>
      <c r="S393" s="1034">
        <v>0.53615483752186299</v>
      </c>
      <c r="T393" s="1034">
        <v>0.69329419505035705</v>
      </c>
      <c r="U393" s="1034">
        <v>0.74804589794897403</v>
      </c>
      <c r="V393" s="1034">
        <v>0.71245364327594396</v>
      </c>
      <c r="W393" s="1034">
        <v>0.44423801414047598</v>
      </c>
      <c r="X393" s="1034">
        <v>0.62238078834703003</v>
      </c>
      <c r="Y393" s="1061">
        <v>0.71492870017811605</v>
      </c>
      <c r="Z393" s="1033">
        <v>0.72097940745368505</v>
      </c>
      <c r="AA393" s="1033">
        <v>0.78883119752540898</v>
      </c>
      <c r="AB393" s="1033">
        <v>0.80104455687938603</v>
      </c>
    </row>
    <row r="394" spans="1:28">
      <c r="A394" s="1008" t="s">
        <v>362</v>
      </c>
      <c r="B394" s="1009"/>
      <c r="C394" s="1036">
        <v>0.25156215833677098</v>
      </c>
      <c r="D394" s="1036">
        <v>0.23402483726731901</v>
      </c>
      <c r="E394" s="1036">
        <v>0.10641850224535</v>
      </c>
      <c r="F394" s="1036">
        <v>6.8904081700800202E-2</v>
      </c>
      <c r="G394" s="1036">
        <v>5.1991516249570498E-2</v>
      </c>
      <c r="H394" s="1036">
        <v>0.146105564310512</v>
      </c>
      <c r="I394" s="1036">
        <v>0.109445335499153</v>
      </c>
      <c r="J394" s="1062">
        <v>0.100993900015403</v>
      </c>
      <c r="K394" s="1063">
        <v>8.9656739874380997E-2</v>
      </c>
      <c r="L394" s="1063">
        <v>3.9001985214835097E-2</v>
      </c>
      <c r="M394" s="1063">
        <v>3.2998945455603002E-2</v>
      </c>
      <c r="N394" s="1031"/>
      <c r="O394" s="839"/>
      <c r="P394" s="1008" t="s">
        <v>362</v>
      </c>
      <c r="Q394" s="1035"/>
      <c r="R394" s="1036"/>
      <c r="S394" s="1036"/>
      <c r="T394" s="1036"/>
      <c r="U394" s="1036"/>
      <c r="V394" s="1036"/>
      <c r="W394" s="1036"/>
      <c r="X394" s="1036"/>
      <c r="Y394" s="1062"/>
      <c r="Z394" s="1063"/>
      <c r="AA394" s="1063"/>
      <c r="AB394" s="1063"/>
    </row>
    <row r="395" spans="1:28">
      <c r="A395" s="969" t="s">
        <v>59</v>
      </c>
      <c r="B395" s="975">
        <v>67018</v>
      </c>
      <c r="C395" s="971">
        <v>15346</v>
      </c>
      <c r="D395" s="971">
        <v>15346</v>
      </c>
      <c r="E395" s="971">
        <v>4205</v>
      </c>
      <c r="F395" s="971">
        <v>2636</v>
      </c>
      <c r="G395" s="971">
        <v>1074</v>
      </c>
      <c r="H395" s="971">
        <v>14035</v>
      </c>
      <c r="I395" s="971">
        <v>1744</v>
      </c>
      <c r="J395" s="1326" t="s">
        <v>245</v>
      </c>
      <c r="K395" s="1024">
        <v>1364</v>
      </c>
      <c r="L395" s="1024">
        <v>535</v>
      </c>
      <c r="M395" s="1024">
        <v>395</v>
      </c>
      <c r="N395" s="985"/>
      <c r="O395" s="839"/>
      <c r="P395" s="969" t="s">
        <v>59</v>
      </c>
      <c r="Q395" s="996">
        <v>9.12743481712157E-2</v>
      </c>
      <c r="R395" s="994">
        <v>0.28052912811156</v>
      </c>
      <c r="S395" s="994">
        <v>0.28052912811156</v>
      </c>
      <c r="T395" s="994">
        <v>0.74673008323424495</v>
      </c>
      <c r="U395" s="994">
        <v>0.46320182094081902</v>
      </c>
      <c r="V395" s="994">
        <v>0.58193668528864095</v>
      </c>
      <c r="W395" s="994">
        <v>0.26198788742429602</v>
      </c>
      <c r="X395" s="994">
        <v>0.85435779816513802</v>
      </c>
      <c r="Y395" s="1324" t="s">
        <v>245</v>
      </c>
      <c r="Z395" s="996">
        <v>0.774926686217009</v>
      </c>
      <c r="AA395" s="996">
        <v>0.82990654205607495</v>
      </c>
      <c r="AB395" s="996">
        <v>0.95696202531645602</v>
      </c>
    </row>
    <row r="396" spans="1:28">
      <c r="A396" s="1011"/>
      <c r="B396" s="967"/>
      <c r="C396" s="1012">
        <v>0.22898325822913199</v>
      </c>
      <c r="D396" s="1012">
        <v>0.22898325822913199</v>
      </c>
      <c r="E396" s="1012">
        <v>6.2744337342206594E-2</v>
      </c>
      <c r="F396" s="1012">
        <v>3.9332716583604398E-2</v>
      </c>
      <c r="G396" s="1012">
        <v>1.6025545375869199E-2</v>
      </c>
      <c r="H396" s="1012">
        <v>0.20942134948819699</v>
      </c>
      <c r="I396" s="1012">
        <v>2.6022859530275399E-2</v>
      </c>
      <c r="J396" s="1025"/>
      <c r="K396" s="1026">
        <v>2.0352741054642E-2</v>
      </c>
      <c r="L396" s="1026">
        <v>7.9829299591154604E-3</v>
      </c>
      <c r="M396" s="1026">
        <v>5.8939389417768401E-3</v>
      </c>
      <c r="N396" s="1088"/>
      <c r="O396" s="839"/>
      <c r="P396" s="1011"/>
      <c r="Q396" s="992"/>
      <c r="R396" s="1012"/>
      <c r="S396" s="1012"/>
      <c r="T396" s="1012"/>
      <c r="U396" s="1012"/>
      <c r="V396" s="1012"/>
      <c r="W396" s="1012"/>
      <c r="X396" s="1012"/>
      <c r="Y396" s="1025"/>
      <c r="Z396" s="1026"/>
      <c r="AA396" s="1026"/>
      <c r="AB396" s="1026"/>
    </row>
    <row r="397" spans="1:28">
      <c r="A397" s="1005" t="s">
        <v>333</v>
      </c>
      <c r="B397" s="1013">
        <v>995381</v>
      </c>
      <c r="C397" s="1014">
        <v>248887</v>
      </c>
      <c r="D397" s="1015">
        <v>232606</v>
      </c>
      <c r="E397" s="1015">
        <v>103000</v>
      </c>
      <c r="F397" s="1015">
        <v>66604</v>
      </c>
      <c r="G397" s="1015">
        <v>49341</v>
      </c>
      <c r="H397" s="1015">
        <v>149674</v>
      </c>
      <c r="I397" s="1015">
        <v>103349</v>
      </c>
      <c r="J397" s="1027">
        <v>93759</v>
      </c>
      <c r="K397" s="1028">
        <v>84598</v>
      </c>
      <c r="L397" s="1028">
        <v>36743</v>
      </c>
      <c r="M397" s="1028">
        <v>31030</v>
      </c>
      <c r="N397" s="1089"/>
      <c r="O397" s="839"/>
      <c r="P397" s="1005" t="s">
        <v>333</v>
      </c>
      <c r="Q397" s="1037">
        <v>0.16509880099135901</v>
      </c>
      <c r="R397" s="1038">
        <v>0.51925170860671699</v>
      </c>
      <c r="S397" s="1039">
        <v>0.51929013009122704</v>
      </c>
      <c r="T397" s="1039">
        <v>0.69547572815533998</v>
      </c>
      <c r="U397" s="1039">
        <v>0.73677256621223997</v>
      </c>
      <c r="V397" s="1039">
        <v>0.70961269532437499</v>
      </c>
      <c r="W397" s="1039">
        <v>0.42714833571629002</v>
      </c>
      <c r="X397" s="1039">
        <v>0.62629536812160702</v>
      </c>
      <c r="Y397" s="1064">
        <v>0.71492870017811605</v>
      </c>
      <c r="Z397" s="1065">
        <v>0.72184921629352905</v>
      </c>
      <c r="AA397" s="1065">
        <v>0.78942927904634896</v>
      </c>
      <c r="AB397" s="1065">
        <v>0.80302932645826597</v>
      </c>
    </row>
    <row r="398" spans="1:28">
      <c r="A398" s="1016"/>
      <c r="B398" s="1080"/>
      <c r="C398" s="1018">
        <v>0.25004194373812599</v>
      </c>
      <c r="D398" s="1018">
        <v>0.23368539282947901</v>
      </c>
      <c r="E398" s="1018">
        <v>0.103477964719037</v>
      </c>
      <c r="F398" s="1018">
        <v>6.6913071477153002E-2</v>
      </c>
      <c r="G398" s="1018">
        <v>4.9569963662155499E-2</v>
      </c>
      <c r="H398" s="1018">
        <v>0.15036855234327401</v>
      </c>
      <c r="I398" s="1018">
        <v>0.103828584230561</v>
      </c>
      <c r="J398" s="1029">
        <v>9.41940824669147E-2</v>
      </c>
      <c r="K398" s="1030">
        <v>8.4990571449525404E-2</v>
      </c>
      <c r="L398" s="1030">
        <v>3.6913503472539702E-2</v>
      </c>
      <c r="M398" s="1030">
        <v>3.1173992672152699E-2</v>
      </c>
      <c r="N398" s="1031"/>
      <c r="O398" s="839"/>
      <c r="P398" s="1016"/>
      <c r="Q398" s="1017"/>
      <c r="R398" s="1018"/>
      <c r="S398" s="1018"/>
      <c r="T398" s="1018"/>
      <c r="U398" s="1018"/>
      <c r="V398" s="1018"/>
      <c r="W398" s="1018"/>
      <c r="X398" s="1018"/>
      <c r="Y398" s="1029"/>
      <c r="Z398" s="1030"/>
      <c r="AA398" s="1030"/>
      <c r="AB398" s="1030"/>
    </row>
    <row r="399" spans="1:28">
      <c r="A399" s="839"/>
      <c r="B399" s="842"/>
      <c r="C399" s="839"/>
      <c r="D399" s="839"/>
      <c r="E399" s="839"/>
      <c r="F399" s="839"/>
      <c r="G399" s="839"/>
      <c r="N399" s="839"/>
      <c r="O399" s="839"/>
      <c r="P399" s="839"/>
      <c r="Q399" s="839"/>
      <c r="R399" s="839"/>
      <c r="S399" s="839"/>
      <c r="T399" s="839"/>
      <c r="U399" s="839"/>
    </row>
    <row r="400" spans="1:28">
      <c r="A400" s="839"/>
      <c r="B400" s="842"/>
      <c r="C400" s="839"/>
      <c r="D400" s="839"/>
      <c r="E400" s="839"/>
      <c r="F400" s="839"/>
      <c r="O400" s="839"/>
      <c r="P400" s="839" t="s">
        <v>302</v>
      </c>
      <c r="Q400" s="839" t="s">
        <v>363</v>
      </c>
      <c r="R400" s="839"/>
      <c r="S400" s="839"/>
      <c r="T400" s="839"/>
      <c r="U400" s="839"/>
    </row>
    <row r="401" spans="1:28">
      <c r="A401" s="955" t="s">
        <v>338</v>
      </c>
      <c r="B401" s="956"/>
      <c r="C401" s="955">
        <v>2005</v>
      </c>
      <c r="D401" s="839"/>
      <c r="E401" s="839"/>
      <c r="F401" s="839"/>
      <c r="G401" s="839"/>
      <c r="H401" s="839"/>
      <c r="I401" s="839"/>
      <c r="J401" s="839"/>
      <c r="K401" s="839"/>
      <c r="L401" s="839"/>
      <c r="M401" s="839"/>
      <c r="N401" s="839"/>
      <c r="O401" s="839"/>
      <c r="P401" s="955" t="s">
        <v>338</v>
      </c>
      <c r="Q401" s="955"/>
      <c r="R401" s="955">
        <v>2005</v>
      </c>
      <c r="S401" s="839"/>
      <c r="T401" s="839"/>
      <c r="U401" s="839"/>
      <c r="V401" s="958"/>
      <c r="W401" s="958"/>
      <c r="X401" s="958"/>
      <c r="Y401" s="958"/>
      <c r="Z401" s="958"/>
      <c r="AA401" s="958"/>
      <c r="AB401" s="958"/>
    </row>
    <row r="402" spans="1:28">
      <c r="A402" s="839"/>
      <c r="B402" s="842"/>
      <c r="C402" s="839"/>
      <c r="D402" s="839"/>
      <c r="E402" s="839"/>
      <c r="F402" s="839"/>
      <c r="G402" s="958"/>
      <c r="H402" s="958"/>
      <c r="I402" s="958"/>
      <c r="J402" s="958"/>
      <c r="K402" s="958"/>
      <c r="L402" s="958"/>
      <c r="M402" s="958"/>
      <c r="N402" s="958"/>
      <c r="O402" s="839"/>
      <c r="P402" s="839"/>
      <c r="Q402" s="839"/>
      <c r="R402" s="839"/>
      <c r="S402" s="839"/>
      <c r="T402" s="839"/>
      <c r="U402" s="839"/>
      <c r="V402" s="958"/>
      <c r="W402" s="958"/>
      <c r="X402" s="958"/>
      <c r="Y402" s="958"/>
      <c r="Z402" s="958"/>
      <c r="AA402" s="958"/>
      <c r="AB402" s="958"/>
    </row>
    <row r="403" spans="1:28">
      <c r="A403" s="959" t="s">
        <v>315</v>
      </c>
      <c r="B403" s="960" t="s">
        <v>316</v>
      </c>
      <c r="C403" s="961"/>
      <c r="D403" s="961"/>
      <c r="E403" s="961" t="s">
        <v>339</v>
      </c>
      <c r="F403" s="961"/>
      <c r="G403" s="961"/>
      <c r="H403" s="961"/>
      <c r="I403" s="961"/>
      <c r="J403" s="961"/>
      <c r="K403" s="959" t="s">
        <v>340</v>
      </c>
      <c r="L403" s="959" t="s">
        <v>341</v>
      </c>
      <c r="M403" s="959" t="s">
        <v>342</v>
      </c>
      <c r="N403" s="1086"/>
      <c r="O403" s="839"/>
      <c r="P403" s="959" t="s">
        <v>315</v>
      </c>
      <c r="Q403" s="990" t="s">
        <v>316</v>
      </c>
      <c r="R403" s="961"/>
      <c r="S403" s="961"/>
      <c r="T403" s="961" t="s">
        <v>343</v>
      </c>
      <c r="U403" s="961"/>
      <c r="V403" s="961"/>
      <c r="W403" s="961"/>
      <c r="X403" s="961"/>
      <c r="Y403" s="961"/>
      <c r="Z403" s="959" t="s">
        <v>340</v>
      </c>
      <c r="AA403" s="959" t="s">
        <v>341</v>
      </c>
      <c r="AB403" s="959" t="s">
        <v>342</v>
      </c>
    </row>
    <row r="404" spans="1:28">
      <c r="A404" s="962" t="s">
        <v>344</v>
      </c>
      <c r="B404" s="963" t="s">
        <v>320</v>
      </c>
      <c r="C404" s="964"/>
      <c r="D404" s="964"/>
      <c r="E404" s="964" t="s">
        <v>345</v>
      </c>
      <c r="F404" s="964"/>
      <c r="G404" s="964"/>
      <c r="H404" s="964"/>
      <c r="I404" s="964"/>
      <c r="J404" s="964"/>
      <c r="K404" s="982" t="s">
        <v>346</v>
      </c>
      <c r="L404" s="982" t="s">
        <v>346</v>
      </c>
      <c r="M404" s="982" t="s">
        <v>346</v>
      </c>
      <c r="N404" s="1086"/>
      <c r="O404" s="839"/>
      <c r="P404" s="962" t="s">
        <v>344</v>
      </c>
      <c r="Q404" s="991" t="s">
        <v>320</v>
      </c>
      <c r="R404" s="964"/>
      <c r="S404" s="964"/>
      <c r="T404" s="964" t="s">
        <v>347</v>
      </c>
      <c r="U404" s="964"/>
      <c r="V404" s="964"/>
      <c r="W404" s="964"/>
      <c r="X404" s="964"/>
      <c r="Y404" s="964"/>
      <c r="Z404" s="982" t="s">
        <v>346</v>
      </c>
      <c r="AA404" s="982" t="s">
        <v>346</v>
      </c>
      <c r="AB404" s="982" t="s">
        <v>346</v>
      </c>
    </row>
    <row r="405" spans="1:28">
      <c r="A405" s="962" t="s">
        <v>325</v>
      </c>
      <c r="B405" s="963" t="s">
        <v>61</v>
      </c>
      <c r="C405" s="965" t="s">
        <v>326</v>
      </c>
      <c r="D405" s="965" t="s">
        <v>348</v>
      </c>
      <c r="E405" s="965"/>
      <c r="F405" s="965"/>
      <c r="G405" s="965"/>
      <c r="H405" s="965"/>
      <c r="I405" s="965"/>
      <c r="J405" s="983" t="s">
        <v>126</v>
      </c>
      <c r="K405" s="962" t="s">
        <v>349</v>
      </c>
      <c r="L405" s="962" t="s">
        <v>350</v>
      </c>
      <c r="M405" s="962" t="s">
        <v>350</v>
      </c>
      <c r="N405" s="1087"/>
      <c r="O405" s="839"/>
      <c r="P405" s="962" t="s">
        <v>325</v>
      </c>
      <c r="Q405" s="991" t="s">
        <v>61</v>
      </c>
      <c r="R405" s="965" t="s">
        <v>326</v>
      </c>
      <c r="S405" s="965" t="s">
        <v>348</v>
      </c>
      <c r="T405" s="965"/>
      <c r="U405" s="965"/>
      <c r="V405" s="965"/>
      <c r="W405" s="965"/>
      <c r="X405" s="965"/>
      <c r="Y405" s="983" t="s">
        <v>126</v>
      </c>
      <c r="Z405" s="962" t="s">
        <v>349</v>
      </c>
      <c r="AA405" s="962" t="s">
        <v>350</v>
      </c>
      <c r="AB405" s="962" t="s">
        <v>350</v>
      </c>
    </row>
    <row r="406" spans="1:28">
      <c r="A406" s="966"/>
      <c r="B406" s="967"/>
      <c r="C406" s="968" t="s">
        <v>328</v>
      </c>
      <c r="D406" s="968" t="s">
        <v>352</v>
      </c>
      <c r="E406" s="968" t="s">
        <v>54</v>
      </c>
      <c r="F406" s="968" t="s">
        <v>55</v>
      </c>
      <c r="G406" s="968" t="s">
        <v>329</v>
      </c>
      <c r="H406" s="968" t="s">
        <v>353</v>
      </c>
      <c r="I406" s="968" t="s">
        <v>330</v>
      </c>
      <c r="J406" s="964" t="s">
        <v>354</v>
      </c>
      <c r="K406" s="984" t="s">
        <v>355</v>
      </c>
      <c r="L406" s="984" t="s">
        <v>356</v>
      </c>
      <c r="M406" s="984" t="s">
        <v>357</v>
      </c>
      <c r="N406" s="1086"/>
      <c r="O406" s="839"/>
      <c r="P406" s="966"/>
      <c r="Q406" s="992"/>
      <c r="R406" s="968" t="s">
        <v>328</v>
      </c>
      <c r="S406" s="968" t="s">
        <v>352</v>
      </c>
      <c r="T406" s="968" t="s">
        <v>54</v>
      </c>
      <c r="U406" s="968" t="s">
        <v>55</v>
      </c>
      <c r="V406" s="968" t="s">
        <v>329</v>
      </c>
      <c r="W406" s="968" t="s">
        <v>353</v>
      </c>
      <c r="X406" s="968" t="s">
        <v>330</v>
      </c>
      <c r="Y406" s="964" t="s">
        <v>354</v>
      </c>
      <c r="Z406" s="984" t="s">
        <v>355</v>
      </c>
      <c r="AA406" s="984" t="s">
        <v>356</v>
      </c>
      <c r="AB406" s="984" t="s">
        <v>357</v>
      </c>
    </row>
    <row r="407" spans="1:28">
      <c r="A407" s="969" t="s">
        <v>54</v>
      </c>
      <c r="B407" s="970">
        <v>126652</v>
      </c>
      <c r="C407" s="971">
        <v>50381</v>
      </c>
      <c r="D407" s="971">
        <v>48634</v>
      </c>
      <c r="E407" s="1325" t="s">
        <v>245</v>
      </c>
      <c r="F407" s="971">
        <v>23023</v>
      </c>
      <c r="G407" s="971">
        <v>9912</v>
      </c>
      <c r="H407" s="971">
        <v>44954</v>
      </c>
      <c r="I407" s="971">
        <v>23197</v>
      </c>
      <c r="J407" s="985">
        <v>21150</v>
      </c>
      <c r="K407" s="986">
        <v>21422</v>
      </c>
      <c r="L407" s="986">
        <v>8026</v>
      </c>
      <c r="M407" s="986">
        <v>7021</v>
      </c>
      <c r="N407" s="985"/>
      <c r="O407" s="839"/>
      <c r="P407" s="969" t="s">
        <v>54</v>
      </c>
      <c r="Q407" s="993">
        <v>0.349566059414813</v>
      </c>
      <c r="R407" s="994">
        <v>0.67610805660864204</v>
      </c>
      <c r="S407" s="994">
        <v>0.67960685939877497</v>
      </c>
      <c r="T407" s="1325" t="s">
        <v>245</v>
      </c>
      <c r="U407" s="994">
        <v>0.81045041914607097</v>
      </c>
      <c r="V407" s="994">
        <v>0.86440677966101698</v>
      </c>
      <c r="W407" s="994">
        <v>0.68612359300618397</v>
      </c>
      <c r="X407" s="994">
        <v>0.79738759322326203</v>
      </c>
      <c r="Y407" s="1001">
        <v>0.82595744680851102</v>
      </c>
      <c r="Z407" s="996">
        <v>0.81920455606386</v>
      </c>
      <c r="AA407" s="996">
        <v>0.88848741589833002</v>
      </c>
      <c r="AB407" s="996">
        <v>0.89460190856003396</v>
      </c>
    </row>
    <row r="408" spans="1:28">
      <c r="A408" s="972"/>
      <c r="B408" s="973"/>
      <c r="C408" s="974">
        <v>0.39779079682910701</v>
      </c>
      <c r="D408" s="974">
        <v>0.38399709440040403</v>
      </c>
      <c r="E408" s="974"/>
      <c r="F408" s="974">
        <v>0.18178157470865</v>
      </c>
      <c r="G408" s="974">
        <v>7.8261693459242707E-2</v>
      </c>
      <c r="H408" s="974">
        <v>0.354941098442978</v>
      </c>
      <c r="I408" s="974">
        <v>0.18315541799576801</v>
      </c>
      <c r="J408" s="987">
        <v>0.16699302024444901</v>
      </c>
      <c r="K408" s="987">
        <v>0.169140637336955</v>
      </c>
      <c r="L408" s="987">
        <v>6.3370495531061499E-2</v>
      </c>
      <c r="M408" s="987">
        <v>5.5435366200296897E-2</v>
      </c>
      <c r="N408" s="1088"/>
      <c r="O408" s="839"/>
      <c r="P408" s="972"/>
      <c r="Q408" s="995"/>
      <c r="R408" s="974"/>
      <c r="S408" s="974"/>
      <c r="T408" s="974"/>
      <c r="U408" s="974"/>
      <c r="V408" s="974"/>
      <c r="W408" s="974"/>
      <c r="X408" s="974"/>
      <c r="Y408" s="1002"/>
      <c r="Z408" s="1003"/>
      <c r="AA408" s="1003"/>
      <c r="AB408" s="1003"/>
    </row>
    <row r="409" spans="1:28">
      <c r="A409" s="969" t="s">
        <v>55</v>
      </c>
      <c r="B409" s="975">
        <v>359382</v>
      </c>
      <c r="C409" s="971">
        <v>76031</v>
      </c>
      <c r="D409" s="971">
        <v>74631</v>
      </c>
      <c r="E409" s="971">
        <v>31383</v>
      </c>
      <c r="F409" s="1325" t="s">
        <v>245</v>
      </c>
      <c r="G409" s="971">
        <v>20888</v>
      </c>
      <c r="H409" s="971">
        <v>67577</v>
      </c>
      <c r="I409" s="971">
        <v>35215</v>
      </c>
      <c r="J409" s="985">
        <v>18538</v>
      </c>
      <c r="K409" s="986">
        <v>29527</v>
      </c>
      <c r="L409" s="986">
        <v>11734</v>
      </c>
      <c r="M409" s="986">
        <v>9724</v>
      </c>
      <c r="N409" s="985"/>
      <c r="O409" s="839"/>
      <c r="P409" s="969" t="s">
        <v>55</v>
      </c>
      <c r="Q409" s="996">
        <v>8.7793008309885401E-2</v>
      </c>
      <c r="R409" s="994">
        <v>0.34550380765740302</v>
      </c>
      <c r="S409" s="994">
        <v>0.33870643566346398</v>
      </c>
      <c r="T409" s="994">
        <v>0.541630819233343</v>
      </c>
      <c r="U409" s="1325" t="s">
        <v>245</v>
      </c>
      <c r="V409" s="994">
        <v>0.529299119111452</v>
      </c>
      <c r="W409" s="994">
        <v>0.34388919306864801</v>
      </c>
      <c r="X409" s="994">
        <v>0.45668039187846099</v>
      </c>
      <c r="Y409" s="1001">
        <v>0.55065271334555999</v>
      </c>
      <c r="Z409" s="996">
        <v>0.55051308971449897</v>
      </c>
      <c r="AA409" s="996">
        <v>0.68246122379410301</v>
      </c>
      <c r="AB409" s="996">
        <v>0.70176881941587799</v>
      </c>
    </row>
    <row r="410" spans="1:28">
      <c r="A410" s="972"/>
      <c r="B410" s="973"/>
      <c r="C410" s="974">
        <v>0.211560400910452</v>
      </c>
      <c r="D410" s="974">
        <v>0.20766482461558999</v>
      </c>
      <c r="E410" s="974">
        <v>8.7324907758318401E-2</v>
      </c>
      <c r="F410" s="974"/>
      <c r="G410" s="974">
        <v>5.81219983193371E-2</v>
      </c>
      <c r="H410" s="974">
        <v>0.18803668519847999</v>
      </c>
      <c r="I410" s="974">
        <v>9.7987656588254299E-2</v>
      </c>
      <c r="J410" s="987">
        <v>5.1582995252961998E-2</v>
      </c>
      <c r="K410" s="987">
        <v>8.2160486613130301E-2</v>
      </c>
      <c r="L410" s="987">
        <v>3.2650494459934003E-2</v>
      </c>
      <c r="M410" s="987">
        <v>2.7057559922311101E-2</v>
      </c>
      <c r="N410" s="1088"/>
      <c r="O410" s="839"/>
      <c r="P410" s="972"/>
      <c r="Q410" s="995"/>
      <c r="R410" s="974"/>
      <c r="S410" s="974"/>
      <c r="T410" s="974"/>
      <c r="U410" s="974"/>
      <c r="V410" s="974"/>
      <c r="W410" s="974"/>
      <c r="X410" s="974"/>
      <c r="Y410" s="1002"/>
      <c r="Z410" s="1003"/>
      <c r="AA410" s="1003"/>
      <c r="AB410" s="1003"/>
    </row>
    <row r="411" spans="1:28">
      <c r="A411" s="969" t="s">
        <v>329</v>
      </c>
      <c r="B411" s="975">
        <v>121942</v>
      </c>
      <c r="C411" s="971">
        <v>22091</v>
      </c>
      <c r="D411" s="971">
        <v>21920</v>
      </c>
      <c r="E411" s="971">
        <v>7278</v>
      </c>
      <c r="F411" s="971">
        <v>8555</v>
      </c>
      <c r="G411" s="1325" t="s">
        <v>245</v>
      </c>
      <c r="H411" s="971">
        <v>19725</v>
      </c>
      <c r="I411" s="971">
        <v>10810</v>
      </c>
      <c r="J411" s="985">
        <v>3941</v>
      </c>
      <c r="K411" s="986">
        <v>4183</v>
      </c>
      <c r="L411" s="986">
        <v>4183</v>
      </c>
      <c r="M411" s="986">
        <v>3136</v>
      </c>
      <c r="N411" s="985"/>
      <c r="O411" s="839"/>
      <c r="P411" s="969" t="s">
        <v>329</v>
      </c>
      <c r="Q411" s="996">
        <v>5.7406213856246099E-2</v>
      </c>
      <c r="R411" s="994">
        <v>0.21189624734054599</v>
      </c>
      <c r="S411" s="994">
        <v>0.209945255474453</v>
      </c>
      <c r="T411" s="994">
        <v>0.388156086837043</v>
      </c>
      <c r="U411" s="994">
        <v>0.30660432495616602</v>
      </c>
      <c r="V411" s="1325" t="s">
        <v>245</v>
      </c>
      <c r="W411" s="994">
        <v>0.20958174904943</v>
      </c>
      <c r="X411" s="994">
        <v>0.25346901017576301</v>
      </c>
      <c r="Y411" s="1001">
        <v>0.42781020045673701</v>
      </c>
      <c r="Z411" s="996">
        <v>0.44131006454697602</v>
      </c>
      <c r="AA411" s="996">
        <v>0.44131006454697602</v>
      </c>
      <c r="AB411" s="996">
        <v>0.46428571428571402</v>
      </c>
    </row>
    <row r="412" spans="1:28">
      <c r="A412" s="972"/>
      <c r="B412" s="973"/>
      <c r="C412" s="974">
        <v>0.181159895688114</v>
      </c>
      <c r="D412" s="974">
        <v>0.179757589673779</v>
      </c>
      <c r="E412" s="974">
        <v>5.9684112118876198E-2</v>
      </c>
      <c r="F412" s="974">
        <v>7.0156303816568497E-2</v>
      </c>
      <c r="G412" s="974"/>
      <c r="H412" s="974">
        <v>0.16175722884650101</v>
      </c>
      <c r="I412" s="974">
        <v>8.8648701841859204E-2</v>
      </c>
      <c r="J412" s="987">
        <v>3.2318643289432701E-2</v>
      </c>
      <c r="K412" s="987">
        <v>3.4303193321415099E-2</v>
      </c>
      <c r="L412" s="987">
        <v>3.4303193321415099E-2</v>
      </c>
      <c r="M412" s="987">
        <v>2.5717144216102699E-2</v>
      </c>
      <c r="N412" s="1088"/>
      <c r="O412" s="839"/>
      <c r="P412" s="972"/>
      <c r="Q412" s="995"/>
      <c r="R412" s="974"/>
      <c r="S412" s="974"/>
      <c r="T412" s="974"/>
      <c r="U412" s="974"/>
      <c r="V412" s="997"/>
      <c r="W412" s="974"/>
      <c r="X412" s="974"/>
      <c r="Y412" s="1002"/>
      <c r="Z412" s="1003"/>
      <c r="AA412" s="1003"/>
      <c r="AB412" s="1003"/>
    </row>
    <row r="413" spans="1:28">
      <c r="A413" s="969" t="s">
        <v>360</v>
      </c>
      <c r="B413" s="975">
        <v>202776</v>
      </c>
      <c r="C413" s="971">
        <v>79686</v>
      </c>
      <c r="D413" s="971">
        <v>68854</v>
      </c>
      <c r="E413" s="971">
        <v>60421</v>
      </c>
      <c r="F413" s="971">
        <v>37645</v>
      </c>
      <c r="G413" s="971">
        <v>18859</v>
      </c>
      <c r="H413" s="1324" t="s">
        <v>245</v>
      </c>
      <c r="I413" s="971">
        <v>32984</v>
      </c>
      <c r="J413" s="985">
        <v>50440</v>
      </c>
      <c r="K413" s="986">
        <v>33683</v>
      </c>
      <c r="L413" s="986">
        <v>15029</v>
      </c>
      <c r="M413" s="986">
        <v>12307</v>
      </c>
      <c r="N413" s="985"/>
      <c r="O413" s="839"/>
      <c r="P413" s="969" t="s">
        <v>360</v>
      </c>
      <c r="Q413" s="996">
        <v>0.24078886044269701</v>
      </c>
      <c r="R413" s="994">
        <v>0.70102652912682295</v>
      </c>
      <c r="S413" s="994">
        <v>0.74518546489673798</v>
      </c>
      <c r="T413" s="994">
        <v>0.79773588652951799</v>
      </c>
      <c r="U413" s="994">
        <v>0.799521848851109</v>
      </c>
      <c r="V413" s="994">
        <v>0.85704438199268296</v>
      </c>
      <c r="W413" s="1324" t="s">
        <v>245</v>
      </c>
      <c r="X413" s="994">
        <v>0.76261217560029104</v>
      </c>
      <c r="Y413" s="1001">
        <v>0.74026566217287904</v>
      </c>
      <c r="Z413" s="996">
        <v>0.84526318914585996</v>
      </c>
      <c r="AA413" s="996">
        <v>0.88595382260962097</v>
      </c>
      <c r="AB413" s="996">
        <v>0.88981880230763</v>
      </c>
    </row>
    <row r="414" spans="1:28">
      <c r="A414" s="972"/>
      <c r="B414" s="1083"/>
      <c r="C414" s="974">
        <v>0.39297550005917897</v>
      </c>
      <c r="D414" s="974">
        <v>0.33955694954038002</v>
      </c>
      <c r="E414" s="974">
        <v>0.29796918767507002</v>
      </c>
      <c r="F414" s="974">
        <v>0.18564820294314899</v>
      </c>
      <c r="G414" s="974">
        <v>9.3004103049670606E-2</v>
      </c>
      <c r="H414" s="974"/>
      <c r="I414" s="974">
        <v>0.162662247997791</v>
      </c>
      <c r="J414" s="987">
        <v>0.248747386278455</v>
      </c>
      <c r="K414" s="987">
        <v>0.16610940150708201</v>
      </c>
      <c r="L414" s="987">
        <v>7.4116266224799804E-2</v>
      </c>
      <c r="M414" s="987">
        <v>6.0692586893912499E-2</v>
      </c>
      <c r="N414" s="1088"/>
      <c r="O414" s="839"/>
      <c r="P414" s="972"/>
      <c r="Q414" s="999"/>
      <c r="R414" s="974"/>
      <c r="S414" s="974"/>
      <c r="T414" s="974"/>
      <c r="U414" s="974"/>
      <c r="V414" s="974"/>
      <c r="W414" s="1082"/>
      <c r="X414" s="974"/>
      <c r="Y414" s="1002"/>
      <c r="Z414" s="1003"/>
      <c r="AA414" s="1003"/>
      <c r="AB414" s="1003"/>
    </row>
    <row r="415" spans="1:28">
      <c r="A415" s="969" t="s">
        <v>330</v>
      </c>
      <c r="B415" s="975">
        <v>93172</v>
      </c>
      <c r="C415" s="971">
        <v>5347</v>
      </c>
      <c r="D415" s="971">
        <v>5258</v>
      </c>
      <c r="E415" s="971">
        <v>2018</v>
      </c>
      <c r="F415" s="971">
        <v>1068</v>
      </c>
      <c r="G415" s="971">
        <v>456</v>
      </c>
      <c r="H415" s="971">
        <v>4523</v>
      </c>
      <c r="I415" s="1324" t="s">
        <v>245</v>
      </c>
      <c r="J415" s="985">
        <v>701</v>
      </c>
      <c r="K415" s="986">
        <v>581</v>
      </c>
      <c r="L415" s="986">
        <v>233</v>
      </c>
      <c r="M415" s="986">
        <v>233</v>
      </c>
      <c r="N415" s="985"/>
      <c r="O415" s="839"/>
      <c r="P415" s="969" t="s">
        <v>330</v>
      </c>
      <c r="Q415" s="996">
        <v>4.4442972579149601E-2</v>
      </c>
      <c r="R415" s="994">
        <v>0.40302973630072902</v>
      </c>
      <c r="S415" s="994">
        <v>0.40395587675922401</v>
      </c>
      <c r="T415" s="994">
        <v>0.74777006937561896</v>
      </c>
      <c r="U415" s="994">
        <v>0.63857677902621701</v>
      </c>
      <c r="V415" s="994">
        <v>0.82894736842105299</v>
      </c>
      <c r="W415" s="994">
        <v>0.390006632765863</v>
      </c>
      <c r="X415" s="1324" t="s">
        <v>245</v>
      </c>
      <c r="Y415" s="1001">
        <v>0.72467902995720401</v>
      </c>
      <c r="Z415" s="996">
        <v>0.85197934595525004</v>
      </c>
      <c r="AA415" s="996">
        <v>0.92703862660944203</v>
      </c>
      <c r="AB415" s="996">
        <v>0.92703862660944203</v>
      </c>
    </row>
    <row r="416" spans="1:28">
      <c r="A416" s="978"/>
      <c r="B416" s="1084"/>
      <c r="C416" s="980">
        <v>5.7388485811187898E-2</v>
      </c>
      <c r="D416" s="981">
        <v>5.6433263212123802E-2</v>
      </c>
      <c r="E416" s="981">
        <v>2.1658867470914001E-2</v>
      </c>
      <c r="F416" s="981">
        <v>1.1462671188769201E-2</v>
      </c>
      <c r="G416" s="981">
        <v>4.8941742154295304E-3</v>
      </c>
      <c r="H416" s="981">
        <v>4.8544627141201203E-2</v>
      </c>
      <c r="I416" s="981"/>
      <c r="J416" s="1004">
        <v>7.5237195724037302E-3</v>
      </c>
      <c r="K416" s="988">
        <v>6.2357789893959601E-3</v>
      </c>
      <c r="L416" s="988">
        <v>2.50075129867342E-3</v>
      </c>
      <c r="M416" s="988">
        <v>2.50075129867342E-3</v>
      </c>
      <c r="N416" s="1088"/>
      <c r="O416" s="839"/>
      <c r="P416" s="978"/>
      <c r="Q416" s="1000"/>
      <c r="R416" s="981"/>
      <c r="S416" s="981"/>
      <c r="T416" s="981"/>
      <c r="U416" s="981"/>
      <c r="V416" s="981"/>
      <c r="W416" s="981"/>
      <c r="X416" s="981"/>
      <c r="Y416" s="1004"/>
      <c r="Z416" s="988"/>
      <c r="AA416" s="988"/>
      <c r="AB416" s="988"/>
    </row>
    <row r="417" spans="1:28">
      <c r="A417" s="1005" t="s">
        <v>361</v>
      </c>
      <c r="B417" s="1085">
        <v>903924</v>
      </c>
      <c r="C417" s="1007">
        <v>233536</v>
      </c>
      <c r="D417" s="1007">
        <v>219297</v>
      </c>
      <c r="E417" s="1007">
        <v>101100</v>
      </c>
      <c r="F417" s="1007">
        <v>70291</v>
      </c>
      <c r="G417" s="1007">
        <v>50115</v>
      </c>
      <c r="H417" s="1007">
        <v>136779</v>
      </c>
      <c r="I417" s="1007">
        <v>102206</v>
      </c>
      <c r="J417" s="1019">
        <v>94770</v>
      </c>
      <c r="K417" s="1020">
        <v>89396</v>
      </c>
      <c r="L417" s="1020">
        <v>39205</v>
      </c>
      <c r="M417" s="1020">
        <v>32421</v>
      </c>
      <c r="N417" s="1019"/>
      <c r="O417" s="839"/>
      <c r="P417" s="1005" t="s">
        <v>361</v>
      </c>
      <c r="Q417" s="1033">
        <v>0.163009235495335</v>
      </c>
      <c r="R417" s="1034">
        <v>0.52681385311044104</v>
      </c>
      <c r="S417" s="1034">
        <v>0.53062741396371105</v>
      </c>
      <c r="T417" s="1034">
        <v>0.687754698318497</v>
      </c>
      <c r="U417" s="1034">
        <v>0.74066381186780705</v>
      </c>
      <c r="V417" s="1034">
        <v>0.72164022747680301</v>
      </c>
      <c r="W417" s="1034">
        <v>0.43852491976107399</v>
      </c>
      <c r="X417" s="1034">
        <v>0.61124591511261595</v>
      </c>
      <c r="Y417" s="1061">
        <v>0.70919067215363496</v>
      </c>
      <c r="Z417" s="1033">
        <v>0.72280638954763099</v>
      </c>
      <c r="AA417" s="1033">
        <v>0.77837010585384503</v>
      </c>
      <c r="AB417" s="1033">
        <v>0.79355972980475598</v>
      </c>
    </row>
    <row r="418" spans="1:28">
      <c r="A418" s="1008" t="s">
        <v>362</v>
      </c>
      <c r="B418" s="1009"/>
      <c r="C418" s="1036">
        <v>0.25835800354897098</v>
      </c>
      <c r="D418" s="1036">
        <v>0.24260557303490099</v>
      </c>
      <c r="E418" s="1036">
        <v>0.111845686141755</v>
      </c>
      <c r="F418" s="1036">
        <v>7.7762068492483905E-2</v>
      </c>
      <c r="G418" s="1036">
        <v>5.5441607922790001E-2</v>
      </c>
      <c r="H418" s="1036">
        <v>0.151316924874215</v>
      </c>
      <c r="I418" s="1036">
        <v>0.113069240334364</v>
      </c>
      <c r="J418" s="1062">
        <v>0.10484288502130699</v>
      </c>
      <c r="K418" s="1063">
        <v>9.8897694938955005E-2</v>
      </c>
      <c r="L418" s="1063">
        <v>4.3372009151211803E-2</v>
      </c>
      <c r="M418" s="1063">
        <v>3.5866953416437697E-2</v>
      </c>
      <c r="N418" s="1031"/>
      <c r="O418" s="839"/>
      <c r="P418" s="1008" t="s">
        <v>362</v>
      </c>
      <c r="Q418" s="1035"/>
      <c r="R418" s="1036"/>
      <c r="S418" s="1036"/>
      <c r="T418" s="1036"/>
      <c r="U418" s="1036"/>
      <c r="V418" s="1036"/>
      <c r="W418" s="1036"/>
      <c r="X418" s="1036"/>
      <c r="Y418" s="1062"/>
      <c r="Z418" s="1063"/>
      <c r="AA418" s="1063"/>
      <c r="AB418" s="1063"/>
    </row>
    <row r="419" spans="1:28">
      <c r="A419" s="969" t="s">
        <v>59</v>
      </c>
      <c r="B419" s="975">
        <v>50285</v>
      </c>
      <c r="C419" s="971">
        <v>14885</v>
      </c>
      <c r="D419" s="971">
        <v>14885</v>
      </c>
      <c r="E419" s="971">
        <v>4447</v>
      </c>
      <c r="F419" s="971">
        <v>2883</v>
      </c>
      <c r="G419" s="971">
        <v>1106</v>
      </c>
      <c r="H419" s="971">
        <v>13674</v>
      </c>
      <c r="I419" s="971">
        <v>1817</v>
      </c>
      <c r="J419" s="1326" t="s">
        <v>245</v>
      </c>
      <c r="K419" s="1024">
        <v>1579</v>
      </c>
      <c r="L419" s="1024">
        <v>618</v>
      </c>
      <c r="M419" s="1024">
        <v>460</v>
      </c>
      <c r="N419" s="985"/>
      <c r="O419" s="839"/>
      <c r="P419" s="969" t="s">
        <v>59</v>
      </c>
      <c r="Q419" s="996">
        <v>9.0176865164360201E-2</v>
      </c>
      <c r="R419" s="994">
        <v>0.292038965401411</v>
      </c>
      <c r="S419" s="994">
        <v>0.292038965401411</v>
      </c>
      <c r="T419" s="994">
        <v>0.75961322239712203</v>
      </c>
      <c r="U419" s="994">
        <v>0.50502948317724605</v>
      </c>
      <c r="V419" s="994">
        <v>0.67540687160940305</v>
      </c>
      <c r="W419" s="994">
        <v>0.27555945590171099</v>
      </c>
      <c r="X419" s="994">
        <v>0.87176664832140904</v>
      </c>
      <c r="Y419" s="1324" t="s">
        <v>245</v>
      </c>
      <c r="Z419" s="996">
        <v>0.79417352754908199</v>
      </c>
      <c r="AA419" s="996">
        <v>0.88349514563106801</v>
      </c>
      <c r="AB419" s="996">
        <v>0.96956521739130397</v>
      </c>
    </row>
    <row r="420" spans="1:28">
      <c r="A420" s="1011"/>
      <c r="B420" s="967"/>
      <c r="C420" s="1012">
        <v>0.29601272745351498</v>
      </c>
      <c r="D420" s="1012">
        <v>0.29601272745351498</v>
      </c>
      <c r="E420" s="1012">
        <v>8.8435915282887495E-2</v>
      </c>
      <c r="F420" s="1012">
        <v>5.73332007556926E-2</v>
      </c>
      <c r="G420" s="1012">
        <v>2.1994630605548401E-2</v>
      </c>
      <c r="H420" s="1012">
        <v>0.271929999005668</v>
      </c>
      <c r="I420" s="1012">
        <v>3.6134035994829498E-2</v>
      </c>
      <c r="J420" s="1025"/>
      <c r="K420" s="1026">
        <v>3.1401014218952E-2</v>
      </c>
      <c r="L420" s="1026">
        <v>1.22899473003878E-2</v>
      </c>
      <c r="M420" s="1026">
        <v>9.1478572138808806E-3</v>
      </c>
      <c r="N420" s="1088"/>
      <c r="O420" s="839"/>
      <c r="P420" s="1011"/>
      <c r="Q420" s="992"/>
      <c r="R420" s="1012"/>
      <c r="S420" s="1012"/>
      <c r="T420" s="1012"/>
      <c r="U420" s="1012"/>
      <c r="V420" s="1012"/>
      <c r="W420" s="1012"/>
      <c r="X420" s="1012"/>
      <c r="Y420" s="1025"/>
      <c r="Z420" s="1026"/>
      <c r="AA420" s="1026"/>
      <c r="AB420" s="1026"/>
    </row>
    <row r="421" spans="1:28">
      <c r="A421" s="1005" t="s">
        <v>333</v>
      </c>
      <c r="B421" s="1013">
        <v>954209</v>
      </c>
      <c r="C421" s="1014">
        <v>248421</v>
      </c>
      <c r="D421" s="1015">
        <v>234182</v>
      </c>
      <c r="E421" s="1015">
        <v>105547</v>
      </c>
      <c r="F421" s="1015">
        <v>73174</v>
      </c>
      <c r="G421" s="1015">
        <v>51221</v>
      </c>
      <c r="H421" s="1015">
        <v>150453</v>
      </c>
      <c r="I421" s="1015">
        <v>104023</v>
      </c>
      <c r="J421" s="1027">
        <v>94770</v>
      </c>
      <c r="K421" s="1028">
        <v>90975</v>
      </c>
      <c r="L421" s="1028">
        <v>39823</v>
      </c>
      <c r="M421" s="1028">
        <v>32881</v>
      </c>
      <c r="N421" s="1089"/>
      <c r="O421" s="839"/>
      <c r="P421" s="1005" t="s">
        <v>333</v>
      </c>
      <c r="Q421" s="1037">
        <v>0.15784123413174</v>
      </c>
      <c r="R421" s="1038">
        <v>0.51274650693781898</v>
      </c>
      <c r="S421" s="1039">
        <v>0.51546233271557995</v>
      </c>
      <c r="T421" s="1039">
        <v>0.69078230551318398</v>
      </c>
      <c r="U421" s="1039">
        <v>0.73137999836007295</v>
      </c>
      <c r="V421" s="1039">
        <v>0.720641924210773</v>
      </c>
      <c r="W421" s="1039">
        <v>0.42371371790525902</v>
      </c>
      <c r="X421" s="1039">
        <v>0.61579650654182205</v>
      </c>
      <c r="Y421" s="1064">
        <v>0.70919067215363496</v>
      </c>
      <c r="Z421" s="1065">
        <v>0.72404506732618901</v>
      </c>
      <c r="AA421" s="1065">
        <v>0.78000150666700196</v>
      </c>
      <c r="AB421" s="1065">
        <v>0.79602201879504897</v>
      </c>
    </row>
    <row r="422" spans="1:28">
      <c r="A422" s="1016"/>
      <c r="B422" s="1080"/>
      <c r="C422" s="1018">
        <v>0.26034233590334999</v>
      </c>
      <c r="D422" s="1018">
        <v>0.245420028526245</v>
      </c>
      <c r="E422" s="1018">
        <v>0.110612035728022</v>
      </c>
      <c r="F422" s="1018">
        <v>7.66855060054977E-2</v>
      </c>
      <c r="G422" s="1018">
        <v>5.36790158130976E-2</v>
      </c>
      <c r="H422" s="1018">
        <v>0.157673004551414</v>
      </c>
      <c r="I422" s="1018">
        <v>0.109014901347608</v>
      </c>
      <c r="J422" s="1029">
        <v>9.9317864325320804E-2</v>
      </c>
      <c r="K422" s="1030">
        <v>9.5340748200865896E-2</v>
      </c>
      <c r="L422" s="1030">
        <v>4.1734043590031099E-2</v>
      </c>
      <c r="M422" s="1030">
        <v>3.4458907849328597E-2</v>
      </c>
      <c r="N422" s="1031"/>
      <c r="O422" s="839"/>
      <c r="P422" s="1016"/>
      <c r="Q422" s="1017"/>
      <c r="R422" s="1018"/>
      <c r="S422" s="1018"/>
      <c r="T422" s="1018"/>
      <c r="U422" s="1018"/>
      <c r="V422" s="1018"/>
      <c r="W422" s="1018"/>
      <c r="X422" s="1018"/>
      <c r="Y422" s="1029"/>
      <c r="Z422" s="1030"/>
      <c r="AA422" s="1030"/>
      <c r="AB422" s="1030"/>
    </row>
    <row r="423" spans="1:28">
      <c r="A423" s="839"/>
      <c r="B423" s="842"/>
      <c r="C423" s="839"/>
      <c r="D423" s="839"/>
      <c r="E423" s="839"/>
      <c r="F423" s="839"/>
      <c r="G423" s="839"/>
      <c r="N423" s="839"/>
      <c r="O423" s="839"/>
      <c r="P423" s="839"/>
      <c r="Q423" s="839"/>
      <c r="R423" s="839"/>
      <c r="S423" s="839"/>
      <c r="T423" s="839"/>
      <c r="U423" s="839"/>
    </row>
    <row r="424" spans="1:28">
      <c r="A424" s="839"/>
      <c r="B424" s="842"/>
      <c r="C424" s="958"/>
      <c r="D424" s="958"/>
      <c r="E424" s="958"/>
      <c r="F424" s="958"/>
      <c r="O424" s="958"/>
      <c r="P424" s="839" t="s">
        <v>302</v>
      </c>
      <c r="Q424" s="839" t="s">
        <v>363</v>
      </c>
      <c r="R424" s="958"/>
      <c r="S424" s="958"/>
      <c r="T424" s="958"/>
      <c r="U424" s="958"/>
    </row>
    <row r="425" spans="1:28">
      <c r="A425" s="955" t="s">
        <v>338</v>
      </c>
      <c r="B425" s="956"/>
      <c r="C425" s="955">
        <v>2004</v>
      </c>
      <c r="D425" s="839"/>
      <c r="E425" s="839"/>
      <c r="F425" s="839"/>
      <c r="G425" s="839"/>
      <c r="H425" s="839"/>
      <c r="I425" s="839"/>
      <c r="J425" s="839"/>
      <c r="K425" s="839"/>
      <c r="L425" s="839"/>
      <c r="M425" s="839"/>
      <c r="N425" s="839"/>
      <c r="O425" s="839"/>
      <c r="P425" s="955" t="s">
        <v>338</v>
      </c>
      <c r="Q425" s="955"/>
      <c r="R425" s="955">
        <v>2004</v>
      </c>
      <c r="S425" s="839"/>
      <c r="T425" s="839"/>
      <c r="U425" s="839"/>
      <c r="V425" s="958"/>
      <c r="W425" s="958"/>
      <c r="X425" s="958"/>
      <c r="Y425" s="958"/>
      <c r="Z425" s="958"/>
      <c r="AA425" s="958"/>
      <c r="AB425" s="958"/>
    </row>
    <row r="426" spans="1:28">
      <c r="A426" s="839"/>
      <c r="B426" s="842"/>
      <c r="C426" s="839"/>
      <c r="D426" s="839"/>
      <c r="E426" s="839"/>
      <c r="F426" s="839"/>
      <c r="G426" s="958"/>
      <c r="H426" s="958"/>
      <c r="I426" s="958"/>
      <c r="J426" s="958"/>
      <c r="K426" s="958"/>
      <c r="L426" s="958"/>
      <c r="M426" s="958"/>
      <c r="N426" s="958"/>
      <c r="O426" s="839"/>
      <c r="P426" s="839"/>
      <c r="Q426" s="839"/>
      <c r="R426" s="839"/>
      <c r="S426" s="839"/>
      <c r="T426" s="839"/>
      <c r="U426" s="839"/>
      <c r="V426" s="958"/>
      <c r="W426" s="958"/>
      <c r="X426" s="958"/>
      <c r="Y426" s="958"/>
      <c r="Z426" s="958"/>
      <c r="AA426" s="958"/>
      <c r="AB426" s="958"/>
    </row>
    <row r="427" spans="1:28">
      <c r="A427" s="959" t="s">
        <v>315</v>
      </c>
      <c r="B427" s="960" t="s">
        <v>316</v>
      </c>
      <c r="C427" s="961"/>
      <c r="D427" s="961"/>
      <c r="E427" s="961" t="s">
        <v>339</v>
      </c>
      <c r="F427" s="961"/>
      <c r="G427" s="961"/>
      <c r="H427" s="961"/>
      <c r="I427" s="961"/>
      <c r="J427" s="961"/>
      <c r="K427" s="959" t="s">
        <v>340</v>
      </c>
      <c r="L427" s="959" t="s">
        <v>341</v>
      </c>
      <c r="M427" s="959" t="s">
        <v>342</v>
      </c>
      <c r="N427" s="1086"/>
      <c r="O427" s="839"/>
      <c r="P427" s="959" t="s">
        <v>315</v>
      </c>
      <c r="Q427" s="990" t="s">
        <v>316</v>
      </c>
      <c r="R427" s="961"/>
      <c r="S427" s="961"/>
      <c r="T427" s="961" t="s">
        <v>343</v>
      </c>
      <c r="U427" s="961"/>
      <c r="V427" s="961"/>
      <c r="W427" s="961"/>
      <c r="X427" s="961"/>
      <c r="Y427" s="961"/>
      <c r="Z427" s="959" t="s">
        <v>340</v>
      </c>
      <c r="AA427" s="959" t="s">
        <v>341</v>
      </c>
      <c r="AB427" s="959" t="s">
        <v>342</v>
      </c>
    </row>
    <row r="428" spans="1:28">
      <c r="A428" s="962" t="s">
        <v>344</v>
      </c>
      <c r="B428" s="963" t="s">
        <v>320</v>
      </c>
      <c r="C428" s="964"/>
      <c r="D428" s="964"/>
      <c r="E428" s="964" t="s">
        <v>345</v>
      </c>
      <c r="F428" s="964"/>
      <c r="G428" s="964"/>
      <c r="H428" s="964"/>
      <c r="I428" s="964"/>
      <c r="J428" s="964"/>
      <c r="K428" s="982" t="s">
        <v>346</v>
      </c>
      <c r="L428" s="982" t="s">
        <v>346</v>
      </c>
      <c r="M428" s="982" t="s">
        <v>346</v>
      </c>
      <c r="N428" s="1086"/>
      <c r="O428" s="839"/>
      <c r="P428" s="962" t="s">
        <v>344</v>
      </c>
      <c r="Q428" s="991" t="s">
        <v>320</v>
      </c>
      <c r="R428" s="964"/>
      <c r="S428" s="964"/>
      <c r="T428" s="964" t="s">
        <v>347</v>
      </c>
      <c r="U428" s="964"/>
      <c r="V428" s="964"/>
      <c r="W428" s="964"/>
      <c r="X428" s="964"/>
      <c r="Y428" s="964"/>
      <c r="Z428" s="982" t="s">
        <v>346</v>
      </c>
      <c r="AA428" s="982" t="s">
        <v>346</v>
      </c>
      <c r="AB428" s="982" t="s">
        <v>346</v>
      </c>
    </row>
    <row r="429" spans="1:28">
      <c r="A429" s="962" t="s">
        <v>325</v>
      </c>
      <c r="B429" s="963" t="s">
        <v>61</v>
      </c>
      <c r="C429" s="965" t="s">
        <v>326</v>
      </c>
      <c r="D429" s="965" t="s">
        <v>348</v>
      </c>
      <c r="E429" s="965"/>
      <c r="F429" s="965"/>
      <c r="G429" s="965"/>
      <c r="H429" s="965"/>
      <c r="I429" s="965"/>
      <c r="J429" s="983" t="s">
        <v>126</v>
      </c>
      <c r="K429" s="962" t="s">
        <v>349</v>
      </c>
      <c r="L429" s="962" t="s">
        <v>350</v>
      </c>
      <c r="M429" s="962" t="s">
        <v>350</v>
      </c>
      <c r="N429" s="1087"/>
      <c r="O429" s="839"/>
      <c r="P429" s="962" t="s">
        <v>325</v>
      </c>
      <c r="Q429" s="991" t="s">
        <v>61</v>
      </c>
      <c r="R429" s="965" t="s">
        <v>326</v>
      </c>
      <c r="S429" s="965" t="s">
        <v>348</v>
      </c>
      <c r="T429" s="965"/>
      <c r="U429" s="965"/>
      <c r="V429" s="965"/>
      <c r="W429" s="965"/>
      <c r="X429" s="965"/>
      <c r="Y429" s="983" t="s">
        <v>126</v>
      </c>
      <c r="Z429" s="962" t="s">
        <v>349</v>
      </c>
      <c r="AA429" s="962" t="s">
        <v>350</v>
      </c>
      <c r="AB429" s="962" t="s">
        <v>350</v>
      </c>
    </row>
    <row r="430" spans="1:28">
      <c r="A430" s="966"/>
      <c r="B430" s="967"/>
      <c r="C430" s="968" t="s">
        <v>328</v>
      </c>
      <c r="D430" s="968" t="s">
        <v>352</v>
      </c>
      <c r="E430" s="968" t="s">
        <v>54</v>
      </c>
      <c r="F430" s="968" t="s">
        <v>55</v>
      </c>
      <c r="G430" s="968" t="s">
        <v>329</v>
      </c>
      <c r="H430" s="968" t="s">
        <v>353</v>
      </c>
      <c r="I430" s="968" t="s">
        <v>330</v>
      </c>
      <c r="J430" s="964" t="s">
        <v>354</v>
      </c>
      <c r="K430" s="984" t="s">
        <v>355</v>
      </c>
      <c r="L430" s="984" t="s">
        <v>356</v>
      </c>
      <c r="M430" s="984" t="s">
        <v>357</v>
      </c>
      <c r="N430" s="1086"/>
      <c r="O430" s="839"/>
      <c r="P430" s="966"/>
      <c r="Q430" s="992"/>
      <c r="R430" s="968" t="s">
        <v>328</v>
      </c>
      <c r="S430" s="968" t="s">
        <v>352</v>
      </c>
      <c r="T430" s="968" t="s">
        <v>54</v>
      </c>
      <c r="U430" s="968" t="s">
        <v>55</v>
      </c>
      <c r="V430" s="968" t="s">
        <v>329</v>
      </c>
      <c r="W430" s="968" t="s">
        <v>353</v>
      </c>
      <c r="X430" s="968" t="s">
        <v>330</v>
      </c>
      <c r="Y430" s="964" t="s">
        <v>354</v>
      </c>
      <c r="Z430" s="984" t="s">
        <v>355</v>
      </c>
      <c r="AA430" s="984" t="s">
        <v>356</v>
      </c>
      <c r="AB430" s="984" t="s">
        <v>357</v>
      </c>
    </row>
    <row r="431" spans="1:28">
      <c r="A431" s="969" t="s">
        <v>54</v>
      </c>
      <c r="B431" s="970">
        <v>127112</v>
      </c>
      <c r="C431" s="971">
        <v>50475</v>
      </c>
      <c r="D431" s="971">
        <v>48823</v>
      </c>
      <c r="E431" s="1325" t="s">
        <v>245</v>
      </c>
      <c r="F431" s="971">
        <v>23072</v>
      </c>
      <c r="G431" s="971">
        <v>9523</v>
      </c>
      <c r="H431" s="971">
        <v>45119</v>
      </c>
      <c r="I431" s="971">
        <v>22004</v>
      </c>
      <c r="J431" s="985">
        <v>20330</v>
      </c>
      <c r="K431" s="986">
        <v>21405</v>
      </c>
      <c r="L431" s="986">
        <v>7851</v>
      </c>
      <c r="M431" s="986">
        <v>6841</v>
      </c>
      <c r="N431" s="985"/>
      <c r="O431" s="839"/>
      <c r="P431" s="969" t="s">
        <v>54</v>
      </c>
      <c r="Q431" s="993">
        <v>0.33657242532160803</v>
      </c>
      <c r="R431" s="994">
        <v>0.65143140168400204</v>
      </c>
      <c r="S431" s="994">
        <v>0.65321672162710198</v>
      </c>
      <c r="T431" s="1325" t="s">
        <v>245</v>
      </c>
      <c r="U431" s="994">
        <v>0.78991851595006901</v>
      </c>
      <c r="V431" s="994">
        <v>0.84752703979838295</v>
      </c>
      <c r="W431" s="994">
        <v>0.659034996343004</v>
      </c>
      <c r="X431" s="994">
        <v>0.78244864570078199</v>
      </c>
      <c r="Y431" s="1001">
        <v>0.80747663551401905</v>
      </c>
      <c r="Z431" s="996">
        <v>0.79803784162578795</v>
      </c>
      <c r="AA431" s="996">
        <v>0.86689593682333499</v>
      </c>
      <c r="AB431" s="996">
        <v>0.87443356234468606</v>
      </c>
    </row>
    <row r="432" spans="1:28">
      <c r="A432" s="972"/>
      <c r="B432" s="973"/>
      <c r="C432" s="974">
        <v>0.39709075461010801</v>
      </c>
      <c r="D432" s="974">
        <v>0.384094341997608</v>
      </c>
      <c r="E432" s="974"/>
      <c r="F432" s="974">
        <v>0.18150922021524299</v>
      </c>
      <c r="G432" s="974">
        <v>7.4918182390332905E-2</v>
      </c>
      <c r="H432" s="974">
        <v>0.35495468563156901</v>
      </c>
      <c r="I432" s="974">
        <v>0.17310718106866399</v>
      </c>
      <c r="J432" s="987">
        <v>0.159937692743407</v>
      </c>
      <c r="K432" s="987">
        <v>0.168394801434955</v>
      </c>
      <c r="L432" s="987">
        <v>6.1764428220781702E-2</v>
      </c>
      <c r="M432" s="987">
        <v>5.3818679589653202E-2</v>
      </c>
      <c r="N432" s="1088"/>
      <c r="O432" s="839"/>
      <c r="P432" s="972"/>
      <c r="Q432" s="995"/>
      <c r="R432" s="974"/>
      <c r="S432" s="974"/>
      <c r="T432" s="974"/>
      <c r="U432" s="974"/>
      <c r="V432" s="974"/>
      <c r="W432" s="974"/>
      <c r="X432" s="974"/>
      <c r="Y432" s="1002"/>
      <c r="Z432" s="1003"/>
      <c r="AA432" s="1003"/>
      <c r="AB432" s="1003"/>
    </row>
    <row r="433" spans="1:28">
      <c r="A433" s="969" t="s">
        <v>55</v>
      </c>
      <c r="B433" s="975">
        <v>362342</v>
      </c>
      <c r="C433" s="971">
        <v>75416</v>
      </c>
      <c r="D433" s="971">
        <v>74297</v>
      </c>
      <c r="E433" s="971">
        <v>33411</v>
      </c>
      <c r="F433" s="1325" t="s">
        <v>245</v>
      </c>
      <c r="G433" s="971">
        <v>21087</v>
      </c>
      <c r="H433" s="971">
        <v>67539</v>
      </c>
      <c r="I433" s="971">
        <v>35919</v>
      </c>
      <c r="J433" s="985">
        <v>19204</v>
      </c>
      <c r="K433" s="986">
        <v>31659</v>
      </c>
      <c r="L433" s="986">
        <v>12012</v>
      </c>
      <c r="M433" s="986">
        <v>9747</v>
      </c>
      <c r="N433" s="985"/>
      <c r="O433" s="839"/>
      <c r="P433" s="969" t="s">
        <v>55</v>
      </c>
      <c r="Q433" s="996">
        <v>8.2226601469933103E-2</v>
      </c>
      <c r="R433" s="994">
        <v>0.334385276333934</v>
      </c>
      <c r="S433" s="994">
        <v>0.32865391603967897</v>
      </c>
      <c r="T433" s="994">
        <v>0.51294483852623396</v>
      </c>
      <c r="U433" s="1325" t="s">
        <v>245</v>
      </c>
      <c r="V433" s="994">
        <v>0.49281547873097198</v>
      </c>
      <c r="W433" s="994">
        <v>0.33300759561142501</v>
      </c>
      <c r="X433" s="994">
        <v>0.41897046131573801</v>
      </c>
      <c r="Y433" s="1001">
        <v>0.53546136221620499</v>
      </c>
      <c r="Z433" s="996">
        <v>0.51663034208281999</v>
      </c>
      <c r="AA433" s="996">
        <v>0.64685314685314699</v>
      </c>
      <c r="AB433" s="996">
        <v>0.643377449471632</v>
      </c>
    </row>
    <row r="434" spans="1:28">
      <c r="A434" s="972"/>
      <c r="B434" s="973"/>
      <c r="C434" s="974">
        <v>0.20813485602000301</v>
      </c>
      <c r="D434" s="974">
        <v>0.20504661342047001</v>
      </c>
      <c r="E434" s="974">
        <v>9.2208466034851097E-2</v>
      </c>
      <c r="F434" s="974"/>
      <c r="G434" s="974">
        <v>5.8196400086106499E-2</v>
      </c>
      <c r="H434" s="974">
        <v>0.18639572558522099</v>
      </c>
      <c r="I434" s="974">
        <v>9.9130103603777595E-2</v>
      </c>
      <c r="J434" s="987">
        <v>5.2999652262227401E-2</v>
      </c>
      <c r="K434" s="987">
        <v>8.7373255101533903E-2</v>
      </c>
      <c r="L434" s="987">
        <v>3.31510009880168E-2</v>
      </c>
      <c r="M434" s="987">
        <v>2.69000005519647E-2</v>
      </c>
      <c r="N434" s="1088"/>
      <c r="O434" s="839"/>
      <c r="P434" s="972"/>
      <c r="Q434" s="995"/>
      <c r="R434" s="974"/>
      <c r="S434" s="974"/>
      <c r="T434" s="974"/>
      <c r="U434" s="974"/>
      <c r="V434" s="974"/>
      <c r="W434" s="974"/>
      <c r="X434" s="974"/>
      <c r="Y434" s="1002"/>
      <c r="Z434" s="1003"/>
      <c r="AA434" s="1003"/>
      <c r="AB434" s="1003"/>
    </row>
    <row r="435" spans="1:28">
      <c r="A435" s="969" t="s">
        <v>329</v>
      </c>
      <c r="B435" s="975">
        <v>105027</v>
      </c>
      <c r="C435" s="971">
        <v>18839</v>
      </c>
      <c r="D435" s="971">
        <v>18722</v>
      </c>
      <c r="E435" s="971">
        <v>6302</v>
      </c>
      <c r="F435" s="971">
        <v>8182</v>
      </c>
      <c r="G435" s="1325" t="s">
        <v>245</v>
      </c>
      <c r="H435" s="971">
        <v>16426</v>
      </c>
      <c r="I435" s="971">
        <v>9875</v>
      </c>
      <c r="J435" s="985">
        <v>3444</v>
      </c>
      <c r="K435" s="986">
        <v>4085</v>
      </c>
      <c r="L435" s="986">
        <v>4085</v>
      </c>
      <c r="M435" s="986">
        <v>3130</v>
      </c>
      <c r="N435" s="985"/>
      <c r="O435" s="839"/>
      <c r="P435" s="969" t="s">
        <v>329</v>
      </c>
      <c r="Q435" s="996">
        <v>5.2671385629787598E-2</v>
      </c>
      <c r="R435" s="994">
        <v>0.20935293805403701</v>
      </c>
      <c r="S435" s="994">
        <v>0.20793718619805601</v>
      </c>
      <c r="T435" s="994">
        <v>0.37480165026975598</v>
      </c>
      <c r="U435" s="994">
        <v>0.29491566854069901</v>
      </c>
      <c r="V435" s="1325" t="s">
        <v>245</v>
      </c>
      <c r="W435" s="994">
        <v>0.210580786557896</v>
      </c>
      <c r="X435" s="994">
        <v>0.23058227848101301</v>
      </c>
      <c r="Y435" s="1001">
        <v>0.396341463414634</v>
      </c>
      <c r="Z435" s="996">
        <v>0.41370869033047702</v>
      </c>
      <c r="AA435" s="996">
        <v>0.41370869033047702</v>
      </c>
      <c r="AB435" s="996">
        <v>0.416613418530351</v>
      </c>
    </row>
    <row r="436" spans="1:28">
      <c r="A436" s="972"/>
      <c r="B436" s="973"/>
      <c r="C436" s="974">
        <v>0.179372923153094</v>
      </c>
      <c r="D436" s="974">
        <v>0.17825892389576001</v>
      </c>
      <c r="E436" s="974">
        <v>6.0003618117245999E-2</v>
      </c>
      <c r="F436" s="974">
        <v>7.7903777123977599E-2</v>
      </c>
      <c r="G436" s="974"/>
      <c r="H436" s="974">
        <v>0.15639787864072999</v>
      </c>
      <c r="I436" s="974">
        <v>9.40234415912099E-2</v>
      </c>
      <c r="J436" s="987">
        <v>3.2791567882544503E-2</v>
      </c>
      <c r="K436" s="987">
        <v>3.8894760394946097E-2</v>
      </c>
      <c r="L436" s="987">
        <v>3.8894760394946097E-2</v>
      </c>
      <c r="M436" s="987">
        <v>2.9801860473973402E-2</v>
      </c>
      <c r="N436" s="1088"/>
      <c r="O436" s="839"/>
      <c r="P436" s="972"/>
      <c r="Q436" s="995"/>
      <c r="R436" s="974"/>
      <c r="S436" s="974"/>
      <c r="T436" s="974"/>
      <c r="U436" s="974"/>
      <c r="V436" s="997"/>
      <c r="W436" s="974"/>
      <c r="X436" s="974"/>
      <c r="Y436" s="1002"/>
      <c r="Z436" s="1003"/>
      <c r="AA436" s="1003"/>
      <c r="AB436" s="1003"/>
    </row>
    <row r="437" spans="1:28">
      <c r="A437" s="969" t="s">
        <v>360</v>
      </c>
      <c r="B437" s="975">
        <v>185008</v>
      </c>
      <c r="C437" s="971">
        <v>74343</v>
      </c>
      <c r="D437" s="971">
        <v>64214</v>
      </c>
      <c r="E437" s="971">
        <v>56793</v>
      </c>
      <c r="F437" s="971">
        <v>36406</v>
      </c>
      <c r="G437" s="971">
        <v>16412</v>
      </c>
      <c r="H437" s="1324" t="s">
        <v>245</v>
      </c>
      <c r="I437" s="971">
        <v>29128</v>
      </c>
      <c r="J437" s="985">
        <v>46876</v>
      </c>
      <c r="K437" s="986">
        <v>32487</v>
      </c>
      <c r="L437" s="986">
        <v>13423</v>
      </c>
      <c r="M437" s="986">
        <v>10880</v>
      </c>
      <c r="N437" s="985"/>
      <c r="O437" s="839"/>
      <c r="P437" s="969" t="s">
        <v>360</v>
      </c>
      <c r="Q437" s="996">
        <v>0.23008441488502299</v>
      </c>
      <c r="R437" s="994">
        <v>0.68187993489635901</v>
      </c>
      <c r="S437" s="994">
        <v>0.72652381100694596</v>
      </c>
      <c r="T437" s="994">
        <v>0.77409187752011699</v>
      </c>
      <c r="U437" s="994">
        <v>0.77234521782123799</v>
      </c>
      <c r="V437" s="994">
        <v>0.80453326834023897</v>
      </c>
      <c r="W437" s="1324" t="s">
        <v>245</v>
      </c>
      <c r="X437" s="994">
        <v>0.73551222191705601</v>
      </c>
      <c r="Y437" s="1001">
        <v>0.729413772506187</v>
      </c>
      <c r="Z437" s="996">
        <v>0.815033705790008</v>
      </c>
      <c r="AA437" s="996">
        <v>0.821649407732996</v>
      </c>
      <c r="AB437" s="996">
        <v>0.81139705882352897</v>
      </c>
    </row>
    <row r="438" spans="1:28">
      <c r="A438" s="972"/>
      <c r="B438" s="1083"/>
      <c r="C438" s="974">
        <v>0.40183667733287198</v>
      </c>
      <c r="D438" s="974">
        <v>0.34708769350514601</v>
      </c>
      <c r="E438" s="974">
        <v>0.30697591455504603</v>
      </c>
      <c r="F438" s="974">
        <v>0.19678067975438901</v>
      </c>
      <c r="G438" s="974">
        <v>8.8709677419354802E-2</v>
      </c>
      <c r="H438" s="974"/>
      <c r="I438" s="974">
        <v>0.15744184035285</v>
      </c>
      <c r="J438" s="987">
        <v>0.25337282712098902</v>
      </c>
      <c r="K438" s="987">
        <v>0.17559781198650901</v>
      </c>
      <c r="L438" s="987">
        <v>7.2553619302949096E-2</v>
      </c>
      <c r="M438" s="987">
        <v>5.8808267750583801E-2</v>
      </c>
      <c r="N438" s="1088"/>
      <c r="O438" s="839"/>
      <c r="P438" s="972"/>
      <c r="Q438" s="999"/>
      <c r="R438" s="974"/>
      <c r="S438" s="974"/>
      <c r="T438" s="974"/>
      <c r="U438" s="974"/>
      <c r="V438" s="974"/>
      <c r="W438" s="1082"/>
      <c r="X438" s="974"/>
      <c r="Y438" s="1002"/>
      <c r="Z438" s="1003"/>
      <c r="AA438" s="1003"/>
      <c r="AB438" s="1003"/>
    </row>
    <row r="439" spans="1:28">
      <c r="A439" s="969" t="s">
        <v>330</v>
      </c>
      <c r="B439" s="975">
        <v>65586</v>
      </c>
      <c r="C439" s="971">
        <v>3063</v>
      </c>
      <c r="D439" s="971">
        <v>2990</v>
      </c>
      <c r="E439" s="971">
        <v>1161</v>
      </c>
      <c r="F439" s="971">
        <v>676</v>
      </c>
      <c r="G439" s="971">
        <v>279</v>
      </c>
      <c r="H439" s="971">
        <v>2498</v>
      </c>
      <c r="I439" s="1324" t="s">
        <v>245</v>
      </c>
      <c r="J439" s="985">
        <v>491</v>
      </c>
      <c r="K439" s="986">
        <v>388</v>
      </c>
      <c r="L439" s="986">
        <v>153</v>
      </c>
      <c r="M439" s="986">
        <v>153</v>
      </c>
      <c r="N439" s="985"/>
      <c r="O439" s="839"/>
      <c r="P439" s="969" t="s">
        <v>330</v>
      </c>
      <c r="Q439" s="996">
        <v>3.5193886047341499E-2</v>
      </c>
      <c r="R439" s="994">
        <v>0.39340515834149498</v>
      </c>
      <c r="S439" s="994">
        <v>0.39431438127090301</v>
      </c>
      <c r="T439" s="994">
        <v>0.70025839793281697</v>
      </c>
      <c r="U439" s="994">
        <v>0.67455621301775104</v>
      </c>
      <c r="V439" s="994">
        <v>0.76344086021505397</v>
      </c>
      <c r="W439" s="994">
        <v>0.38630904723779003</v>
      </c>
      <c r="X439" s="1324" t="s">
        <v>245</v>
      </c>
      <c r="Y439" s="1001">
        <v>0.65987780040733202</v>
      </c>
      <c r="Z439" s="996">
        <v>0.87371134020618602</v>
      </c>
      <c r="AA439" s="996">
        <v>0.92156862745098</v>
      </c>
      <c r="AB439" s="996">
        <v>0.92156862745098</v>
      </c>
    </row>
    <row r="440" spans="1:28">
      <c r="A440" s="978"/>
      <c r="B440" s="1084"/>
      <c r="C440" s="980">
        <v>4.6702040069527002E-2</v>
      </c>
      <c r="D440" s="981">
        <v>4.5588997651937899E-2</v>
      </c>
      <c r="E440" s="981">
        <v>1.7701948586588599E-2</v>
      </c>
      <c r="F440" s="981">
        <v>1.0307077730003399E-2</v>
      </c>
      <c r="G440" s="981">
        <v>4.2539566370871796E-3</v>
      </c>
      <c r="H440" s="981">
        <v>3.8087396700515398E-2</v>
      </c>
      <c r="I440" s="981"/>
      <c r="J440" s="1004">
        <v>7.4863537950172303E-3</v>
      </c>
      <c r="K440" s="988">
        <v>5.9158966852682002E-3</v>
      </c>
      <c r="L440" s="988">
        <v>2.3328149300155501E-3</v>
      </c>
      <c r="M440" s="988">
        <v>2.3328149300155501E-3</v>
      </c>
      <c r="N440" s="1088"/>
      <c r="O440" s="839"/>
      <c r="P440" s="978"/>
      <c r="Q440" s="1000"/>
      <c r="R440" s="981"/>
      <c r="S440" s="981"/>
      <c r="T440" s="981"/>
      <c r="U440" s="981"/>
      <c r="V440" s="981"/>
      <c r="W440" s="981"/>
      <c r="X440" s="981"/>
      <c r="Y440" s="1004"/>
      <c r="Z440" s="988"/>
      <c r="AA440" s="988"/>
      <c r="AB440" s="988"/>
    </row>
    <row r="441" spans="1:28">
      <c r="A441" s="1005" t="s">
        <v>361</v>
      </c>
      <c r="B441" s="1085">
        <v>845075</v>
      </c>
      <c r="C441" s="1007">
        <v>222136</v>
      </c>
      <c r="D441" s="1007">
        <v>209046</v>
      </c>
      <c r="E441" s="1007">
        <v>97667</v>
      </c>
      <c r="F441" s="1007">
        <v>68336</v>
      </c>
      <c r="G441" s="1007">
        <v>47301</v>
      </c>
      <c r="H441" s="1007">
        <v>131582</v>
      </c>
      <c r="I441" s="1007">
        <v>96926</v>
      </c>
      <c r="J441" s="1019">
        <v>90345</v>
      </c>
      <c r="K441" s="1020">
        <v>90024</v>
      </c>
      <c r="L441" s="1020">
        <v>37524</v>
      </c>
      <c r="M441" s="1020">
        <v>30751</v>
      </c>
      <c r="N441" s="1019"/>
      <c r="O441" s="839"/>
      <c r="P441" s="1005" t="s">
        <v>361</v>
      </c>
      <c r="Q441" s="1033">
        <v>0.157115681906427</v>
      </c>
      <c r="R441" s="1034">
        <v>0.51293351820506405</v>
      </c>
      <c r="S441" s="1034">
        <v>0.516800130114903</v>
      </c>
      <c r="T441" s="1034">
        <v>0.65811379483346499</v>
      </c>
      <c r="U441" s="1034">
        <v>0.72014750643877301</v>
      </c>
      <c r="V441" s="1034">
        <v>0.67398152258937405</v>
      </c>
      <c r="W441" s="1034">
        <v>0.43053001170372801</v>
      </c>
      <c r="X441" s="1034">
        <v>0.577419887336731</v>
      </c>
      <c r="Y441" s="1061">
        <v>0.69267806740826798</v>
      </c>
      <c r="Z441" s="1033">
        <v>0.688094285968186</v>
      </c>
      <c r="AA441" s="1033">
        <v>0.73115872508261404</v>
      </c>
      <c r="AB441" s="1033">
        <v>0.73252902344639204</v>
      </c>
    </row>
    <row r="442" spans="1:28">
      <c r="A442" s="1008" t="s">
        <v>362</v>
      </c>
      <c r="B442" s="1009"/>
      <c r="C442" s="1036">
        <v>0.26285950951099002</v>
      </c>
      <c r="D442" s="1036">
        <v>0.24736976008046599</v>
      </c>
      <c r="E442" s="1036">
        <v>0.115571990651717</v>
      </c>
      <c r="F442" s="1036">
        <v>8.0863828654261394E-2</v>
      </c>
      <c r="G442" s="1036">
        <v>5.59725468153714E-2</v>
      </c>
      <c r="H442" s="1036">
        <v>0.155704523267166</v>
      </c>
      <c r="I442" s="1036">
        <v>0.11469514540129599</v>
      </c>
      <c r="J442" s="1062">
        <v>0.10690767091678301</v>
      </c>
      <c r="K442" s="1063">
        <v>0.106527822974292</v>
      </c>
      <c r="L442" s="1063">
        <v>4.4403159482886097E-2</v>
      </c>
      <c r="M442" s="1063">
        <v>3.6388486229032901E-2</v>
      </c>
      <c r="N442" s="1031"/>
      <c r="O442" s="839"/>
      <c r="P442" s="1008" t="s">
        <v>362</v>
      </c>
      <c r="Q442" s="1035"/>
      <c r="R442" s="1036"/>
      <c r="S442" s="1036"/>
      <c r="T442" s="1036"/>
      <c r="U442" s="1036"/>
      <c r="V442" s="1036"/>
      <c r="W442" s="1036"/>
      <c r="X442" s="1036"/>
      <c r="Y442" s="1062"/>
      <c r="Z442" s="1063"/>
      <c r="AA442" s="1063"/>
      <c r="AB442" s="1063"/>
    </row>
    <row r="443" spans="1:28">
      <c r="A443" s="969" t="s">
        <v>59</v>
      </c>
      <c r="B443" s="975">
        <v>53106</v>
      </c>
      <c r="C443" s="971">
        <v>13325</v>
      </c>
      <c r="D443" s="971">
        <v>13325</v>
      </c>
      <c r="E443" s="971">
        <v>4013</v>
      </c>
      <c r="F443" s="971">
        <v>2656</v>
      </c>
      <c r="G443" s="971">
        <v>977</v>
      </c>
      <c r="H443" s="971">
        <v>12234</v>
      </c>
      <c r="I443" s="971">
        <v>1641</v>
      </c>
      <c r="J443" s="1326" t="s">
        <v>245</v>
      </c>
      <c r="K443" s="1024">
        <v>1490</v>
      </c>
      <c r="L443" s="1024">
        <v>579</v>
      </c>
      <c r="M443" s="1024">
        <v>426</v>
      </c>
      <c r="N443" s="985"/>
      <c r="O443" s="839"/>
      <c r="P443" s="969" t="s">
        <v>59</v>
      </c>
      <c r="Q443" s="996">
        <v>9.0270329730770302E-2</v>
      </c>
      <c r="R443" s="994">
        <v>0.29777177582714398</v>
      </c>
      <c r="S443" s="994">
        <v>0.29777177582714398</v>
      </c>
      <c r="T443" s="994">
        <v>0.76008968609865502</v>
      </c>
      <c r="U443" s="994">
        <v>0.54271735039518298</v>
      </c>
      <c r="V443" s="994">
        <v>0.67041965199590603</v>
      </c>
      <c r="W443" s="994">
        <v>0.28176840728936797</v>
      </c>
      <c r="X443" s="994">
        <v>0.87568555758683697</v>
      </c>
      <c r="Y443" s="1324" t="s">
        <v>245</v>
      </c>
      <c r="Z443" s="996">
        <v>0.82763246143527802</v>
      </c>
      <c r="AA443" s="996">
        <v>0.89310344827586197</v>
      </c>
      <c r="AB443" s="996">
        <v>0.97652582159624401</v>
      </c>
    </row>
    <row r="444" spans="1:28">
      <c r="A444" s="1011"/>
      <c r="B444" s="967"/>
      <c r="C444" s="1012">
        <v>0.25091326780401502</v>
      </c>
      <c r="D444" s="1012">
        <v>0.25091326780401502</v>
      </c>
      <c r="E444" s="1012">
        <v>7.5565849433209098E-2</v>
      </c>
      <c r="F444" s="1012">
        <v>5.00131811848002E-2</v>
      </c>
      <c r="G444" s="1012">
        <v>1.8397167928294399E-2</v>
      </c>
      <c r="H444" s="1012">
        <v>0.23036944977968599</v>
      </c>
      <c r="I444" s="1012">
        <v>3.0900463224494398E-2</v>
      </c>
      <c r="J444" s="1025"/>
      <c r="K444" s="1026">
        <v>2.8057093360448902E-2</v>
      </c>
      <c r="L444" s="1026">
        <v>1.0902722856174401E-2</v>
      </c>
      <c r="M444" s="1026">
        <v>8.0216924641283507E-3</v>
      </c>
      <c r="N444" s="1088"/>
      <c r="O444" s="839"/>
      <c r="P444" s="1011"/>
      <c r="Q444" s="992"/>
      <c r="R444" s="1012"/>
      <c r="S444" s="1012"/>
      <c r="T444" s="1012"/>
      <c r="U444" s="1012"/>
      <c r="V444" s="1012"/>
      <c r="W444" s="1012"/>
      <c r="X444" s="1012"/>
      <c r="Y444" s="1025"/>
      <c r="Z444" s="1026"/>
      <c r="AA444" s="1026"/>
      <c r="AB444" s="1026"/>
    </row>
    <row r="445" spans="1:28">
      <c r="A445" s="1005" t="s">
        <v>333</v>
      </c>
      <c r="B445" s="1013">
        <v>898181</v>
      </c>
      <c r="C445" s="1014">
        <v>235465</v>
      </c>
      <c r="D445" s="1015">
        <v>222375</v>
      </c>
      <c r="E445" s="1015">
        <v>101681</v>
      </c>
      <c r="F445" s="1015">
        <v>70993</v>
      </c>
      <c r="G445" s="1015">
        <v>48278</v>
      </c>
      <c r="H445" s="1015">
        <v>143819</v>
      </c>
      <c r="I445" s="1015">
        <v>98567</v>
      </c>
      <c r="J445" s="1027">
        <v>90345</v>
      </c>
      <c r="K445" s="1028">
        <v>91515</v>
      </c>
      <c r="L445" s="1028">
        <v>38104</v>
      </c>
      <c r="M445" s="1028">
        <v>31177</v>
      </c>
      <c r="N445" s="1089"/>
      <c r="O445" s="839"/>
      <c r="P445" s="1005" t="s">
        <v>333</v>
      </c>
      <c r="Q445" s="1037">
        <v>0.152457714245746</v>
      </c>
      <c r="R445" s="1038">
        <v>0.50075382753275399</v>
      </c>
      <c r="S445" s="1039">
        <v>0.50367172568858898</v>
      </c>
      <c r="T445" s="1039">
        <v>0.66213943607950398</v>
      </c>
      <c r="U445" s="1039">
        <v>0.71350696547546899</v>
      </c>
      <c r="V445" s="1039">
        <v>0.67390944115331997</v>
      </c>
      <c r="W445" s="1039">
        <v>0.417872464695207</v>
      </c>
      <c r="X445" s="1039">
        <v>0.58238558543934604</v>
      </c>
      <c r="Y445" s="1064">
        <v>0.69267806740826798</v>
      </c>
      <c r="Z445" s="1065">
        <v>0.69036769928427</v>
      </c>
      <c r="AA445" s="1065">
        <v>0.73362376653369699</v>
      </c>
      <c r="AB445" s="1065">
        <v>0.73586297591173</v>
      </c>
    </row>
    <row r="446" spans="1:28">
      <c r="A446" s="1016"/>
      <c r="B446" s="1080"/>
      <c r="C446" s="1018">
        <v>0.26215762747152299</v>
      </c>
      <c r="D446" s="1018">
        <v>0.24758372755602701</v>
      </c>
      <c r="E446" s="1018">
        <v>0.113207694217535</v>
      </c>
      <c r="F446" s="1018">
        <v>7.9040861474468996E-2</v>
      </c>
      <c r="G446" s="1018">
        <v>5.3750858679931998E-2</v>
      </c>
      <c r="H446" s="1018">
        <v>0.16012251428164301</v>
      </c>
      <c r="I446" s="1018">
        <v>0.109740687010747</v>
      </c>
      <c r="J446" s="1029">
        <v>0.100586630089036</v>
      </c>
      <c r="K446" s="1030">
        <v>0.101889262854592</v>
      </c>
      <c r="L446" s="1030">
        <v>4.2423520426283799E-2</v>
      </c>
      <c r="M446" s="1030">
        <v>3.4711266437388498E-2</v>
      </c>
      <c r="N446" s="1031"/>
      <c r="O446" s="839"/>
      <c r="P446" s="1016"/>
      <c r="Q446" s="1017"/>
      <c r="R446" s="1018"/>
      <c r="S446" s="1018"/>
      <c r="T446" s="1018"/>
      <c r="U446" s="1018"/>
      <c r="V446" s="1018"/>
      <c r="W446" s="1018"/>
      <c r="X446" s="1018"/>
      <c r="Y446" s="1029"/>
      <c r="Z446" s="1030"/>
      <c r="AA446" s="1030"/>
      <c r="AB446" s="1030"/>
    </row>
    <row r="447" spans="1:28">
      <c r="A447" s="958"/>
      <c r="B447" s="842"/>
      <c r="C447" s="958"/>
      <c r="D447" s="958"/>
      <c r="E447" s="958"/>
      <c r="F447" s="958"/>
      <c r="G447" s="958"/>
      <c r="N447" s="958"/>
      <c r="O447" s="958"/>
      <c r="P447" s="958"/>
      <c r="Q447" s="958"/>
      <c r="R447" s="958"/>
      <c r="S447" s="958"/>
      <c r="T447" s="958"/>
      <c r="U447" s="958"/>
    </row>
    <row r="448" spans="1:28">
      <c r="A448" s="839"/>
      <c r="B448" s="842"/>
      <c r="C448" s="958"/>
      <c r="D448" s="958"/>
      <c r="E448" s="958"/>
      <c r="F448" s="958"/>
      <c r="O448" s="958"/>
      <c r="P448" s="839" t="s">
        <v>302</v>
      </c>
      <c r="Q448" s="839" t="s">
        <v>363</v>
      </c>
      <c r="R448" s="958"/>
      <c r="S448" s="958"/>
      <c r="T448" s="958"/>
      <c r="U448" s="958"/>
    </row>
    <row r="449" spans="1:28">
      <c r="A449" s="955" t="s">
        <v>338</v>
      </c>
      <c r="B449" s="956"/>
      <c r="C449" s="955">
        <v>2003</v>
      </c>
      <c r="D449" s="839"/>
      <c r="E449" s="839"/>
      <c r="F449" s="839"/>
      <c r="G449" s="839"/>
      <c r="H449" s="839"/>
      <c r="I449" s="839"/>
      <c r="J449" s="839"/>
      <c r="K449" s="839"/>
      <c r="L449" s="839"/>
      <c r="M449" s="839"/>
      <c r="N449" s="839"/>
      <c r="O449" s="839"/>
      <c r="P449" s="955" t="s">
        <v>338</v>
      </c>
      <c r="Q449" s="955"/>
      <c r="R449" s="955">
        <v>2003</v>
      </c>
      <c r="S449" s="839"/>
      <c r="T449" s="839"/>
      <c r="U449" s="839"/>
      <c r="V449" s="958"/>
      <c r="W449" s="958"/>
      <c r="X449" s="958"/>
      <c r="Y449" s="958"/>
      <c r="Z449" s="958"/>
      <c r="AA449" s="958"/>
      <c r="AB449" s="958"/>
    </row>
    <row r="450" spans="1:28">
      <c r="A450" s="839"/>
      <c r="B450" s="842"/>
      <c r="C450" s="839"/>
      <c r="D450" s="839"/>
      <c r="E450" s="839"/>
      <c r="F450" s="839"/>
      <c r="G450" s="958"/>
      <c r="H450" s="958"/>
      <c r="I450" s="958"/>
      <c r="J450" s="958"/>
      <c r="K450" s="958"/>
      <c r="L450" s="958"/>
      <c r="M450" s="958"/>
      <c r="N450" s="958"/>
      <c r="O450" s="839"/>
      <c r="P450" s="839"/>
      <c r="Q450" s="839"/>
      <c r="R450" s="839"/>
      <c r="S450" s="839"/>
      <c r="T450" s="839"/>
      <c r="U450" s="839"/>
      <c r="V450" s="958"/>
      <c r="W450" s="958"/>
      <c r="X450" s="958"/>
      <c r="Y450" s="958"/>
      <c r="Z450" s="958"/>
      <c r="AA450" s="958"/>
      <c r="AB450" s="958"/>
    </row>
    <row r="451" spans="1:28">
      <c r="A451" s="959" t="s">
        <v>315</v>
      </c>
      <c r="B451" s="960" t="s">
        <v>316</v>
      </c>
      <c r="C451" s="961"/>
      <c r="D451" s="961"/>
      <c r="E451" s="961" t="s">
        <v>339</v>
      </c>
      <c r="F451" s="961"/>
      <c r="G451" s="961"/>
      <c r="H451" s="961"/>
      <c r="I451" s="961"/>
      <c r="J451" s="961"/>
      <c r="K451" s="959" t="s">
        <v>340</v>
      </c>
      <c r="L451" s="959" t="s">
        <v>341</v>
      </c>
      <c r="M451" s="959" t="s">
        <v>342</v>
      </c>
      <c r="N451" s="1086"/>
      <c r="O451" s="839"/>
      <c r="P451" s="959" t="s">
        <v>315</v>
      </c>
      <c r="Q451" s="990" t="s">
        <v>316</v>
      </c>
      <c r="R451" s="961"/>
      <c r="S451" s="961"/>
      <c r="T451" s="961" t="s">
        <v>343</v>
      </c>
      <c r="U451" s="961"/>
      <c r="V451" s="961"/>
      <c r="W451" s="961"/>
      <c r="X451" s="961"/>
      <c r="Y451" s="961"/>
      <c r="Z451" s="959" t="s">
        <v>340</v>
      </c>
      <c r="AA451" s="959" t="s">
        <v>341</v>
      </c>
      <c r="AB451" s="959" t="s">
        <v>342</v>
      </c>
    </row>
    <row r="452" spans="1:28">
      <c r="A452" s="962" t="s">
        <v>344</v>
      </c>
      <c r="B452" s="963" t="s">
        <v>320</v>
      </c>
      <c r="C452" s="964"/>
      <c r="D452" s="964"/>
      <c r="E452" s="964" t="s">
        <v>345</v>
      </c>
      <c r="F452" s="964"/>
      <c r="G452" s="964"/>
      <c r="H452" s="964"/>
      <c r="I452" s="964"/>
      <c r="J452" s="964"/>
      <c r="K452" s="982" t="s">
        <v>346</v>
      </c>
      <c r="L452" s="982" t="s">
        <v>346</v>
      </c>
      <c r="M452" s="982" t="s">
        <v>346</v>
      </c>
      <c r="N452" s="1086"/>
      <c r="O452" s="839"/>
      <c r="P452" s="962" t="s">
        <v>344</v>
      </c>
      <c r="Q452" s="991" t="s">
        <v>320</v>
      </c>
      <c r="R452" s="964"/>
      <c r="S452" s="964"/>
      <c r="T452" s="964" t="s">
        <v>347</v>
      </c>
      <c r="U452" s="964"/>
      <c r="V452" s="964"/>
      <c r="W452" s="964"/>
      <c r="X452" s="964"/>
      <c r="Y452" s="964"/>
      <c r="Z452" s="982" t="s">
        <v>346</v>
      </c>
      <c r="AA452" s="982" t="s">
        <v>346</v>
      </c>
      <c r="AB452" s="982" t="s">
        <v>346</v>
      </c>
    </row>
    <row r="453" spans="1:28">
      <c r="A453" s="962" t="s">
        <v>325</v>
      </c>
      <c r="B453" s="963" t="s">
        <v>61</v>
      </c>
      <c r="C453" s="965" t="s">
        <v>326</v>
      </c>
      <c r="D453" s="965" t="s">
        <v>348</v>
      </c>
      <c r="E453" s="965"/>
      <c r="F453" s="965"/>
      <c r="G453" s="965"/>
      <c r="H453" s="965"/>
      <c r="I453" s="965"/>
      <c r="J453" s="983" t="s">
        <v>126</v>
      </c>
      <c r="K453" s="962" t="s">
        <v>349</v>
      </c>
      <c r="L453" s="962" t="s">
        <v>350</v>
      </c>
      <c r="M453" s="962" t="s">
        <v>350</v>
      </c>
      <c r="N453" s="1087"/>
      <c r="O453" s="839"/>
      <c r="P453" s="962" t="s">
        <v>325</v>
      </c>
      <c r="Q453" s="991" t="s">
        <v>61</v>
      </c>
      <c r="R453" s="965" t="s">
        <v>326</v>
      </c>
      <c r="S453" s="965" t="s">
        <v>348</v>
      </c>
      <c r="T453" s="965"/>
      <c r="U453" s="965"/>
      <c r="V453" s="965"/>
      <c r="W453" s="965"/>
      <c r="X453" s="965"/>
      <c r="Y453" s="983" t="s">
        <v>126</v>
      </c>
      <c r="Z453" s="962" t="s">
        <v>349</v>
      </c>
      <c r="AA453" s="962" t="s">
        <v>350</v>
      </c>
      <c r="AB453" s="962" t="s">
        <v>350</v>
      </c>
    </row>
    <row r="454" spans="1:28">
      <c r="A454" s="966"/>
      <c r="B454" s="967"/>
      <c r="C454" s="968" t="s">
        <v>328</v>
      </c>
      <c r="D454" s="968" t="s">
        <v>352</v>
      </c>
      <c r="E454" s="968" t="s">
        <v>54</v>
      </c>
      <c r="F454" s="968" t="s">
        <v>55</v>
      </c>
      <c r="G454" s="968" t="s">
        <v>329</v>
      </c>
      <c r="H454" s="968" t="s">
        <v>353</v>
      </c>
      <c r="I454" s="968" t="s">
        <v>330</v>
      </c>
      <c r="J454" s="964" t="s">
        <v>354</v>
      </c>
      <c r="K454" s="984" t="s">
        <v>355</v>
      </c>
      <c r="L454" s="984" t="s">
        <v>356</v>
      </c>
      <c r="M454" s="984" t="s">
        <v>357</v>
      </c>
      <c r="N454" s="1086"/>
      <c r="O454" s="839"/>
      <c r="P454" s="966"/>
      <c r="Q454" s="992"/>
      <c r="R454" s="968" t="s">
        <v>328</v>
      </c>
      <c r="S454" s="968" t="s">
        <v>352</v>
      </c>
      <c r="T454" s="968" t="s">
        <v>54</v>
      </c>
      <c r="U454" s="968" t="s">
        <v>55</v>
      </c>
      <c r="V454" s="968" t="s">
        <v>329</v>
      </c>
      <c r="W454" s="968" t="s">
        <v>353</v>
      </c>
      <c r="X454" s="968" t="s">
        <v>330</v>
      </c>
      <c r="Y454" s="964" t="s">
        <v>354</v>
      </c>
      <c r="Z454" s="984" t="s">
        <v>355</v>
      </c>
      <c r="AA454" s="984" t="s">
        <v>356</v>
      </c>
      <c r="AB454" s="984" t="s">
        <v>357</v>
      </c>
    </row>
    <row r="455" spans="1:28">
      <c r="A455" s="969" t="s">
        <v>54</v>
      </c>
      <c r="B455" s="970">
        <v>125129</v>
      </c>
      <c r="C455" s="971">
        <v>50308</v>
      </c>
      <c r="D455" s="971">
        <v>47340</v>
      </c>
      <c r="E455" s="1325" t="s">
        <v>245</v>
      </c>
      <c r="F455" s="971">
        <v>22634</v>
      </c>
      <c r="G455" s="971">
        <v>9624</v>
      </c>
      <c r="H455" s="971">
        <v>44340</v>
      </c>
      <c r="I455" s="971">
        <v>19140</v>
      </c>
      <c r="J455" s="985">
        <v>22011</v>
      </c>
      <c r="K455" s="986">
        <v>21106</v>
      </c>
      <c r="L455" s="986">
        <v>8088</v>
      </c>
      <c r="M455" s="986">
        <v>6928</v>
      </c>
      <c r="N455" s="985"/>
      <c r="O455" s="839"/>
      <c r="P455" s="969" t="s">
        <v>54</v>
      </c>
      <c r="Q455" s="993">
        <v>0.32796490490069402</v>
      </c>
      <c r="R455" s="994">
        <v>0.64252206408523505</v>
      </c>
      <c r="S455" s="994">
        <v>0.63160118293198098</v>
      </c>
      <c r="T455" s="1325" t="s">
        <v>245</v>
      </c>
      <c r="U455" s="994">
        <v>0.77211275072899199</v>
      </c>
      <c r="V455" s="994">
        <v>0.84808811305070697</v>
      </c>
      <c r="W455" s="994">
        <v>0.63543076229138495</v>
      </c>
      <c r="X455" s="994">
        <v>0.78594566353187001</v>
      </c>
      <c r="Y455" s="1001">
        <v>0.82208895552223904</v>
      </c>
      <c r="Z455" s="996">
        <v>0.78304747465175795</v>
      </c>
      <c r="AA455" s="996">
        <v>0.86696340257171101</v>
      </c>
      <c r="AB455" s="996">
        <v>0.87384526558891495</v>
      </c>
    </row>
    <row r="456" spans="1:28">
      <c r="A456" s="972"/>
      <c r="B456" s="973"/>
      <c r="C456" s="974">
        <v>0.40204908534392497</v>
      </c>
      <c r="D456" s="974">
        <v>0.378329563890065</v>
      </c>
      <c r="E456" s="974"/>
      <c r="F456" s="974">
        <v>0.180885326343214</v>
      </c>
      <c r="G456" s="974">
        <v>7.6912626169792803E-2</v>
      </c>
      <c r="H456" s="974">
        <v>0.35435430635584098</v>
      </c>
      <c r="I456" s="974">
        <v>0.15296214306835301</v>
      </c>
      <c r="J456" s="987">
        <v>0.175906464528606</v>
      </c>
      <c r="K456" s="987">
        <v>0.168673928505782</v>
      </c>
      <c r="L456" s="987">
        <v>6.4637294312269694E-2</v>
      </c>
      <c r="M456" s="987">
        <v>5.5366861399036203E-2</v>
      </c>
      <c r="N456" s="1088"/>
      <c r="O456" s="839"/>
      <c r="P456" s="972"/>
      <c r="Q456" s="995"/>
      <c r="R456" s="974"/>
      <c r="S456" s="974"/>
      <c r="T456" s="974"/>
      <c r="U456" s="974"/>
      <c r="V456" s="974"/>
      <c r="W456" s="974"/>
      <c r="X456" s="974"/>
      <c r="Y456" s="1002"/>
      <c r="Z456" s="1003"/>
      <c r="AA456" s="1003"/>
      <c r="AB456" s="1003"/>
    </row>
    <row r="457" spans="1:28">
      <c r="A457" s="969" t="s">
        <v>55</v>
      </c>
      <c r="B457" s="975">
        <v>358184</v>
      </c>
      <c r="C457" s="971">
        <v>70118</v>
      </c>
      <c r="D457" s="971">
        <v>68532</v>
      </c>
      <c r="E457" s="971">
        <v>32076</v>
      </c>
      <c r="F457" s="1325" t="s">
        <v>245</v>
      </c>
      <c r="G457" s="971">
        <v>20510</v>
      </c>
      <c r="H457" s="971">
        <v>62049</v>
      </c>
      <c r="I457" s="971">
        <v>33122</v>
      </c>
      <c r="J457" s="985">
        <v>19744</v>
      </c>
      <c r="K457" s="986">
        <v>30464</v>
      </c>
      <c r="L457" s="986">
        <v>12159</v>
      </c>
      <c r="M457" s="986">
        <v>10013</v>
      </c>
      <c r="N457" s="985"/>
      <c r="O457" s="839"/>
      <c r="P457" s="969" t="s">
        <v>55</v>
      </c>
      <c r="Q457" s="996">
        <v>7.0353404049288401E-2</v>
      </c>
      <c r="R457" s="994">
        <v>0.31837759205909999</v>
      </c>
      <c r="S457" s="994">
        <v>0.30760812467168602</v>
      </c>
      <c r="T457" s="994">
        <v>0.47138047138047101</v>
      </c>
      <c r="U457" s="1325" t="s">
        <v>245</v>
      </c>
      <c r="V457" s="994">
        <v>0.484397854705022</v>
      </c>
      <c r="W457" s="994">
        <v>0.31409047688117497</v>
      </c>
      <c r="X457" s="994">
        <v>0.39451120101443099</v>
      </c>
      <c r="Y457" s="1001">
        <v>0.54208873581847605</v>
      </c>
      <c r="Z457" s="996">
        <v>0.47623424369747902</v>
      </c>
      <c r="AA457" s="996">
        <v>0.63327576280944198</v>
      </c>
      <c r="AB457" s="996">
        <v>0.61749725357035901</v>
      </c>
    </row>
    <row r="458" spans="1:28">
      <c r="A458" s="972"/>
      <c r="B458" s="973"/>
      <c r="C458" s="974">
        <v>0.195759721260581</v>
      </c>
      <c r="D458" s="974">
        <v>0.191331829450785</v>
      </c>
      <c r="E458" s="974">
        <v>8.9551738771134398E-2</v>
      </c>
      <c r="F458" s="974"/>
      <c r="G458" s="974">
        <v>5.7261072521385702E-2</v>
      </c>
      <c r="H458" s="974">
        <v>0.17323219350948099</v>
      </c>
      <c r="I458" s="974">
        <v>9.2472025551113404E-2</v>
      </c>
      <c r="J458" s="987">
        <v>5.5122506867978503E-2</v>
      </c>
      <c r="K458" s="987">
        <v>8.5051258571013796E-2</v>
      </c>
      <c r="L458" s="987">
        <v>3.3946239921381197E-2</v>
      </c>
      <c r="M458" s="987">
        <v>2.7954905858441501E-2</v>
      </c>
      <c r="N458" s="1088"/>
      <c r="O458" s="839"/>
      <c r="P458" s="972"/>
      <c r="Q458" s="995"/>
      <c r="R458" s="974"/>
      <c r="S458" s="974"/>
      <c r="T458" s="974"/>
      <c r="U458" s="974"/>
      <c r="V458" s="974"/>
      <c r="W458" s="974"/>
      <c r="X458" s="974"/>
      <c r="Y458" s="1002"/>
      <c r="Z458" s="1003"/>
      <c r="AA458" s="1003"/>
      <c r="AB458" s="1003"/>
    </row>
    <row r="459" spans="1:28">
      <c r="A459" s="969" t="s">
        <v>329</v>
      </c>
      <c r="B459" s="975">
        <v>90165</v>
      </c>
      <c r="C459" s="971">
        <v>14965</v>
      </c>
      <c r="D459" s="971">
        <v>14425</v>
      </c>
      <c r="E459" s="971">
        <v>4863</v>
      </c>
      <c r="F459" s="971">
        <v>6915</v>
      </c>
      <c r="G459" s="1325" t="s">
        <v>245</v>
      </c>
      <c r="H459" s="971">
        <v>13168</v>
      </c>
      <c r="I459" s="971">
        <v>7571</v>
      </c>
      <c r="J459" s="985">
        <v>3677</v>
      </c>
      <c r="K459" s="986">
        <v>3595</v>
      </c>
      <c r="L459" s="986">
        <v>3595</v>
      </c>
      <c r="M459" s="986">
        <v>2863</v>
      </c>
      <c r="N459" s="985"/>
      <c r="O459" s="839"/>
      <c r="P459" s="969" t="s">
        <v>329</v>
      </c>
      <c r="Q459" s="996">
        <v>4.8868788487131498E-2</v>
      </c>
      <c r="R459" s="994">
        <v>0.221917808219178</v>
      </c>
      <c r="S459" s="994">
        <v>0.196256499133449</v>
      </c>
      <c r="T459" s="994">
        <v>0.336623483446432</v>
      </c>
      <c r="U459" s="994">
        <v>0.25712219812002901</v>
      </c>
      <c r="V459" s="1325" t="s">
        <v>245</v>
      </c>
      <c r="W459" s="994">
        <v>0.19008201701093599</v>
      </c>
      <c r="X459" s="994">
        <v>0.23035266147140401</v>
      </c>
      <c r="Y459" s="1001">
        <v>0.55507206962197397</v>
      </c>
      <c r="Z459" s="996">
        <v>0.334631432545202</v>
      </c>
      <c r="AA459" s="996">
        <v>0.334631432545202</v>
      </c>
      <c r="AB459" s="996">
        <v>0.33566189311910599</v>
      </c>
    </row>
    <row r="460" spans="1:28">
      <c r="A460" s="972"/>
      <c r="B460" s="973"/>
      <c r="C460" s="974">
        <v>0.16597349304053699</v>
      </c>
      <c r="D460" s="974">
        <v>0.159984472910775</v>
      </c>
      <c r="E460" s="974">
        <v>5.3934453501913199E-2</v>
      </c>
      <c r="F460" s="974">
        <v>7.6692729995009104E-2</v>
      </c>
      <c r="G460" s="974"/>
      <c r="H460" s="974">
        <v>0.146043364942051</v>
      </c>
      <c r="I460" s="974">
        <v>8.3968280374868295E-2</v>
      </c>
      <c r="J460" s="987">
        <v>4.0780790772472701E-2</v>
      </c>
      <c r="K460" s="987">
        <v>3.9871346974990299E-2</v>
      </c>
      <c r="L460" s="987">
        <v>3.9871346974990299E-2</v>
      </c>
      <c r="M460" s="987">
        <v>3.1752897465757199E-2</v>
      </c>
      <c r="N460" s="1088"/>
      <c r="O460" s="839"/>
      <c r="P460" s="972"/>
      <c r="Q460" s="995"/>
      <c r="R460" s="974"/>
      <c r="S460" s="974"/>
      <c r="T460" s="974"/>
      <c r="U460" s="974"/>
      <c r="V460" s="997"/>
      <c r="W460" s="974"/>
      <c r="X460" s="974"/>
      <c r="Y460" s="1002"/>
      <c r="Z460" s="1003"/>
      <c r="AA460" s="1003"/>
      <c r="AB460" s="1003"/>
    </row>
    <row r="461" spans="1:28">
      <c r="A461" s="969" t="s">
        <v>360</v>
      </c>
      <c r="B461" s="975">
        <v>184758</v>
      </c>
      <c r="C461" s="971">
        <v>71973</v>
      </c>
      <c r="D461" s="971">
        <v>59690</v>
      </c>
      <c r="E461" s="971">
        <v>53327</v>
      </c>
      <c r="F461" s="971">
        <v>34209</v>
      </c>
      <c r="G461" s="971">
        <v>15117</v>
      </c>
      <c r="H461" s="1324" t="s">
        <v>245</v>
      </c>
      <c r="I461" s="971">
        <v>24386</v>
      </c>
      <c r="J461" s="985">
        <v>48440</v>
      </c>
      <c r="K461" s="986">
        <v>30627</v>
      </c>
      <c r="L461" s="986">
        <v>12467</v>
      </c>
      <c r="M461" s="986">
        <v>9839</v>
      </c>
      <c r="N461" s="985"/>
      <c r="O461" s="839"/>
      <c r="P461" s="969" t="s">
        <v>360</v>
      </c>
      <c r="Q461" s="996">
        <v>0.22696769401082501</v>
      </c>
      <c r="R461" s="994">
        <v>0.67694830005696605</v>
      </c>
      <c r="S461" s="994">
        <v>0.71281621712179599</v>
      </c>
      <c r="T461" s="994">
        <v>0.752433101430795</v>
      </c>
      <c r="U461" s="994">
        <v>0.75611681136542996</v>
      </c>
      <c r="V461" s="994">
        <v>0.82231924323609196</v>
      </c>
      <c r="W461" s="1324" t="s">
        <v>245</v>
      </c>
      <c r="X461" s="994">
        <v>0.76576724350036895</v>
      </c>
      <c r="Y461" s="1001">
        <v>0.74636663914120605</v>
      </c>
      <c r="Z461" s="996">
        <v>0.79883762693048599</v>
      </c>
      <c r="AA461" s="996">
        <v>0.83989732894842395</v>
      </c>
      <c r="AB461" s="996">
        <v>0.84002439272283802</v>
      </c>
    </row>
    <row r="462" spans="1:28">
      <c r="A462" s="972"/>
      <c r="B462" s="1083"/>
      <c r="C462" s="974">
        <v>0.38955282044620498</v>
      </c>
      <c r="D462" s="974">
        <v>0.32307126078437698</v>
      </c>
      <c r="E462" s="974">
        <v>0.28863161541042898</v>
      </c>
      <c r="F462" s="974">
        <v>0.185155717208456</v>
      </c>
      <c r="G462" s="974">
        <v>8.1820543630045803E-2</v>
      </c>
      <c r="H462" s="974"/>
      <c r="I462" s="974">
        <v>0.13198887192976799</v>
      </c>
      <c r="J462" s="987">
        <v>0.26218079866636401</v>
      </c>
      <c r="K462" s="987">
        <v>0.165768194070081</v>
      </c>
      <c r="L462" s="987">
        <v>6.7477456997802499E-2</v>
      </c>
      <c r="M462" s="987">
        <v>5.3253445047034498E-2</v>
      </c>
      <c r="N462" s="1088"/>
      <c r="O462" s="839"/>
      <c r="P462" s="972"/>
      <c r="Q462" s="999"/>
      <c r="R462" s="974"/>
      <c r="S462" s="974"/>
      <c r="T462" s="974"/>
      <c r="U462" s="974"/>
      <c r="V462" s="974"/>
      <c r="W462" s="1082"/>
      <c r="X462" s="974"/>
      <c r="Y462" s="1002"/>
      <c r="Z462" s="1003"/>
      <c r="AA462" s="1003"/>
      <c r="AB462" s="1003"/>
    </row>
    <row r="463" spans="1:28">
      <c r="A463" s="969" t="s">
        <v>330</v>
      </c>
      <c r="B463" s="975">
        <v>56637</v>
      </c>
      <c r="C463" s="971">
        <v>2337</v>
      </c>
      <c r="D463" s="971">
        <v>2028</v>
      </c>
      <c r="E463" s="971">
        <v>875</v>
      </c>
      <c r="F463" s="971">
        <v>523</v>
      </c>
      <c r="G463" s="971">
        <v>254</v>
      </c>
      <c r="H463" s="971">
        <v>1711</v>
      </c>
      <c r="I463" s="1324" t="s">
        <v>245</v>
      </c>
      <c r="J463" s="985">
        <v>877</v>
      </c>
      <c r="K463" s="986">
        <v>357</v>
      </c>
      <c r="L463" s="986">
        <v>148</v>
      </c>
      <c r="M463" s="986">
        <v>148</v>
      </c>
      <c r="N463" s="985"/>
      <c r="O463" s="839"/>
      <c r="P463" s="969" t="s">
        <v>330</v>
      </c>
      <c r="Q463" s="996">
        <v>3.0667951188182399E-2</v>
      </c>
      <c r="R463" s="994">
        <v>0.50834403080872903</v>
      </c>
      <c r="S463" s="994">
        <v>0.45266272189349099</v>
      </c>
      <c r="T463" s="994">
        <v>0.67200000000000004</v>
      </c>
      <c r="U463" s="994">
        <v>0.77629063097514295</v>
      </c>
      <c r="V463" s="994">
        <v>0.83858267716535395</v>
      </c>
      <c r="W463" s="994">
        <v>0.46347165400350698</v>
      </c>
      <c r="X463" s="1324" t="s">
        <v>245</v>
      </c>
      <c r="Y463" s="1001">
        <v>0.82782212086659102</v>
      </c>
      <c r="Z463" s="996">
        <v>0.87955182072829097</v>
      </c>
      <c r="AA463" s="996">
        <v>0.95945945945945899</v>
      </c>
      <c r="AB463" s="996">
        <v>0.95945945945945899</v>
      </c>
    </row>
    <row r="464" spans="1:28">
      <c r="A464" s="978"/>
      <c r="B464" s="1084"/>
      <c r="C464" s="980">
        <v>4.12627787488744E-2</v>
      </c>
      <c r="D464" s="981">
        <v>3.5806981301975703E-2</v>
      </c>
      <c r="E464" s="981">
        <v>1.54492646150043E-2</v>
      </c>
      <c r="F464" s="981">
        <v>9.2342461641683003E-3</v>
      </c>
      <c r="G464" s="981">
        <v>4.4847008139555396E-3</v>
      </c>
      <c r="H464" s="981">
        <v>3.02099334357399E-2</v>
      </c>
      <c r="I464" s="981"/>
      <c r="J464" s="1004">
        <v>1.54845772198386E-2</v>
      </c>
      <c r="K464" s="988">
        <v>6.3032999629217597E-3</v>
      </c>
      <c r="L464" s="988">
        <v>2.6131327577378701E-3</v>
      </c>
      <c r="M464" s="988">
        <v>2.6131327577378701E-3</v>
      </c>
      <c r="N464" s="1088"/>
      <c r="O464" s="839"/>
      <c r="P464" s="978"/>
      <c r="Q464" s="1000"/>
      <c r="R464" s="981"/>
      <c r="S464" s="981"/>
      <c r="T464" s="981"/>
      <c r="U464" s="981"/>
      <c r="V464" s="981"/>
      <c r="W464" s="981"/>
      <c r="X464" s="981"/>
      <c r="Y464" s="1004"/>
      <c r="Z464" s="988"/>
      <c r="AA464" s="988"/>
      <c r="AB464" s="988"/>
    </row>
    <row r="465" spans="1:28">
      <c r="A465" s="1005" t="s">
        <v>361</v>
      </c>
      <c r="B465" s="1085">
        <v>814873</v>
      </c>
      <c r="C465" s="1007">
        <v>209701</v>
      </c>
      <c r="D465" s="1007">
        <v>192015</v>
      </c>
      <c r="E465" s="1007">
        <v>91141</v>
      </c>
      <c r="F465" s="1007">
        <v>64281</v>
      </c>
      <c r="G465" s="1007">
        <v>45505</v>
      </c>
      <c r="H465" s="1007">
        <v>121268</v>
      </c>
      <c r="I465" s="1007">
        <v>84219</v>
      </c>
      <c r="J465" s="1019">
        <v>94749</v>
      </c>
      <c r="K465" s="1020">
        <v>86149</v>
      </c>
      <c r="L465" s="1020">
        <v>36457</v>
      </c>
      <c r="M465" s="1020">
        <v>29791</v>
      </c>
      <c r="N465" s="1019"/>
      <c r="O465" s="839"/>
      <c r="P465" s="1005" t="s">
        <v>361</v>
      </c>
      <c r="Q465" s="1033">
        <v>0.15073702881708401</v>
      </c>
      <c r="R465" s="1034">
        <v>0.51444199121606504</v>
      </c>
      <c r="S465" s="1034">
        <v>0.50661667057261195</v>
      </c>
      <c r="T465" s="1034">
        <v>0.63056143777224305</v>
      </c>
      <c r="U465" s="1034">
        <v>0.70823415939391099</v>
      </c>
      <c r="V465" s="1034">
        <v>0.67555213712778805</v>
      </c>
      <c r="W465" s="1034">
        <v>0.42022627568690801</v>
      </c>
      <c r="X465" s="1034">
        <v>0.57621201866562199</v>
      </c>
      <c r="Y465" s="1061">
        <v>0.71471994427381802</v>
      </c>
      <c r="Z465" s="1033">
        <v>0.66185330067673498</v>
      </c>
      <c r="AA465" s="1033">
        <v>0.72765175412129401</v>
      </c>
      <c r="AB465" s="1033">
        <v>0.72521902588029896</v>
      </c>
    </row>
    <row r="466" spans="1:28">
      <c r="A466" s="1008" t="s">
        <v>362</v>
      </c>
      <c r="B466" s="1009"/>
      <c r="C466" s="1036">
        <v>0.25734194162771401</v>
      </c>
      <c r="D466" s="1036">
        <v>0.23563794603576299</v>
      </c>
      <c r="E466" s="1036">
        <v>0.111846876752574</v>
      </c>
      <c r="F466" s="1036">
        <v>7.8884685098168705E-2</v>
      </c>
      <c r="G466" s="1036">
        <v>5.5843057752557802E-2</v>
      </c>
      <c r="H466" s="1036">
        <v>0.14881828211267301</v>
      </c>
      <c r="I466" s="1036">
        <v>0.103352301524287</v>
      </c>
      <c r="J466" s="1062">
        <v>0.116274560575697</v>
      </c>
      <c r="K466" s="1063">
        <v>0.105720768757831</v>
      </c>
      <c r="L466" s="1063">
        <v>4.47394870120865E-2</v>
      </c>
      <c r="M466" s="1063">
        <v>3.6559071168145198E-2</v>
      </c>
      <c r="N466" s="1031"/>
      <c r="O466" s="839"/>
      <c r="P466" s="1008" t="s">
        <v>362</v>
      </c>
      <c r="Q466" s="1035"/>
      <c r="R466" s="1036"/>
      <c r="S466" s="1036"/>
      <c r="T466" s="1036"/>
      <c r="U466" s="1036"/>
      <c r="V466" s="1036"/>
      <c r="W466" s="1036"/>
      <c r="X466" s="1036"/>
      <c r="Y466" s="1062"/>
      <c r="Z466" s="1063"/>
      <c r="AA466" s="1063"/>
      <c r="AB466" s="1063"/>
    </row>
    <row r="467" spans="1:28">
      <c r="A467" s="969" t="s">
        <v>59</v>
      </c>
      <c r="B467" s="975">
        <v>58298</v>
      </c>
      <c r="C467" s="971">
        <v>13157</v>
      </c>
      <c r="D467" s="971">
        <v>13157</v>
      </c>
      <c r="E467" s="971">
        <v>4050</v>
      </c>
      <c r="F467" s="971">
        <v>2619</v>
      </c>
      <c r="G467" s="971">
        <v>839</v>
      </c>
      <c r="H467" s="971">
        <v>12051</v>
      </c>
      <c r="I467" s="971">
        <v>1600</v>
      </c>
      <c r="J467" s="1326" t="s">
        <v>245</v>
      </c>
      <c r="K467" s="1024">
        <v>1446</v>
      </c>
      <c r="L467" s="1024">
        <v>527</v>
      </c>
      <c r="M467" s="1024">
        <v>409</v>
      </c>
      <c r="N467" s="985"/>
      <c r="O467" s="839"/>
      <c r="P467" s="969" t="s">
        <v>59</v>
      </c>
      <c r="Q467" s="996">
        <v>8.2779065789973794E-2</v>
      </c>
      <c r="R467" s="994">
        <v>0.30698487497149801</v>
      </c>
      <c r="S467" s="994">
        <v>0.30698487497149801</v>
      </c>
      <c r="T467" s="994">
        <v>0.75086419753086397</v>
      </c>
      <c r="U467" s="994">
        <v>0.55059182894234404</v>
      </c>
      <c r="V467" s="994">
        <v>0.69845053635280097</v>
      </c>
      <c r="W467" s="994">
        <v>0.287279063978093</v>
      </c>
      <c r="X467" s="994">
        <v>0.88937500000000003</v>
      </c>
      <c r="Y467" s="1324" t="s">
        <v>245</v>
      </c>
      <c r="Z467" s="996">
        <v>0.82226832641770398</v>
      </c>
      <c r="AA467" s="996">
        <v>0.90512333965844405</v>
      </c>
      <c r="AB467" s="996">
        <v>0.97555012224938897</v>
      </c>
    </row>
    <row r="468" spans="1:28">
      <c r="A468" s="1011"/>
      <c r="B468" s="967"/>
      <c r="C468" s="1012">
        <v>0.225685272222032</v>
      </c>
      <c r="D468" s="1012">
        <v>0.225685272222032</v>
      </c>
      <c r="E468" s="1012">
        <v>6.9470650794195302E-2</v>
      </c>
      <c r="F468" s="1012">
        <v>4.4924354180246297E-2</v>
      </c>
      <c r="G468" s="1012">
        <v>1.4391574325019699E-2</v>
      </c>
      <c r="H468" s="1012">
        <v>0.206713780918728</v>
      </c>
      <c r="I468" s="1012">
        <v>2.74451953754846E-2</v>
      </c>
      <c r="J468" s="1025"/>
      <c r="K468" s="1026">
        <v>2.4803595320594202E-2</v>
      </c>
      <c r="L468" s="1026">
        <v>9.03976122680023E-3</v>
      </c>
      <c r="M468" s="1026">
        <v>7.0156780678582503E-3</v>
      </c>
      <c r="N468" s="1088"/>
      <c r="O468" s="839"/>
      <c r="P468" s="1011"/>
      <c r="Q468" s="992"/>
      <c r="R468" s="1012"/>
      <c r="S468" s="1012"/>
      <c r="T468" s="1012"/>
      <c r="U468" s="1012"/>
      <c r="V468" s="1012"/>
      <c r="W468" s="1012"/>
      <c r="X468" s="1012"/>
      <c r="Y468" s="1025"/>
      <c r="Z468" s="1026"/>
      <c r="AA468" s="1026"/>
      <c r="AB468" s="1026"/>
    </row>
    <row r="469" spans="1:28">
      <c r="A469" s="1005" t="s">
        <v>333</v>
      </c>
      <c r="B469" s="1013">
        <v>873171</v>
      </c>
      <c r="C469" s="1014">
        <v>222858</v>
      </c>
      <c r="D469" s="1015">
        <v>205172</v>
      </c>
      <c r="E469" s="1015">
        <v>95191</v>
      </c>
      <c r="F469" s="1015">
        <v>66900</v>
      </c>
      <c r="G469" s="1015">
        <v>46344</v>
      </c>
      <c r="H469" s="1015">
        <v>133319</v>
      </c>
      <c r="I469" s="1015">
        <v>85819</v>
      </c>
      <c r="J469" s="1027">
        <v>94749</v>
      </c>
      <c r="K469" s="1028">
        <v>87595</v>
      </c>
      <c r="L469" s="1028">
        <v>36984</v>
      </c>
      <c r="M469" s="1028">
        <v>30200</v>
      </c>
      <c r="N469" s="1089"/>
      <c r="O469" s="839"/>
      <c r="P469" s="1005" t="s">
        <v>333</v>
      </c>
      <c r="Q469" s="1037">
        <v>0.14534324249045499</v>
      </c>
      <c r="R469" s="1038">
        <v>0.50219422232991395</v>
      </c>
      <c r="S469" s="1039">
        <v>0.49381494550913402</v>
      </c>
      <c r="T469" s="1039">
        <v>0.63567984368270103</v>
      </c>
      <c r="U469" s="1039">
        <v>0.702062780269058</v>
      </c>
      <c r="V469" s="1039">
        <v>0.67596668392888004</v>
      </c>
      <c r="W469" s="1039">
        <v>0.40820888245486397</v>
      </c>
      <c r="X469" s="1039">
        <v>0.58205059485661703</v>
      </c>
      <c r="Y469" s="1064">
        <v>0.71471994427381802</v>
      </c>
      <c r="Z469" s="1065">
        <v>0.66450139848164802</v>
      </c>
      <c r="AA469" s="1065">
        <v>0.730180618645901</v>
      </c>
      <c r="AB469" s="1065">
        <v>0.728609271523179</v>
      </c>
    </row>
    <row r="470" spans="1:28">
      <c r="A470" s="1016"/>
      <c r="B470" s="1080"/>
      <c r="C470" s="1018">
        <v>0.255228357332069</v>
      </c>
      <c r="D470" s="1018">
        <v>0.23497344735452699</v>
      </c>
      <c r="E470" s="1018">
        <v>0.109017592201298</v>
      </c>
      <c r="F470" s="1018">
        <v>7.6617294894127302E-2</v>
      </c>
      <c r="G470" s="1018">
        <v>5.3075514418138001E-2</v>
      </c>
      <c r="H470" s="1018">
        <v>0.152683724035727</v>
      </c>
      <c r="I470" s="1018">
        <v>9.8284299409852102E-2</v>
      </c>
      <c r="J470" s="1029">
        <v>0.108511391239517</v>
      </c>
      <c r="K470" s="1030">
        <v>0.10031826526533701</v>
      </c>
      <c r="L470" s="1030">
        <v>4.2355964639228701E-2</v>
      </c>
      <c r="M470" s="1030">
        <v>3.4586581551609E-2</v>
      </c>
      <c r="N470" s="1031"/>
      <c r="O470" s="839"/>
      <c r="P470" s="1016"/>
      <c r="Q470" s="1017"/>
      <c r="R470" s="1018"/>
      <c r="S470" s="1018"/>
      <c r="T470" s="1018"/>
      <c r="U470" s="1018"/>
      <c r="V470" s="1018"/>
      <c r="W470" s="1018"/>
      <c r="X470" s="1018"/>
      <c r="Y470" s="1029"/>
      <c r="Z470" s="1030"/>
      <c r="AA470" s="1030"/>
      <c r="AB470" s="1030"/>
    </row>
    <row r="471" spans="1:28">
      <c r="A471" s="958"/>
      <c r="B471" s="958"/>
      <c r="C471" s="958"/>
      <c r="D471" s="958"/>
      <c r="E471" s="958"/>
      <c r="F471" s="958"/>
      <c r="G471" s="958"/>
      <c r="N471" s="958"/>
      <c r="O471" s="958"/>
      <c r="P471" s="958"/>
      <c r="Q471" s="958"/>
      <c r="R471" s="958"/>
      <c r="S471" s="958"/>
      <c r="T471" s="958"/>
      <c r="U471" s="958"/>
    </row>
    <row r="472" spans="1:28">
      <c r="A472" s="839"/>
      <c r="B472" s="842"/>
      <c r="C472" s="958"/>
      <c r="D472" s="958"/>
      <c r="E472" s="958"/>
      <c r="F472" s="958"/>
      <c r="O472" s="958"/>
      <c r="P472" s="839" t="s">
        <v>302</v>
      </c>
      <c r="Q472" s="839" t="s">
        <v>363</v>
      </c>
      <c r="R472" s="958"/>
      <c r="S472" s="958"/>
      <c r="T472" s="958"/>
      <c r="U472" s="958"/>
    </row>
    <row r="473" spans="1:28">
      <c r="A473" s="955" t="s">
        <v>338</v>
      </c>
      <c r="B473" s="956"/>
      <c r="C473" s="955">
        <v>2002</v>
      </c>
      <c r="D473" s="839"/>
      <c r="E473" s="839"/>
      <c r="F473" s="839"/>
      <c r="G473" s="839"/>
      <c r="H473" s="839"/>
      <c r="I473" s="839"/>
      <c r="J473" s="839"/>
      <c r="K473" s="839"/>
      <c r="L473" s="839"/>
      <c r="M473" s="839"/>
      <c r="N473" s="839"/>
      <c r="O473" s="839"/>
      <c r="P473" s="955" t="s">
        <v>338</v>
      </c>
      <c r="Q473" s="955"/>
      <c r="R473" s="955">
        <v>2002</v>
      </c>
      <c r="S473" s="839"/>
      <c r="T473" s="839"/>
      <c r="U473" s="839"/>
      <c r="V473" s="958"/>
      <c r="W473" s="958"/>
      <c r="X473" s="958"/>
      <c r="Y473" s="958"/>
      <c r="Z473" s="958"/>
      <c r="AA473" s="958"/>
      <c r="AB473" s="958"/>
    </row>
    <row r="474" spans="1:28">
      <c r="A474" s="839"/>
      <c r="B474" s="842"/>
      <c r="C474" s="839"/>
      <c r="D474" s="839"/>
      <c r="E474" s="839"/>
      <c r="F474" s="839"/>
      <c r="G474" s="958"/>
      <c r="H474" s="958"/>
      <c r="I474" s="958"/>
      <c r="J474" s="958"/>
      <c r="K474" s="958"/>
      <c r="L474" s="958"/>
      <c r="M474" s="958"/>
      <c r="N474" s="958"/>
      <c r="O474" s="839"/>
      <c r="P474" s="839"/>
      <c r="Q474" s="839"/>
      <c r="R474" s="839"/>
      <c r="S474" s="839"/>
      <c r="T474" s="839"/>
      <c r="U474" s="839"/>
      <c r="V474" s="958"/>
      <c r="W474" s="958"/>
      <c r="X474" s="958"/>
      <c r="Y474" s="958"/>
      <c r="Z474" s="958"/>
      <c r="AA474" s="958"/>
      <c r="AB474" s="958"/>
    </row>
    <row r="475" spans="1:28">
      <c r="A475" s="959" t="s">
        <v>315</v>
      </c>
      <c r="B475" s="960" t="s">
        <v>316</v>
      </c>
      <c r="C475" s="961"/>
      <c r="D475" s="961"/>
      <c r="E475" s="961" t="s">
        <v>339</v>
      </c>
      <c r="F475" s="961"/>
      <c r="G475" s="961"/>
      <c r="H475" s="961"/>
      <c r="I475" s="961"/>
      <c r="J475" s="961"/>
      <c r="K475" s="959" t="s">
        <v>340</v>
      </c>
      <c r="L475" s="959" t="s">
        <v>341</v>
      </c>
      <c r="M475" s="959" t="s">
        <v>342</v>
      </c>
      <c r="N475" s="1086"/>
      <c r="O475" s="839"/>
      <c r="P475" s="959" t="s">
        <v>315</v>
      </c>
      <c r="Q475" s="990" t="s">
        <v>316</v>
      </c>
      <c r="R475" s="961"/>
      <c r="S475" s="961"/>
      <c r="T475" s="961" t="s">
        <v>343</v>
      </c>
      <c r="U475" s="961"/>
      <c r="V475" s="961"/>
      <c r="W475" s="961"/>
      <c r="X475" s="961"/>
      <c r="Y475" s="961"/>
      <c r="Z475" s="959" t="s">
        <v>340</v>
      </c>
      <c r="AA475" s="959" t="s">
        <v>341</v>
      </c>
      <c r="AB475" s="959" t="s">
        <v>342</v>
      </c>
    </row>
    <row r="476" spans="1:28">
      <c r="A476" s="962" t="s">
        <v>344</v>
      </c>
      <c r="B476" s="963" t="s">
        <v>320</v>
      </c>
      <c r="C476" s="964"/>
      <c r="D476" s="964"/>
      <c r="E476" s="964" t="s">
        <v>345</v>
      </c>
      <c r="F476" s="964"/>
      <c r="G476" s="964"/>
      <c r="H476" s="964"/>
      <c r="I476" s="964"/>
      <c r="J476" s="964"/>
      <c r="K476" s="982" t="s">
        <v>346</v>
      </c>
      <c r="L476" s="982" t="s">
        <v>346</v>
      </c>
      <c r="M476" s="982" t="s">
        <v>346</v>
      </c>
      <c r="N476" s="1086"/>
      <c r="O476" s="839"/>
      <c r="P476" s="962" t="s">
        <v>344</v>
      </c>
      <c r="Q476" s="991" t="s">
        <v>320</v>
      </c>
      <c r="R476" s="964"/>
      <c r="S476" s="964"/>
      <c r="T476" s="964" t="s">
        <v>347</v>
      </c>
      <c r="U476" s="964"/>
      <c r="V476" s="964"/>
      <c r="W476" s="964"/>
      <c r="X476" s="964"/>
      <c r="Y476" s="964"/>
      <c r="Z476" s="982" t="s">
        <v>346</v>
      </c>
      <c r="AA476" s="982" t="s">
        <v>346</v>
      </c>
      <c r="AB476" s="982" t="s">
        <v>346</v>
      </c>
    </row>
    <row r="477" spans="1:28">
      <c r="A477" s="962" t="s">
        <v>325</v>
      </c>
      <c r="B477" s="963" t="s">
        <v>61</v>
      </c>
      <c r="C477" s="965" t="s">
        <v>326</v>
      </c>
      <c r="D477" s="965" t="s">
        <v>348</v>
      </c>
      <c r="E477" s="965"/>
      <c r="F477" s="965"/>
      <c r="G477" s="965"/>
      <c r="H477" s="965"/>
      <c r="I477" s="965"/>
      <c r="J477" s="983" t="s">
        <v>126</v>
      </c>
      <c r="K477" s="962" t="s">
        <v>349</v>
      </c>
      <c r="L477" s="962" t="s">
        <v>350</v>
      </c>
      <c r="M477" s="962" t="s">
        <v>350</v>
      </c>
      <c r="N477" s="1087"/>
      <c r="O477" s="839"/>
      <c r="P477" s="962" t="s">
        <v>325</v>
      </c>
      <c r="Q477" s="991" t="s">
        <v>61</v>
      </c>
      <c r="R477" s="965" t="s">
        <v>326</v>
      </c>
      <c r="S477" s="965" t="s">
        <v>348</v>
      </c>
      <c r="T477" s="965"/>
      <c r="U477" s="965"/>
      <c r="V477" s="965"/>
      <c r="W477" s="965"/>
      <c r="X477" s="965"/>
      <c r="Y477" s="983" t="s">
        <v>126</v>
      </c>
      <c r="Z477" s="962" t="s">
        <v>349</v>
      </c>
      <c r="AA477" s="962" t="s">
        <v>350</v>
      </c>
      <c r="AB477" s="962" t="s">
        <v>350</v>
      </c>
    </row>
    <row r="478" spans="1:28">
      <c r="A478" s="966"/>
      <c r="B478" s="967"/>
      <c r="C478" s="968" t="s">
        <v>328</v>
      </c>
      <c r="D478" s="968" t="s">
        <v>352</v>
      </c>
      <c r="E478" s="968" t="s">
        <v>54</v>
      </c>
      <c r="F478" s="968" t="s">
        <v>55</v>
      </c>
      <c r="G478" s="968" t="s">
        <v>329</v>
      </c>
      <c r="H478" s="968" t="s">
        <v>353</v>
      </c>
      <c r="I478" s="968" t="s">
        <v>330</v>
      </c>
      <c r="J478" s="964" t="s">
        <v>354</v>
      </c>
      <c r="K478" s="984" t="s">
        <v>355</v>
      </c>
      <c r="L478" s="984" t="s">
        <v>356</v>
      </c>
      <c r="M478" s="984" t="s">
        <v>357</v>
      </c>
      <c r="N478" s="1086"/>
      <c r="O478" s="839"/>
      <c r="P478" s="966"/>
      <c r="Q478" s="992"/>
      <c r="R478" s="968" t="s">
        <v>328</v>
      </c>
      <c r="S478" s="968" t="s">
        <v>352</v>
      </c>
      <c r="T478" s="968" t="s">
        <v>54</v>
      </c>
      <c r="U478" s="968" t="s">
        <v>55</v>
      </c>
      <c r="V478" s="968" t="s">
        <v>329</v>
      </c>
      <c r="W478" s="968" t="s">
        <v>353</v>
      </c>
      <c r="X478" s="968" t="s">
        <v>330</v>
      </c>
      <c r="Y478" s="964" t="s">
        <v>354</v>
      </c>
      <c r="Z478" s="984" t="s">
        <v>355</v>
      </c>
      <c r="AA478" s="984" t="s">
        <v>356</v>
      </c>
      <c r="AB478" s="984" t="s">
        <v>357</v>
      </c>
    </row>
    <row r="479" spans="1:28">
      <c r="A479" s="969" t="s">
        <v>54</v>
      </c>
      <c r="B479" s="970">
        <v>118120</v>
      </c>
      <c r="C479" s="971">
        <v>59140</v>
      </c>
      <c r="D479" s="971">
        <v>47406</v>
      </c>
      <c r="E479" s="1325" t="s">
        <v>245</v>
      </c>
      <c r="F479" s="971">
        <v>22792</v>
      </c>
      <c r="G479" s="971">
        <v>8599</v>
      </c>
      <c r="H479" s="971">
        <v>44936</v>
      </c>
      <c r="I479" s="971">
        <v>16876</v>
      </c>
      <c r="J479" s="985">
        <v>40312</v>
      </c>
      <c r="K479" s="986">
        <v>21407</v>
      </c>
      <c r="L479" s="986">
        <v>7422</v>
      </c>
      <c r="M479" s="986">
        <v>6392</v>
      </c>
      <c r="N479" s="985"/>
      <c r="O479" s="839"/>
      <c r="P479" s="969" t="s">
        <v>54</v>
      </c>
      <c r="Q479" s="993">
        <v>0.32505434039125097</v>
      </c>
      <c r="R479" s="994">
        <v>0.68390260399053104</v>
      </c>
      <c r="S479" s="994">
        <v>0.62078639834620097</v>
      </c>
      <c r="T479" s="1325" t="s">
        <v>245</v>
      </c>
      <c r="U479" s="994">
        <v>0.76434713934713905</v>
      </c>
      <c r="V479" s="994">
        <v>0.84253983021281498</v>
      </c>
      <c r="W479" s="994">
        <v>0.62326419797044696</v>
      </c>
      <c r="X479" s="994">
        <v>0.822825314055463</v>
      </c>
      <c r="Y479" s="1001">
        <v>0.90114606072633496</v>
      </c>
      <c r="Z479" s="996">
        <v>0.77441958237959496</v>
      </c>
      <c r="AA479" s="996">
        <v>0.86203179735920199</v>
      </c>
      <c r="AB479" s="996">
        <v>0.89111389236545702</v>
      </c>
    </row>
    <row r="480" spans="1:28">
      <c r="A480" s="972"/>
      <c r="B480" s="973"/>
      <c r="C480" s="974">
        <v>0.50067727734507295</v>
      </c>
      <c r="D480" s="974">
        <v>0.40133762275651902</v>
      </c>
      <c r="E480" s="974"/>
      <c r="F480" s="974">
        <v>0.19295631561124299</v>
      </c>
      <c r="G480" s="974">
        <v>7.2798848628513393E-2</v>
      </c>
      <c r="H480" s="974">
        <v>0.38042668472739599</v>
      </c>
      <c r="I480" s="974">
        <v>0.14287165594310899</v>
      </c>
      <c r="J480" s="987">
        <v>0.34128005418218799</v>
      </c>
      <c r="K480" s="987">
        <v>0.18123095157467001</v>
      </c>
      <c r="L480" s="987">
        <v>6.2834405689129694E-2</v>
      </c>
      <c r="M480" s="987">
        <v>5.41144598713173E-2</v>
      </c>
      <c r="N480" s="1088"/>
      <c r="O480" s="839"/>
      <c r="P480" s="972"/>
      <c r="Q480" s="995"/>
      <c r="R480" s="974"/>
      <c r="S480" s="974"/>
      <c r="T480" s="974"/>
      <c r="U480" s="974"/>
      <c r="V480" s="974"/>
      <c r="W480" s="974"/>
      <c r="X480" s="974"/>
      <c r="Y480" s="1002"/>
      <c r="Z480" s="1003"/>
      <c r="AA480" s="1003"/>
      <c r="AB480" s="1003"/>
    </row>
    <row r="481" spans="1:28">
      <c r="A481" s="969" t="s">
        <v>55</v>
      </c>
      <c r="B481" s="975">
        <v>365204</v>
      </c>
      <c r="C481" s="971">
        <v>67674</v>
      </c>
      <c r="D481" s="971">
        <v>64815</v>
      </c>
      <c r="E481" s="971">
        <v>31314</v>
      </c>
      <c r="F481" s="1325" t="s">
        <v>245</v>
      </c>
      <c r="G481" s="971">
        <v>18816</v>
      </c>
      <c r="H481" s="971">
        <v>59478</v>
      </c>
      <c r="I481" s="971">
        <v>28972</v>
      </c>
      <c r="J481" s="985">
        <v>24334</v>
      </c>
      <c r="K481" s="986">
        <v>29670</v>
      </c>
      <c r="L481" s="986">
        <v>11329</v>
      </c>
      <c r="M481" s="986">
        <v>9666</v>
      </c>
      <c r="N481" s="985"/>
      <c r="O481" s="839"/>
      <c r="P481" s="969" t="s">
        <v>55</v>
      </c>
      <c r="Q481" s="996">
        <v>5.95009649247141E-2</v>
      </c>
      <c r="R481" s="994">
        <v>0.304784703135621</v>
      </c>
      <c r="S481" s="994">
        <v>0.28018205662269502</v>
      </c>
      <c r="T481" s="994">
        <v>0.44056971322730998</v>
      </c>
      <c r="U481" s="1325" t="s">
        <v>245</v>
      </c>
      <c r="V481" s="994">
        <v>0.46630527210884398</v>
      </c>
      <c r="W481" s="994">
        <v>0.28339890379636201</v>
      </c>
      <c r="X481" s="994">
        <v>0.42948363937594902</v>
      </c>
      <c r="Y481" s="1001">
        <v>0.62184597682255305</v>
      </c>
      <c r="Z481" s="996">
        <v>0.44539939332659301</v>
      </c>
      <c r="AA481" s="996">
        <v>0.60173007326330696</v>
      </c>
      <c r="AB481" s="996">
        <v>0.62973308504034797</v>
      </c>
    </row>
    <row r="482" spans="1:28">
      <c r="A482" s="972"/>
      <c r="B482" s="973"/>
      <c r="C482" s="974">
        <v>0.185304651646751</v>
      </c>
      <c r="D482" s="974">
        <v>0.17747615031598801</v>
      </c>
      <c r="E482" s="974">
        <v>8.5743858227182598E-2</v>
      </c>
      <c r="F482" s="974"/>
      <c r="G482" s="974">
        <v>5.1521889135935001E-2</v>
      </c>
      <c r="H482" s="974">
        <v>0.16286240019276901</v>
      </c>
      <c r="I482" s="974">
        <v>7.9331004041576794E-2</v>
      </c>
      <c r="J482" s="987">
        <v>6.6631252669740806E-2</v>
      </c>
      <c r="K482" s="987">
        <v>8.1242264597321007E-2</v>
      </c>
      <c r="L482" s="987">
        <v>3.1021018389721901E-2</v>
      </c>
      <c r="M482" s="987">
        <v>2.64673990427268E-2</v>
      </c>
      <c r="N482" s="1088"/>
      <c r="O482" s="839"/>
      <c r="P482" s="972"/>
      <c r="Q482" s="995"/>
      <c r="R482" s="974"/>
      <c r="S482" s="974"/>
      <c r="T482" s="974"/>
      <c r="U482" s="974"/>
      <c r="V482" s="974"/>
      <c r="W482" s="974"/>
      <c r="X482" s="974"/>
      <c r="Y482" s="1002"/>
      <c r="Z482" s="1003"/>
      <c r="AA482" s="1003"/>
      <c r="AB482" s="1003"/>
    </row>
    <row r="483" spans="1:28">
      <c r="A483" s="969" t="s">
        <v>329</v>
      </c>
      <c r="B483" s="975">
        <v>76440</v>
      </c>
      <c r="C483" s="971">
        <v>11518</v>
      </c>
      <c r="D483" s="971">
        <v>10329</v>
      </c>
      <c r="E483" s="971">
        <v>3401</v>
      </c>
      <c r="F483" s="971">
        <v>5333</v>
      </c>
      <c r="G483" s="1325" t="s">
        <v>245</v>
      </c>
      <c r="H483" s="971">
        <v>9494</v>
      </c>
      <c r="I483" s="971">
        <v>5285</v>
      </c>
      <c r="J483" s="985">
        <v>4331</v>
      </c>
      <c r="K483" s="986">
        <v>2540</v>
      </c>
      <c r="L483" s="986">
        <v>2540</v>
      </c>
      <c r="M483" s="986">
        <v>2060</v>
      </c>
      <c r="N483" s="985"/>
      <c r="O483" s="839"/>
      <c r="P483" s="969" t="s">
        <v>329</v>
      </c>
      <c r="Q483" s="996">
        <v>4.2021731168355503E-2</v>
      </c>
      <c r="R483" s="994">
        <v>0.28685535683278301</v>
      </c>
      <c r="S483" s="994">
        <v>0.209604027495401</v>
      </c>
      <c r="T483" s="994">
        <v>0.36312849162011201</v>
      </c>
      <c r="U483" s="994">
        <v>0.270204387774236</v>
      </c>
      <c r="V483" s="1325" t="s">
        <v>245</v>
      </c>
      <c r="W483" s="994">
        <v>0.205919528123025</v>
      </c>
      <c r="X483" s="994">
        <v>0.28949858088930902</v>
      </c>
      <c r="Y483" s="1001">
        <v>0.70815054259986099</v>
      </c>
      <c r="Z483" s="996">
        <v>0.37598425196850399</v>
      </c>
      <c r="AA483" s="996">
        <v>0.37598425196850399</v>
      </c>
      <c r="AB483" s="996">
        <v>0.41456310679611702</v>
      </c>
    </row>
    <row r="484" spans="1:28">
      <c r="A484" s="972"/>
      <c r="B484" s="973"/>
      <c r="C484" s="974">
        <v>0.15068027210884399</v>
      </c>
      <c r="D484" s="974">
        <v>0.13512558869701699</v>
      </c>
      <c r="E484" s="974">
        <v>4.4492412349555199E-2</v>
      </c>
      <c r="F484" s="974">
        <v>6.9767137624280495E-2</v>
      </c>
      <c r="G484" s="974"/>
      <c r="H484" s="974">
        <v>0.124201988487703</v>
      </c>
      <c r="I484" s="974">
        <v>6.9139194139194102E-2</v>
      </c>
      <c r="J484" s="987">
        <v>5.6658817373103097E-2</v>
      </c>
      <c r="K484" s="987">
        <v>3.3228676085818899E-2</v>
      </c>
      <c r="L484" s="987">
        <v>3.3228676085818899E-2</v>
      </c>
      <c r="M484" s="987">
        <v>2.6949241234955498E-2</v>
      </c>
      <c r="N484" s="1088"/>
      <c r="O484" s="839"/>
      <c r="P484" s="972"/>
      <c r="Q484" s="995"/>
      <c r="R484" s="974"/>
      <c r="S484" s="974"/>
      <c r="T484" s="974"/>
      <c r="U484" s="974"/>
      <c r="V484" s="997"/>
      <c r="W484" s="974"/>
      <c r="X484" s="974"/>
      <c r="Y484" s="1002"/>
      <c r="Z484" s="1003"/>
      <c r="AA484" s="1003"/>
      <c r="AB484" s="1003"/>
    </row>
    <row r="485" spans="1:28">
      <c r="A485" s="969" t="s">
        <v>360</v>
      </c>
      <c r="B485" s="975">
        <v>179642</v>
      </c>
      <c r="C485" s="971">
        <v>81695</v>
      </c>
      <c r="D485" s="971">
        <v>57576</v>
      </c>
      <c r="E485" s="971">
        <v>52161</v>
      </c>
      <c r="F485" s="971">
        <v>32702</v>
      </c>
      <c r="G485" s="971">
        <v>12716</v>
      </c>
      <c r="H485" s="1324" t="s">
        <v>245</v>
      </c>
      <c r="I485" s="971">
        <v>20869</v>
      </c>
      <c r="J485" s="985">
        <v>67862</v>
      </c>
      <c r="K485" s="986">
        <v>29433</v>
      </c>
      <c r="L485" s="986">
        <v>10665</v>
      </c>
      <c r="M485" s="986">
        <v>8723</v>
      </c>
      <c r="N485" s="985"/>
      <c r="O485" s="839"/>
      <c r="P485" s="969" t="s">
        <v>360</v>
      </c>
      <c r="Q485" s="996">
        <v>0.22632937686568599</v>
      </c>
      <c r="R485" s="994">
        <v>0.71516004651447496</v>
      </c>
      <c r="S485" s="994">
        <v>0.69832916492983199</v>
      </c>
      <c r="T485" s="994">
        <v>0.73535783439734703</v>
      </c>
      <c r="U485" s="994">
        <v>0.75016818543208397</v>
      </c>
      <c r="V485" s="994">
        <v>0.84554891475306704</v>
      </c>
      <c r="W485" s="1324" t="s">
        <v>245</v>
      </c>
      <c r="X485" s="994">
        <v>0.80909482965163604</v>
      </c>
      <c r="Y485" s="1001">
        <v>0.83052370988181901</v>
      </c>
      <c r="Z485" s="996">
        <v>0.79607923079536602</v>
      </c>
      <c r="AA485" s="996">
        <v>0.86179090482887999</v>
      </c>
      <c r="AB485" s="996">
        <v>0.892009629714548</v>
      </c>
    </row>
    <row r="486" spans="1:28">
      <c r="A486" s="972"/>
      <c r="B486" s="1083"/>
      <c r="C486" s="974">
        <v>0.45476558933879602</v>
      </c>
      <c r="D486" s="974">
        <v>0.32050411373732202</v>
      </c>
      <c r="E486" s="974">
        <v>0.29036082875942199</v>
      </c>
      <c r="F486" s="974">
        <v>0.18203983478251201</v>
      </c>
      <c r="G486" s="974">
        <v>7.0785228398704103E-2</v>
      </c>
      <c r="H486" s="974"/>
      <c r="I486" s="974">
        <v>0.116169937987776</v>
      </c>
      <c r="J486" s="987">
        <v>0.37776243862793801</v>
      </c>
      <c r="K486" s="987">
        <v>0.16384253125661</v>
      </c>
      <c r="L486" s="987">
        <v>5.9368076507720899E-2</v>
      </c>
      <c r="M486" s="987">
        <v>4.85576869551664E-2</v>
      </c>
      <c r="N486" s="1088"/>
      <c r="O486" s="839"/>
      <c r="P486" s="972"/>
      <c r="Q486" s="999"/>
      <c r="R486" s="974"/>
      <c r="S486" s="974"/>
      <c r="T486" s="974"/>
      <c r="U486" s="974"/>
      <c r="V486" s="974"/>
      <c r="W486" s="1082"/>
      <c r="X486" s="974"/>
      <c r="Y486" s="1002"/>
      <c r="Z486" s="1003"/>
      <c r="AA486" s="1003"/>
      <c r="AB486" s="1003"/>
    </row>
    <row r="487" spans="1:28">
      <c r="A487" s="969" t="s">
        <v>330</v>
      </c>
      <c r="B487" s="975">
        <v>39671</v>
      </c>
      <c r="C487" s="971">
        <v>2111</v>
      </c>
      <c r="D487" s="971">
        <v>1418</v>
      </c>
      <c r="E487" s="971">
        <v>632</v>
      </c>
      <c r="F487" s="971">
        <v>413</v>
      </c>
      <c r="G487" s="971">
        <v>199</v>
      </c>
      <c r="H487" s="971">
        <v>1203</v>
      </c>
      <c r="I487" s="1324" t="s">
        <v>245</v>
      </c>
      <c r="J487" s="985">
        <v>1348</v>
      </c>
      <c r="K487" s="986">
        <v>289</v>
      </c>
      <c r="L487" s="986">
        <v>125</v>
      </c>
      <c r="M487" s="986">
        <v>125</v>
      </c>
      <c r="N487" s="985"/>
      <c r="O487" s="839"/>
      <c r="P487" s="969" t="s">
        <v>330</v>
      </c>
      <c r="Q487" s="996">
        <v>3.29306554015662E-2</v>
      </c>
      <c r="R487" s="994">
        <v>0.60918995736617698</v>
      </c>
      <c r="S487" s="994">
        <v>0.44005641748942198</v>
      </c>
      <c r="T487" s="994">
        <v>0.594936708860759</v>
      </c>
      <c r="U487" s="994">
        <v>0.644067796610169</v>
      </c>
      <c r="V487" s="994">
        <v>0.79396984924623104</v>
      </c>
      <c r="W487" s="994">
        <v>0.45469659185369898</v>
      </c>
      <c r="X487" s="1324" t="s">
        <v>245</v>
      </c>
      <c r="Y487" s="1001">
        <v>0.90133531157269997</v>
      </c>
      <c r="Z487" s="996">
        <v>0.77508650519031097</v>
      </c>
      <c r="AA487" s="996">
        <v>0.93600000000000005</v>
      </c>
      <c r="AB487" s="996">
        <v>0.93600000000000005</v>
      </c>
    </row>
    <row r="488" spans="1:28">
      <c r="A488" s="978"/>
      <c r="B488" s="1084"/>
      <c r="C488" s="980">
        <v>5.3212674245670603E-2</v>
      </c>
      <c r="D488" s="981">
        <v>3.5743994353557997E-2</v>
      </c>
      <c r="E488" s="981">
        <v>1.5931032744322001E-2</v>
      </c>
      <c r="F488" s="981">
        <v>1.0410627410451E-2</v>
      </c>
      <c r="G488" s="981">
        <v>5.0162587280381098E-3</v>
      </c>
      <c r="H488" s="981">
        <v>3.03244183408535E-2</v>
      </c>
      <c r="I488" s="981"/>
      <c r="J488" s="1004">
        <v>3.3979481233142601E-2</v>
      </c>
      <c r="K488" s="988">
        <v>7.2849184542865099E-3</v>
      </c>
      <c r="L488" s="988">
        <v>3.1509162864560999E-3</v>
      </c>
      <c r="M488" s="988">
        <v>3.1509162864560999E-3</v>
      </c>
      <c r="N488" s="1088"/>
      <c r="O488" s="839"/>
      <c r="P488" s="978"/>
      <c r="Q488" s="1000"/>
      <c r="R488" s="981"/>
      <c r="S488" s="981"/>
      <c r="T488" s="981"/>
      <c r="U488" s="981"/>
      <c r="V488" s="981"/>
      <c r="W488" s="981"/>
      <c r="X488" s="981"/>
      <c r="Y488" s="1004"/>
      <c r="Z488" s="988"/>
      <c r="AA488" s="988"/>
      <c r="AB488" s="988"/>
    </row>
    <row r="489" spans="1:28">
      <c r="A489" s="1005" t="s">
        <v>361</v>
      </c>
      <c r="B489" s="1085">
        <v>779077</v>
      </c>
      <c r="C489" s="1007">
        <v>222138</v>
      </c>
      <c r="D489" s="1007">
        <v>181544</v>
      </c>
      <c r="E489" s="1007">
        <v>87508</v>
      </c>
      <c r="F489" s="1007">
        <v>61240</v>
      </c>
      <c r="G489" s="1007">
        <v>40330</v>
      </c>
      <c r="H489" s="1007">
        <v>115111</v>
      </c>
      <c r="I489" s="1007">
        <v>72002</v>
      </c>
      <c r="J489" s="1019">
        <v>138187</v>
      </c>
      <c r="K489" s="1020">
        <v>83339</v>
      </c>
      <c r="L489" s="1020">
        <v>32081</v>
      </c>
      <c r="M489" s="1020">
        <v>26966</v>
      </c>
      <c r="N489" s="1019"/>
      <c r="O489" s="839"/>
      <c r="P489" s="1005" t="s">
        <v>361</v>
      </c>
      <c r="Q489" s="1033">
        <v>0.14626256896470199</v>
      </c>
      <c r="R489" s="1034">
        <v>0.55860321061682405</v>
      </c>
      <c r="S489" s="1034">
        <v>0.49896994667959299</v>
      </c>
      <c r="T489" s="1034">
        <v>0.61438954152763203</v>
      </c>
      <c r="U489" s="1034">
        <v>0.71293272370999305</v>
      </c>
      <c r="V489" s="1034">
        <v>0.66771634019340398</v>
      </c>
      <c r="W489" s="1034">
        <v>0.41147240489614401</v>
      </c>
      <c r="X489" s="1034">
        <v>0.62142718257826202</v>
      </c>
      <c r="Y489" s="1061">
        <v>0.811234052407245</v>
      </c>
      <c r="Z489" s="1033">
        <v>0.65279161017050802</v>
      </c>
      <c r="AA489" s="1033">
        <v>0.73183504254854903</v>
      </c>
      <c r="AB489" s="1033">
        <v>0.76151449974041396</v>
      </c>
    </row>
    <row r="490" spans="1:28">
      <c r="A490" s="1008" t="s">
        <v>362</v>
      </c>
      <c r="B490" s="1009"/>
      <c r="C490" s="1036">
        <v>0.28512971118387498</v>
      </c>
      <c r="D490" s="1036">
        <v>0.233024463563935</v>
      </c>
      <c r="E490" s="1036">
        <v>0.112322658735914</v>
      </c>
      <c r="F490" s="1036">
        <v>7.8605837420434699E-2</v>
      </c>
      <c r="G490" s="1036">
        <v>5.1766385094156299E-2</v>
      </c>
      <c r="H490" s="1036">
        <v>0.14775304623291399</v>
      </c>
      <c r="I490" s="1036">
        <v>9.2419619626814803E-2</v>
      </c>
      <c r="J490" s="1062">
        <v>0.17737271155482701</v>
      </c>
      <c r="K490" s="1063">
        <v>0.106971454682913</v>
      </c>
      <c r="L490" s="1063">
        <v>4.1178214733588597E-2</v>
      </c>
      <c r="M490" s="1063">
        <v>3.4612753296529103E-2</v>
      </c>
      <c r="N490" s="1031"/>
      <c r="O490" s="839"/>
      <c r="P490" s="1008" t="s">
        <v>362</v>
      </c>
      <c r="Q490" s="1035"/>
      <c r="R490" s="1036"/>
      <c r="S490" s="1036"/>
      <c r="T490" s="1036"/>
      <c r="U490" s="1036"/>
      <c r="V490" s="1036"/>
      <c r="W490" s="1036"/>
      <c r="X490" s="1036"/>
      <c r="Y490" s="1062"/>
      <c r="Z490" s="1063"/>
      <c r="AA490" s="1063"/>
      <c r="AB490" s="1063"/>
    </row>
    <row r="491" spans="1:28">
      <c r="A491" s="969" t="s">
        <v>59</v>
      </c>
      <c r="B491" s="975">
        <v>60141</v>
      </c>
      <c r="C491" s="971">
        <v>11656</v>
      </c>
      <c r="D491" s="971">
        <v>11656</v>
      </c>
      <c r="E491" s="971">
        <v>4052</v>
      </c>
      <c r="F491" s="971">
        <v>2606</v>
      </c>
      <c r="G491" s="971">
        <v>697</v>
      </c>
      <c r="H491" s="971">
        <v>10701</v>
      </c>
      <c r="I491" s="971">
        <v>1572</v>
      </c>
      <c r="J491" s="1326" t="s">
        <v>245</v>
      </c>
      <c r="K491" s="1024">
        <v>1641</v>
      </c>
      <c r="L491" s="1024">
        <v>475</v>
      </c>
      <c r="M491" s="1024">
        <v>397</v>
      </c>
      <c r="N491" s="985"/>
      <c r="O491" s="839"/>
      <c r="P491" s="969" t="s">
        <v>59</v>
      </c>
      <c r="Q491" s="996">
        <v>9.3387604638660596E-2</v>
      </c>
      <c r="R491" s="994">
        <v>0.33519217570350002</v>
      </c>
      <c r="S491" s="994">
        <v>0.33519217570350002</v>
      </c>
      <c r="T491" s="994">
        <v>0.71668311944718699</v>
      </c>
      <c r="U491" s="994">
        <v>0.58019953952417502</v>
      </c>
      <c r="V491" s="994">
        <v>0.74748923959827795</v>
      </c>
      <c r="W491" s="994">
        <v>0.32417531071862399</v>
      </c>
      <c r="X491" s="994">
        <v>0.87404580152671796</v>
      </c>
      <c r="Y491" s="1324" t="s">
        <v>245</v>
      </c>
      <c r="Z491" s="996">
        <v>0.78488726386349805</v>
      </c>
      <c r="AA491" s="996">
        <v>0.888421052631579</v>
      </c>
      <c r="AB491" s="996">
        <v>0.94710327455919396</v>
      </c>
    </row>
    <row r="492" spans="1:28">
      <c r="A492" s="1011"/>
      <c r="B492" s="967"/>
      <c r="C492" s="1012">
        <v>0.193811210322409</v>
      </c>
      <c r="D492" s="1012">
        <v>0.193811210322409</v>
      </c>
      <c r="E492" s="1012">
        <v>6.7375002078449001E-2</v>
      </c>
      <c r="F492" s="1012">
        <v>4.3331504298232501E-2</v>
      </c>
      <c r="G492" s="1012">
        <v>1.15894315026355E-2</v>
      </c>
      <c r="H492" s="1012">
        <v>0.17793186012869799</v>
      </c>
      <c r="I492" s="1012">
        <v>2.6138574350276899E-2</v>
      </c>
      <c r="J492" s="1025"/>
      <c r="K492" s="1026">
        <v>2.72858781862623E-2</v>
      </c>
      <c r="L492" s="1026">
        <v>7.8981061172910295E-3</v>
      </c>
      <c r="M492" s="1026">
        <v>6.6011539548727202E-3</v>
      </c>
      <c r="N492" s="1088"/>
      <c r="O492" s="839"/>
      <c r="P492" s="1011"/>
      <c r="Q492" s="992"/>
      <c r="R492" s="1012"/>
      <c r="S492" s="1012"/>
      <c r="T492" s="1012"/>
      <c r="U492" s="1012"/>
      <c r="V492" s="1012"/>
      <c r="W492" s="1012"/>
      <c r="X492" s="1012"/>
      <c r="Y492" s="1025"/>
      <c r="Z492" s="1026"/>
      <c r="AA492" s="1026"/>
      <c r="AB492" s="1026"/>
    </row>
    <row r="493" spans="1:28">
      <c r="A493" s="1005" t="s">
        <v>333</v>
      </c>
      <c r="B493" s="1013">
        <v>839218</v>
      </c>
      <c r="C493" s="1014">
        <v>233794</v>
      </c>
      <c r="D493" s="1015">
        <v>193200</v>
      </c>
      <c r="E493" s="1015">
        <v>91560</v>
      </c>
      <c r="F493" s="1015">
        <v>63846</v>
      </c>
      <c r="G493" s="1015">
        <v>41027</v>
      </c>
      <c r="H493" s="1015">
        <v>125812</v>
      </c>
      <c r="I493" s="1015">
        <v>73574</v>
      </c>
      <c r="J493" s="1027">
        <v>138187</v>
      </c>
      <c r="K493" s="1028">
        <v>84980</v>
      </c>
      <c r="L493" s="1028">
        <v>32556</v>
      </c>
      <c r="M493" s="1028">
        <v>27363</v>
      </c>
      <c r="N493" s="1089"/>
      <c r="O493" s="839"/>
      <c r="P493" s="1005" t="s">
        <v>333</v>
      </c>
      <c r="Q493" s="1037">
        <v>0.14265265524542201</v>
      </c>
      <c r="R493" s="1038">
        <v>0.54746486222914204</v>
      </c>
      <c r="S493" s="1039">
        <v>0.48908902691511402</v>
      </c>
      <c r="T493" s="1039">
        <v>0.61891655744866803</v>
      </c>
      <c r="U493" s="1039">
        <v>0.70751495786736796</v>
      </c>
      <c r="V493" s="1039">
        <v>0.66907158700368097</v>
      </c>
      <c r="W493" s="1039">
        <v>0.40404730868279698</v>
      </c>
      <c r="X493" s="1039">
        <v>0.62682469350585801</v>
      </c>
      <c r="Y493" s="1064">
        <v>0.811234052407245</v>
      </c>
      <c r="Z493" s="1065">
        <v>0.65534243351376797</v>
      </c>
      <c r="AA493" s="1065">
        <v>0.73411967072121898</v>
      </c>
      <c r="AB493" s="1065">
        <v>0.76420714102985798</v>
      </c>
    </row>
    <row r="494" spans="1:28">
      <c r="A494" s="1016"/>
      <c r="B494" s="1080"/>
      <c r="C494" s="1018">
        <v>0.27858554034827698</v>
      </c>
      <c r="D494" s="1018">
        <v>0.23021431856800001</v>
      </c>
      <c r="E494" s="1018">
        <v>0.10910156836483501</v>
      </c>
      <c r="F494" s="1018">
        <v>7.6077967822425194E-2</v>
      </c>
      <c r="G494" s="1018">
        <v>4.8887178301704699E-2</v>
      </c>
      <c r="H494" s="1018">
        <v>0.14991575490516201</v>
      </c>
      <c r="I494" s="1018">
        <v>8.7669711564813901E-2</v>
      </c>
      <c r="J494" s="1029">
        <v>0.164661625465612</v>
      </c>
      <c r="K494" s="1030">
        <v>0.101260935775925</v>
      </c>
      <c r="L494" s="1030">
        <v>3.8793257532607699E-2</v>
      </c>
      <c r="M494" s="1030">
        <v>3.2605354031967897E-2</v>
      </c>
      <c r="N494" s="1031"/>
      <c r="O494" s="839"/>
      <c r="P494" s="1016"/>
      <c r="Q494" s="1017"/>
      <c r="R494" s="1018"/>
      <c r="S494" s="1018"/>
      <c r="T494" s="1018"/>
      <c r="U494" s="1018"/>
      <c r="V494" s="1018"/>
      <c r="W494" s="1018"/>
      <c r="X494" s="1018"/>
      <c r="Y494" s="1029"/>
      <c r="Z494" s="1030"/>
      <c r="AA494" s="1030"/>
      <c r="AB494" s="1030"/>
    </row>
    <row r="495" spans="1:28">
      <c r="A495" s="958"/>
      <c r="B495" s="958"/>
      <c r="C495" s="958"/>
      <c r="D495" s="958"/>
      <c r="E495" s="958"/>
      <c r="F495" s="958"/>
      <c r="G495" s="958"/>
      <c r="N495" s="958"/>
      <c r="O495" s="958"/>
      <c r="P495" s="958"/>
      <c r="Q495" s="958"/>
      <c r="R495" s="958"/>
      <c r="S495" s="958"/>
      <c r="T495" s="958"/>
      <c r="U495" s="958"/>
    </row>
    <row r="496" spans="1:28">
      <c r="A496" s="839"/>
      <c r="B496" s="842"/>
      <c r="C496" s="958"/>
      <c r="D496" s="958"/>
      <c r="E496" s="958"/>
      <c r="F496" s="958"/>
      <c r="O496" s="958"/>
      <c r="P496" s="839" t="s">
        <v>302</v>
      </c>
      <c r="Q496" s="839" t="s">
        <v>363</v>
      </c>
      <c r="R496" s="958"/>
      <c r="S496" s="958"/>
      <c r="T496" s="958"/>
      <c r="U496" s="958"/>
    </row>
    <row r="497" spans="1:28">
      <c r="A497" s="955" t="s">
        <v>338</v>
      </c>
      <c r="B497" s="956"/>
      <c r="C497" s="955">
        <v>2001</v>
      </c>
      <c r="D497" s="839"/>
      <c r="E497" s="839"/>
      <c r="F497" s="839"/>
      <c r="G497" s="839"/>
      <c r="H497" s="839"/>
      <c r="I497" s="839"/>
      <c r="J497" s="839"/>
      <c r="K497" s="839"/>
      <c r="L497" s="839"/>
      <c r="M497" s="839"/>
      <c r="N497" s="839"/>
      <c r="O497" s="839"/>
      <c r="P497" s="955" t="s">
        <v>338</v>
      </c>
      <c r="Q497" s="955"/>
      <c r="R497" s="955">
        <v>2001</v>
      </c>
      <c r="S497" s="839"/>
      <c r="T497" s="839"/>
      <c r="U497" s="839"/>
      <c r="V497" s="958"/>
      <c r="W497" s="958"/>
      <c r="X497" s="958"/>
      <c r="Y497" s="958"/>
      <c r="Z497" s="958"/>
      <c r="AA497" s="958"/>
      <c r="AB497" s="958"/>
    </row>
    <row r="498" spans="1:28">
      <c r="A498" s="839"/>
      <c r="B498" s="842"/>
      <c r="C498" s="839"/>
      <c r="D498" s="839"/>
      <c r="E498" s="839"/>
      <c r="F498" s="839"/>
      <c r="G498" s="958"/>
      <c r="H498" s="958"/>
      <c r="I498" s="958"/>
      <c r="J498" s="958"/>
      <c r="K498" s="958"/>
      <c r="L498" s="958"/>
      <c r="M498" s="958"/>
      <c r="N498" s="958"/>
      <c r="O498" s="839"/>
      <c r="P498" s="839"/>
      <c r="Q498" s="839"/>
      <c r="R498" s="839"/>
      <c r="S498" s="839"/>
      <c r="T498" s="839"/>
      <c r="U498" s="839"/>
      <c r="V498" s="958"/>
      <c r="W498" s="958"/>
      <c r="X498" s="958"/>
      <c r="Y498" s="958"/>
      <c r="Z498" s="958"/>
      <c r="AA498" s="958"/>
      <c r="AB498" s="958"/>
    </row>
    <row r="499" spans="1:28">
      <c r="A499" s="959" t="s">
        <v>315</v>
      </c>
      <c r="B499" s="960" t="s">
        <v>316</v>
      </c>
      <c r="C499" s="961"/>
      <c r="D499" s="961"/>
      <c r="E499" s="961" t="s">
        <v>339</v>
      </c>
      <c r="F499" s="961"/>
      <c r="G499" s="961"/>
      <c r="H499" s="961"/>
      <c r="I499" s="961"/>
      <c r="J499" s="961"/>
      <c r="K499" s="959" t="s">
        <v>340</v>
      </c>
      <c r="L499" s="959" t="s">
        <v>341</v>
      </c>
      <c r="M499" s="959" t="s">
        <v>342</v>
      </c>
      <c r="N499" s="1086"/>
      <c r="O499" s="839"/>
      <c r="P499" s="959" t="s">
        <v>315</v>
      </c>
      <c r="Q499" s="990" t="s">
        <v>316</v>
      </c>
      <c r="R499" s="961"/>
      <c r="S499" s="961"/>
      <c r="T499" s="961" t="s">
        <v>343</v>
      </c>
      <c r="U499" s="961"/>
      <c r="V499" s="961"/>
      <c r="W499" s="961"/>
      <c r="X499" s="961"/>
      <c r="Y499" s="961"/>
      <c r="Z499" s="959" t="s">
        <v>340</v>
      </c>
      <c r="AA499" s="959" t="s">
        <v>341</v>
      </c>
      <c r="AB499" s="959" t="s">
        <v>342</v>
      </c>
    </row>
    <row r="500" spans="1:28">
      <c r="A500" s="962" t="s">
        <v>344</v>
      </c>
      <c r="B500" s="963" t="s">
        <v>320</v>
      </c>
      <c r="C500" s="964"/>
      <c r="D500" s="964"/>
      <c r="E500" s="964" t="s">
        <v>345</v>
      </c>
      <c r="F500" s="964"/>
      <c r="G500" s="964"/>
      <c r="H500" s="964"/>
      <c r="I500" s="964"/>
      <c r="J500" s="964"/>
      <c r="K500" s="982" t="s">
        <v>346</v>
      </c>
      <c r="L500" s="982" t="s">
        <v>346</v>
      </c>
      <c r="M500" s="982" t="s">
        <v>346</v>
      </c>
      <c r="N500" s="1086"/>
      <c r="O500" s="839"/>
      <c r="P500" s="962" t="s">
        <v>344</v>
      </c>
      <c r="Q500" s="991" t="s">
        <v>320</v>
      </c>
      <c r="R500" s="964"/>
      <c r="S500" s="964"/>
      <c r="T500" s="964" t="s">
        <v>347</v>
      </c>
      <c r="U500" s="964"/>
      <c r="V500" s="964"/>
      <c r="W500" s="964"/>
      <c r="X500" s="964"/>
      <c r="Y500" s="964"/>
      <c r="Z500" s="982" t="s">
        <v>346</v>
      </c>
      <c r="AA500" s="982" t="s">
        <v>346</v>
      </c>
      <c r="AB500" s="982" t="s">
        <v>346</v>
      </c>
    </row>
    <row r="501" spans="1:28">
      <c r="A501" s="962" t="s">
        <v>325</v>
      </c>
      <c r="B501" s="963" t="s">
        <v>61</v>
      </c>
      <c r="C501" s="965" t="s">
        <v>326</v>
      </c>
      <c r="D501" s="965" t="s">
        <v>348</v>
      </c>
      <c r="E501" s="965"/>
      <c r="F501" s="965"/>
      <c r="G501" s="965"/>
      <c r="H501" s="965"/>
      <c r="I501" s="965"/>
      <c r="J501" s="983" t="s">
        <v>126</v>
      </c>
      <c r="K501" s="962" t="s">
        <v>349</v>
      </c>
      <c r="L501" s="962" t="s">
        <v>350</v>
      </c>
      <c r="M501" s="962" t="s">
        <v>350</v>
      </c>
      <c r="N501" s="1087"/>
      <c r="O501" s="839"/>
      <c r="P501" s="962" t="s">
        <v>325</v>
      </c>
      <c r="Q501" s="991" t="s">
        <v>61</v>
      </c>
      <c r="R501" s="965" t="s">
        <v>326</v>
      </c>
      <c r="S501" s="965" t="s">
        <v>348</v>
      </c>
      <c r="T501" s="965"/>
      <c r="U501" s="965"/>
      <c r="V501" s="965"/>
      <c r="W501" s="965"/>
      <c r="X501" s="965"/>
      <c r="Y501" s="983" t="s">
        <v>126</v>
      </c>
      <c r="Z501" s="962" t="s">
        <v>349</v>
      </c>
      <c r="AA501" s="962" t="s">
        <v>350</v>
      </c>
      <c r="AB501" s="962" t="s">
        <v>350</v>
      </c>
    </row>
    <row r="502" spans="1:28">
      <c r="A502" s="966"/>
      <c r="B502" s="967"/>
      <c r="C502" s="968" t="s">
        <v>328</v>
      </c>
      <c r="D502" s="968" t="s">
        <v>352</v>
      </c>
      <c r="E502" s="968" t="s">
        <v>54</v>
      </c>
      <c r="F502" s="968" t="s">
        <v>55</v>
      </c>
      <c r="G502" s="968" t="s">
        <v>329</v>
      </c>
      <c r="H502" s="968" t="s">
        <v>353</v>
      </c>
      <c r="I502" s="968" t="s">
        <v>330</v>
      </c>
      <c r="J502" s="964" t="s">
        <v>354</v>
      </c>
      <c r="K502" s="984" t="s">
        <v>355</v>
      </c>
      <c r="L502" s="984" t="s">
        <v>356</v>
      </c>
      <c r="M502" s="984" t="s">
        <v>357</v>
      </c>
      <c r="N502" s="1086"/>
      <c r="O502" s="839"/>
      <c r="P502" s="966"/>
      <c r="Q502" s="992"/>
      <c r="R502" s="968" t="s">
        <v>328</v>
      </c>
      <c r="S502" s="968" t="s">
        <v>352</v>
      </c>
      <c r="T502" s="968" t="s">
        <v>54</v>
      </c>
      <c r="U502" s="968" t="s">
        <v>55</v>
      </c>
      <c r="V502" s="968" t="s">
        <v>329</v>
      </c>
      <c r="W502" s="968" t="s">
        <v>353</v>
      </c>
      <c r="X502" s="968" t="s">
        <v>330</v>
      </c>
      <c r="Y502" s="964" t="s">
        <v>354</v>
      </c>
      <c r="Z502" s="984" t="s">
        <v>355</v>
      </c>
      <c r="AA502" s="984" t="s">
        <v>356</v>
      </c>
      <c r="AB502" s="984" t="s">
        <v>357</v>
      </c>
    </row>
    <row r="503" spans="1:28">
      <c r="A503" s="969" t="s">
        <v>54</v>
      </c>
      <c r="B503" s="970">
        <v>120050</v>
      </c>
      <c r="C503" s="971">
        <v>52525</v>
      </c>
      <c r="D503" s="971">
        <v>47801</v>
      </c>
      <c r="E503" s="1325" t="s">
        <v>245</v>
      </c>
      <c r="F503" s="971">
        <v>22867</v>
      </c>
      <c r="G503" s="971">
        <v>7946</v>
      </c>
      <c r="H503" s="971">
        <v>45522</v>
      </c>
      <c r="I503" s="971">
        <v>13580</v>
      </c>
      <c r="J503" s="985">
        <v>25324</v>
      </c>
      <c r="K503" s="986">
        <v>21497</v>
      </c>
      <c r="L503" s="986">
        <v>6860</v>
      </c>
      <c r="M503" s="986">
        <v>5470</v>
      </c>
      <c r="N503" s="985"/>
      <c r="O503" s="839"/>
      <c r="P503" s="969" t="s">
        <v>54</v>
      </c>
      <c r="Q503" s="993">
        <v>0.31959557490025398</v>
      </c>
      <c r="R503" s="994">
        <v>0.624750118990957</v>
      </c>
      <c r="S503" s="994">
        <v>0.599841007510303</v>
      </c>
      <c r="T503" s="1325" t="s">
        <v>245</v>
      </c>
      <c r="U503" s="994">
        <v>0.72519351029868395</v>
      </c>
      <c r="V503" s="994">
        <v>0.83954190787817795</v>
      </c>
      <c r="W503" s="994">
        <v>0.60061069373050402</v>
      </c>
      <c r="X503" s="994">
        <v>0.81421207658321104</v>
      </c>
      <c r="Y503" s="1001">
        <v>0.83442584109935203</v>
      </c>
      <c r="Z503" s="996">
        <v>0.73368376982834804</v>
      </c>
      <c r="AA503" s="996">
        <v>0.84912536443148701</v>
      </c>
      <c r="AB503" s="996">
        <v>0.88446069469835498</v>
      </c>
    </row>
    <row r="504" spans="1:28">
      <c r="A504" s="972"/>
      <c r="B504" s="973"/>
      <c r="C504" s="974">
        <v>0.43752603082049102</v>
      </c>
      <c r="D504" s="974">
        <v>0.39817576009995798</v>
      </c>
      <c r="E504" s="974"/>
      <c r="F504" s="974">
        <v>0.19047896709704301</v>
      </c>
      <c r="G504" s="974">
        <v>6.6189087880049999E-2</v>
      </c>
      <c r="H504" s="974">
        <v>0.37919200333194503</v>
      </c>
      <c r="I504" s="974">
        <v>0.11311953352769701</v>
      </c>
      <c r="J504" s="987">
        <v>0.21094543940025001</v>
      </c>
      <c r="K504" s="987">
        <v>0.179067055393586</v>
      </c>
      <c r="L504" s="987">
        <v>5.7142857142857099E-2</v>
      </c>
      <c r="M504" s="987">
        <v>4.5564348188254902E-2</v>
      </c>
      <c r="N504" s="1088"/>
      <c r="O504" s="839"/>
      <c r="P504" s="972"/>
      <c r="Q504" s="995"/>
      <c r="R504" s="974"/>
      <c r="S504" s="974"/>
      <c r="T504" s="974"/>
      <c r="U504" s="974"/>
      <c r="V504" s="974"/>
      <c r="W504" s="974"/>
      <c r="X504" s="974"/>
      <c r="Y504" s="1002"/>
      <c r="Z504" s="1003"/>
      <c r="AA504" s="1003"/>
      <c r="AB504" s="1003"/>
    </row>
    <row r="505" spans="1:28">
      <c r="A505" s="969" t="s">
        <v>55</v>
      </c>
      <c r="B505" s="975">
        <v>382815</v>
      </c>
      <c r="C505" s="971">
        <v>63664</v>
      </c>
      <c r="D505" s="971">
        <v>62596</v>
      </c>
      <c r="E505" s="971">
        <v>31501</v>
      </c>
      <c r="F505" s="1325" t="s">
        <v>245</v>
      </c>
      <c r="G505" s="971">
        <v>18120</v>
      </c>
      <c r="H505" s="971">
        <v>57992</v>
      </c>
      <c r="I505" s="971">
        <v>22618</v>
      </c>
      <c r="J505" s="985">
        <v>18523</v>
      </c>
      <c r="K505" s="986">
        <v>29941</v>
      </c>
      <c r="L505" s="986">
        <v>11074</v>
      </c>
      <c r="M505" s="986">
        <v>8711</v>
      </c>
      <c r="N505" s="985"/>
      <c r="O505" s="839"/>
      <c r="P505" s="969" t="s">
        <v>55</v>
      </c>
      <c r="Q505" s="996">
        <v>4.8780297594909101E-2</v>
      </c>
      <c r="R505" s="994">
        <v>0.25592171399849201</v>
      </c>
      <c r="S505" s="994">
        <v>0.25015975461690798</v>
      </c>
      <c r="T505" s="994">
        <v>0.38624170661248802</v>
      </c>
      <c r="U505" s="1325" t="s">
        <v>245</v>
      </c>
      <c r="V505" s="994">
        <v>0.40546357615894002</v>
      </c>
      <c r="W505" s="994">
        <v>0.25100013795006199</v>
      </c>
      <c r="X505" s="994">
        <v>0.43655495622955198</v>
      </c>
      <c r="Y505" s="1001">
        <v>0.452680451330778</v>
      </c>
      <c r="Z505" s="996">
        <v>0.38776259977956701</v>
      </c>
      <c r="AA505" s="996">
        <v>0.52284630666425902</v>
      </c>
      <c r="AB505" s="996">
        <v>0.57444610262885998</v>
      </c>
    </row>
    <row r="506" spans="1:28">
      <c r="A506" s="972"/>
      <c r="B506" s="973"/>
      <c r="C506" s="974">
        <v>0.16630487311103301</v>
      </c>
      <c r="D506" s="974">
        <v>0.16351501377950201</v>
      </c>
      <c r="E506" s="974">
        <v>8.2287789140968903E-2</v>
      </c>
      <c r="F506" s="974"/>
      <c r="G506" s="974">
        <v>4.7333568433838798E-2</v>
      </c>
      <c r="H506" s="974">
        <v>0.15148831681099201</v>
      </c>
      <c r="I506" s="974">
        <v>5.9083369251466102E-2</v>
      </c>
      <c r="J506" s="987">
        <v>4.8386296252759198E-2</v>
      </c>
      <c r="K506" s="987">
        <v>7.821271371289E-2</v>
      </c>
      <c r="L506" s="987">
        <v>2.8927811083682701E-2</v>
      </c>
      <c r="M506" s="987">
        <v>2.2755116701278701E-2</v>
      </c>
      <c r="N506" s="1088"/>
      <c r="O506" s="839"/>
      <c r="P506" s="972"/>
      <c r="Q506" s="995"/>
      <c r="R506" s="974"/>
      <c r="S506" s="974"/>
      <c r="T506" s="974"/>
      <c r="U506" s="974"/>
      <c r="V506" s="974"/>
      <c r="W506" s="974"/>
      <c r="X506" s="974"/>
      <c r="Y506" s="1002"/>
      <c r="Z506" s="1003"/>
      <c r="AA506" s="1003"/>
      <c r="AB506" s="1003"/>
    </row>
    <row r="507" spans="1:28">
      <c r="A507" s="969" t="s">
        <v>329</v>
      </c>
      <c r="B507" s="975">
        <v>73546</v>
      </c>
      <c r="C507" s="971">
        <v>8504</v>
      </c>
      <c r="D507" s="971">
        <v>8216</v>
      </c>
      <c r="E507" s="971">
        <v>2688</v>
      </c>
      <c r="F507" s="971">
        <v>4396</v>
      </c>
      <c r="G507" s="1325" t="s">
        <v>245</v>
      </c>
      <c r="H507" s="971">
        <v>7425</v>
      </c>
      <c r="I507" s="971">
        <v>3411</v>
      </c>
      <c r="J507" s="985">
        <v>2179</v>
      </c>
      <c r="K507" s="986">
        <v>2120</v>
      </c>
      <c r="L507" s="986">
        <v>2120</v>
      </c>
      <c r="M507" s="986">
        <v>1491</v>
      </c>
      <c r="N507" s="985"/>
      <c r="O507" s="839"/>
      <c r="P507" s="969" t="s">
        <v>329</v>
      </c>
      <c r="Q507" s="996">
        <v>3.73126910365051E-2</v>
      </c>
      <c r="R507" s="994">
        <v>0.249529633113829</v>
      </c>
      <c r="S507" s="994">
        <v>0.22723953261927901</v>
      </c>
      <c r="T507" s="994">
        <v>0.38690476190476197</v>
      </c>
      <c r="U507" s="994">
        <v>0.28275705186533201</v>
      </c>
      <c r="V507" s="1325" t="s">
        <v>245</v>
      </c>
      <c r="W507" s="994">
        <v>0.21898989898989901</v>
      </c>
      <c r="X507" s="994">
        <v>0.36440926414541203</v>
      </c>
      <c r="Y507" s="1001">
        <v>0.53143643873336399</v>
      </c>
      <c r="Z507" s="996">
        <v>0.39245283018867899</v>
      </c>
      <c r="AA507" s="996">
        <v>0.39245283018867899</v>
      </c>
      <c r="AB507" s="996">
        <v>0.47551978537894002</v>
      </c>
    </row>
    <row r="508" spans="1:28">
      <c r="A508" s="972"/>
      <c r="B508" s="973"/>
      <c r="C508" s="974">
        <v>0.11562831425230501</v>
      </c>
      <c r="D508" s="974">
        <v>0.111712397683083</v>
      </c>
      <c r="E508" s="974">
        <v>3.6548554646071797E-2</v>
      </c>
      <c r="F508" s="974">
        <v>5.9772115410763299E-2</v>
      </c>
      <c r="G508" s="974"/>
      <c r="H508" s="974">
        <v>0.10095722405025399</v>
      </c>
      <c r="I508" s="974">
        <v>4.6379136866722903E-2</v>
      </c>
      <c r="J508" s="987">
        <v>2.96277159872733E-2</v>
      </c>
      <c r="K508" s="987">
        <v>2.8825496967884001E-2</v>
      </c>
      <c r="L508" s="987">
        <v>2.8825496967884001E-2</v>
      </c>
      <c r="M508" s="987">
        <v>2.0273026405242998E-2</v>
      </c>
      <c r="N508" s="1088"/>
      <c r="O508" s="839"/>
      <c r="P508" s="972"/>
      <c r="Q508" s="995"/>
      <c r="R508" s="974"/>
      <c r="S508" s="974"/>
      <c r="T508" s="974"/>
      <c r="U508" s="974"/>
      <c r="V508" s="997"/>
      <c r="W508" s="974"/>
      <c r="X508" s="974"/>
      <c r="Y508" s="1002"/>
      <c r="Z508" s="1003"/>
      <c r="AA508" s="1003"/>
      <c r="AB508" s="1003"/>
    </row>
    <row r="509" spans="1:28">
      <c r="A509" s="969" t="s">
        <v>360</v>
      </c>
      <c r="B509" s="975">
        <v>174979</v>
      </c>
      <c r="C509" s="971">
        <v>73575</v>
      </c>
      <c r="D509" s="971">
        <v>54794</v>
      </c>
      <c r="E509" s="971">
        <v>50359</v>
      </c>
      <c r="F509" s="971">
        <v>31583</v>
      </c>
      <c r="G509" s="971">
        <v>11029</v>
      </c>
      <c r="H509" s="1324" t="s">
        <v>245</v>
      </c>
      <c r="I509" s="971">
        <v>16209</v>
      </c>
      <c r="J509" s="985">
        <v>55313</v>
      </c>
      <c r="K509" s="986">
        <v>28536</v>
      </c>
      <c r="L509" s="986">
        <v>9342</v>
      </c>
      <c r="M509" s="986">
        <v>7417</v>
      </c>
      <c r="N509" s="985"/>
      <c r="O509" s="839"/>
      <c r="P509" s="969" t="s">
        <v>360</v>
      </c>
      <c r="Q509" s="996">
        <v>0.23550328863271899</v>
      </c>
      <c r="R509" s="994">
        <v>0.70562011552837201</v>
      </c>
      <c r="S509" s="994">
        <v>0.70285067708143201</v>
      </c>
      <c r="T509" s="994">
        <v>0.73460553227824199</v>
      </c>
      <c r="U509" s="994">
        <v>0.73286261596428504</v>
      </c>
      <c r="V509" s="994">
        <v>0.83643122676579895</v>
      </c>
      <c r="W509" s="1324" t="s">
        <v>245</v>
      </c>
      <c r="X509" s="994">
        <v>0.82466530939601501</v>
      </c>
      <c r="Y509" s="1001">
        <v>0.80641078950698797</v>
      </c>
      <c r="Z509" s="996">
        <v>0.77810485001401697</v>
      </c>
      <c r="AA509" s="996">
        <v>0.85848854634981797</v>
      </c>
      <c r="AB509" s="996">
        <v>0.88944317109343396</v>
      </c>
    </row>
    <row r="510" spans="1:28">
      <c r="A510" s="972"/>
      <c r="B510" s="1083"/>
      <c r="C510" s="974">
        <v>0.42047902891204098</v>
      </c>
      <c r="D510" s="974">
        <v>0.31314614896644699</v>
      </c>
      <c r="E510" s="974">
        <v>0.28780025031575202</v>
      </c>
      <c r="F510" s="974">
        <v>0.18049594522771301</v>
      </c>
      <c r="G510" s="974">
        <v>6.3030420793352304E-2</v>
      </c>
      <c r="H510" s="974"/>
      <c r="I510" s="974">
        <v>9.2633973219643506E-2</v>
      </c>
      <c r="J510" s="987">
        <v>0.31611221918058702</v>
      </c>
      <c r="K510" s="987">
        <v>0.163082427034101</v>
      </c>
      <c r="L510" s="987">
        <v>5.3389263854519697E-2</v>
      </c>
      <c r="M510" s="987">
        <v>4.2387943696100702E-2</v>
      </c>
      <c r="N510" s="1088"/>
      <c r="O510" s="839"/>
      <c r="P510" s="972"/>
      <c r="Q510" s="999"/>
      <c r="R510" s="974"/>
      <c r="S510" s="974"/>
      <c r="T510" s="974"/>
      <c r="U510" s="974"/>
      <c r="V510" s="974"/>
      <c r="W510" s="1082"/>
      <c r="X510" s="974"/>
      <c r="Y510" s="1002"/>
      <c r="Z510" s="1003"/>
      <c r="AA510" s="1003"/>
      <c r="AB510" s="1003"/>
    </row>
    <row r="511" spans="1:28">
      <c r="A511" s="969" t="s">
        <v>330</v>
      </c>
      <c r="B511" s="975">
        <v>29959</v>
      </c>
      <c r="C511" s="971">
        <v>1173</v>
      </c>
      <c r="D511" s="971">
        <v>1057</v>
      </c>
      <c r="E511" s="971">
        <v>480</v>
      </c>
      <c r="F511" s="971">
        <v>308</v>
      </c>
      <c r="G511" s="971">
        <v>120</v>
      </c>
      <c r="H511" s="971">
        <v>934</v>
      </c>
      <c r="I511" s="1324" t="s">
        <v>245</v>
      </c>
      <c r="J511" s="985">
        <v>432</v>
      </c>
      <c r="K511" s="986">
        <v>228</v>
      </c>
      <c r="L511" s="986">
        <v>78</v>
      </c>
      <c r="M511" s="986">
        <v>78</v>
      </c>
      <c r="N511" s="985"/>
      <c r="O511" s="839"/>
      <c r="P511" s="969" t="s">
        <v>330</v>
      </c>
      <c r="Q511" s="996">
        <v>3.1665350139094002E-2</v>
      </c>
      <c r="R511" s="994">
        <v>0.48081841432225098</v>
      </c>
      <c r="S511" s="994">
        <v>0.443708609271523</v>
      </c>
      <c r="T511" s="994">
        <v>0.61250000000000004</v>
      </c>
      <c r="U511" s="994">
        <v>0.65259740259740295</v>
      </c>
      <c r="V511" s="994">
        <v>0.74166666666666703</v>
      </c>
      <c r="W511" s="994">
        <v>0.46252676659528902</v>
      </c>
      <c r="X511" s="1324" t="s">
        <v>245</v>
      </c>
      <c r="Y511" s="1001">
        <v>0.74768518518518501</v>
      </c>
      <c r="Z511" s="996">
        <v>0.73245614035087703</v>
      </c>
      <c r="AA511" s="996">
        <v>0.87179487179487203</v>
      </c>
      <c r="AB511" s="996">
        <v>0.87179487179487203</v>
      </c>
    </row>
    <row r="512" spans="1:28">
      <c r="A512" s="978"/>
      <c r="B512" s="1084"/>
      <c r="C512" s="980">
        <v>3.9153509796722198E-2</v>
      </c>
      <c r="D512" s="981">
        <v>3.5281551453653297E-2</v>
      </c>
      <c r="E512" s="981">
        <v>1.6021896592009099E-2</v>
      </c>
      <c r="F512" s="981">
        <v>1.02807169798725E-2</v>
      </c>
      <c r="G512" s="981">
        <v>4.0054741480022703E-3</v>
      </c>
      <c r="H512" s="981">
        <v>3.1175940451951E-2</v>
      </c>
      <c r="I512" s="981"/>
      <c r="J512" s="1004">
        <v>1.44197069328082E-2</v>
      </c>
      <c r="K512" s="988">
        <v>7.6104008812043098E-3</v>
      </c>
      <c r="L512" s="988">
        <v>2.6035581962014802E-3</v>
      </c>
      <c r="M512" s="988">
        <v>2.6035581962014802E-3</v>
      </c>
      <c r="N512" s="1088"/>
      <c r="O512" s="839"/>
      <c r="P512" s="978"/>
      <c r="Q512" s="1000"/>
      <c r="R512" s="981"/>
      <c r="S512" s="981"/>
      <c r="T512" s="981"/>
      <c r="U512" s="981"/>
      <c r="V512" s="981"/>
      <c r="W512" s="981"/>
      <c r="X512" s="981"/>
      <c r="Y512" s="1004"/>
      <c r="Z512" s="988"/>
      <c r="AA512" s="988"/>
      <c r="AB512" s="988"/>
    </row>
    <row r="513" spans="1:28">
      <c r="A513" s="1005" t="s">
        <v>361</v>
      </c>
      <c r="B513" s="1085">
        <v>781349</v>
      </c>
      <c r="C513" s="1007">
        <v>199441</v>
      </c>
      <c r="D513" s="1007">
        <v>174464</v>
      </c>
      <c r="E513" s="1007">
        <v>85028</v>
      </c>
      <c r="F513" s="1007">
        <v>59154</v>
      </c>
      <c r="G513" s="1007">
        <v>37215</v>
      </c>
      <c r="H513" s="1007">
        <v>111873</v>
      </c>
      <c r="I513" s="1007">
        <v>55818</v>
      </c>
      <c r="J513" s="1019">
        <v>101771</v>
      </c>
      <c r="K513" s="1020">
        <v>82322</v>
      </c>
      <c r="L513" s="1020">
        <v>29474</v>
      </c>
      <c r="M513" s="1020">
        <v>23167</v>
      </c>
      <c r="N513" s="1019"/>
      <c r="O513" s="839"/>
      <c r="P513" s="1005" t="s">
        <v>361</v>
      </c>
      <c r="Q513" s="1033">
        <v>0.14216173267735199</v>
      </c>
      <c r="R513" s="1034">
        <v>0.52000340952963497</v>
      </c>
      <c r="S513" s="1034">
        <v>0.48823826118855501</v>
      </c>
      <c r="T513" s="1034">
        <v>0.59386319800536302</v>
      </c>
      <c r="U513" s="1034">
        <v>0.69603069953004004</v>
      </c>
      <c r="V513" s="1034">
        <v>0.62695149805186101</v>
      </c>
      <c r="W513" s="1034">
        <v>0.39290087867492601</v>
      </c>
      <c r="X513" s="1034">
        <v>0.63673008706868806</v>
      </c>
      <c r="Y513" s="1061">
        <v>0.74286388067327602</v>
      </c>
      <c r="Z513" s="1033">
        <v>0.61447729646995897</v>
      </c>
      <c r="AA513" s="1033">
        <v>0.69671574947411297</v>
      </c>
      <c r="AB513" s="1033">
        <v>0.74312599818707603</v>
      </c>
    </row>
    <row r="514" spans="1:28">
      <c r="A514" s="1008" t="s">
        <v>362</v>
      </c>
      <c r="B514" s="1009"/>
      <c r="C514" s="1036">
        <v>0.25525213444952299</v>
      </c>
      <c r="D514" s="1036">
        <v>0.223285625245569</v>
      </c>
      <c r="E514" s="1036">
        <v>0.108822050069815</v>
      </c>
      <c r="F514" s="1036">
        <v>7.5707526342261897E-2</v>
      </c>
      <c r="G514" s="1036">
        <v>4.76291644322831E-2</v>
      </c>
      <c r="H514" s="1036">
        <v>0.14317929631956999</v>
      </c>
      <c r="I514" s="1036">
        <v>7.1437987378239406E-2</v>
      </c>
      <c r="J514" s="1062">
        <v>0.13025037467252101</v>
      </c>
      <c r="K514" s="1063">
        <v>0.105358808931732</v>
      </c>
      <c r="L514" s="1063">
        <v>3.7721939875778897E-2</v>
      </c>
      <c r="M514" s="1063">
        <v>2.9650002751651298E-2</v>
      </c>
      <c r="N514" s="1031"/>
      <c r="O514" s="839"/>
      <c r="P514" s="1008" t="s">
        <v>362</v>
      </c>
      <c r="Q514" s="1035"/>
      <c r="R514" s="1036"/>
      <c r="S514" s="1036"/>
      <c r="T514" s="1036"/>
      <c r="U514" s="1036"/>
      <c r="V514" s="1036"/>
      <c r="W514" s="1036"/>
      <c r="X514" s="1036"/>
      <c r="Y514" s="1062"/>
      <c r="Z514" s="1063"/>
      <c r="AA514" s="1063"/>
      <c r="AB514" s="1063"/>
    </row>
    <row r="515" spans="1:28">
      <c r="A515" s="969" t="s">
        <v>59</v>
      </c>
      <c r="B515" s="975">
        <v>66078</v>
      </c>
      <c r="C515" s="971">
        <v>10040</v>
      </c>
      <c r="D515" s="971">
        <v>10040</v>
      </c>
      <c r="E515" s="971">
        <v>3938</v>
      </c>
      <c r="F515" s="971">
        <v>2376</v>
      </c>
      <c r="G515" s="971">
        <v>610</v>
      </c>
      <c r="H515" s="971">
        <v>9170</v>
      </c>
      <c r="I515" s="971">
        <v>1312</v>
      </c>
      <c r="J515" s="1326" t="s">
        <v>245</v>
      </c>
      <c r="K515" s="1024">
        <v>1582</v>
      </c>
      <c r="L515" s="1024">
        <v>472</v>
      </c>
      <c r="M515" s="1024">
        <v>410</v>
      </c>
      <c r="N515" s="985"/>
      <c r="O515" s="839"/>
      <c r="P515" s="969" t="s">
        <v>59</v>
      </c>
      <c r="Q515" s="996">
        <v>9.6613352327915597E-2</v>
      </c>
      <c r="R515" s="994">
        <v>0.37270916334661403</v>
      </c>
      <c r="S515" s="994">
        <v>0.37270916334661403</v>
      </c>
      <c r="T515" s="994">
        <v>0.70822752666328104</v>
      </c>
      <c r="U515" s="994">
        <v>0.60984848484848497</v>
      </c>
      <c r="V515" s="994">
        <v>0.88852459016393404</v>
      </c>
      <c r="W515" s="994">
        <v>0.36139585605234498</v>
      </c>
      <c r="X515" s="994">
        <v>0.87881097560975596</v>
      </c>
      <c r="Y515" s="1324" t="s">
        <v>245</v>
      </c>
      <c r="Z515" s="996">
        <v>0.80278128950695304</v>
      </c>
      <c r="AA515" s="996">
        <v>0.95974576271186396</v>
      </c>
      <c r="AB515" s="996">
        <v>0.965853658536585</v>
      </c>
    </row>
    <row r="516" spans="1:28">
      <c r="A516" s="1011"/>
      <c r="B516" s="967"/>
      <c r="C516" s="1012">
        <v>0.151941644722903</v>
      </c>
      <c r="D516" s="1012">
        <v>0.151941644722903</v>
      </c>
      <c r="E516" s="1012">
        <v>5.9596234752867801E-2</v>
      </c>
      <c r="F516" s="1012">
        <v>3.5957504767093397E-2</v>
      </c>
      <c r="G516" s="1012">
        <v>9.2315142710130502E-3</v>
      </c>
      <c r="H516" s="1012">
        <v>0.13877538666424499</v>
      </c>
      <c r="I516" s="1012">
        <v>1.9855322497654301E-2</v>
      </c>
      <c r="J516" s="1025"/>
      <c r="K516" s="1026">
        <v>2.3941402584823999E-2</v>
      </c>
      <c r="L516" s="1026">
        <v>7.1430733375707498E-3</v>
      </c>
      <c r="M516" s="1026">
        <v>6.2047882805169596E-3</v>
      </c>
      <c r="N516" s="1088"/>
      <c r="O516" s="839"/>
      <c r="P516" s="1011"/>
      <c r="Q516" s="992"/>
      <c r="R516" s="1012"/>
      <c r="S516" s="1012"/>
      <c r="T516" s="1012"/>
      <c r="U516" s="1012"/>
      <c r="V516" s="1012"/>
      <c r="W516" s="1012"/>
      <c r="X516" s="1012"/>
      <c r="Y516" s="1025"/>
      <c r="Z516" s="1026"/>
      <c r="AA516" s="1026"/>
      <c r="AB516" s="1026"/>
    </row>
    <row r="517" spans="1:28">
      <c r="A517" s="1005" t="s">
        <v>333</v>
      </c>
      <c r="B517" s="1013">
        <v>847427</v>
      </c>
      <c r="C517" s="1014">
        <v>209481</v>
      </c>
      <c r="D517" s="1015">
        <v>184504</v>
      </c>
      <c r="E517" s="1015">
        <v>88966</v>
      </c>
      <c r="F517" s="1015">
        <v>61530</v>
      </c>
      <c r="G517" s="1015">
        <v>37825</v>
      </c>
      <c r="H517" s="1015">
        <v>121043</v>
      </c>
      <c r="I517" s="1015">
        <v>57130</v>
      </c>
      <c r="J517" s="1027">
        <v>101771</v>
      </c>
      <c r="K517" s="1028">
        <v>83904</v>
      </c>
      <c r="L517" s="1028">
        <v>29946</v>
      </c>
      <c r="M517" s="1028">
        <v>23577</v>
      </c>
      <c r="N517" s="1089"/>
      <c r="O517" s="839"/>
      <c r="P517" s="1005" t="s">
        <v>333</v>
      </c>
      <c r="Q517" s="1037">
        <v>0.13918924772305399</v>
      </c>
      <c r="R517" s="1038">
        <v>0.51294389467302504</v>
      </c>
      <c r="S517" s="1039">
        <v>0.481951610805186</v>
      </c>
      <c r="T517" s="1039">
        <v>0.59892543218757699</v>
      </c>
      <c r="U517" s="1039">
        <v>0.69270274662766096</v>
      </c>
      <c r="V517" s="1039">
        <v>0.63116986120290797</v>
      </c>
      <c r="W517" s="1039">
        <v>0.39051411481870102</v>
      </c>
      <c r="X517" s="1039">
        <v>0.64228951514090704</v>
      </c>
      <c r="Y517" s="1064">
        <v>0.74286388067327602</v>
      </c>
      <c r="Z517" s="1065">
        <v>0.61802774599542298</v>
      </c>
      <c r="AA517" s="1065">
        <v>0.70086155079142498</v>
      </c>
      <c r="AB517" s="1065">
        <v>0.74699919412987204</v>
      </c>
    </row>
    <row r="518" spans="1:28">
      <c r="A518" s="1016"/>
      <c r="B518" s="1080"/>
      <c r="C518" s="1018">
        <v>0.24719651368200399</v>
      </c>
      <c r="D518" s="1018">
        <v>0.217722588494348</v>
      </c>
      <c r="E518" s="1018">
        <v>0.10498367410998199</v>
      </c>
      <c r="F518" s="1018">
        <v>7.2608024053989306E-2</v>
      </c>
      <c r="G518" s="1018">
        <v>4.4635113112987901E-2</v>
      </c>
      <c r="H518" s="1018">
        <v>0.142835902089502</v>
      </c>
      <c r="I518" s="1018">
        <v>6.7415836408327795E-2</v>
      </c>
      <c r="J518" s="1029">
        <v>0.12009412020150401</v>
      </c>
      <c r="K518" s="1030">
        <v>9.9010298232178107E-2</v>
      </c>
      <c r="L518" s="1030">
        <v>3.5337557099313598E-2</v>
      </c>
      <c r="M518" s="1030">
        <v>2.7821865482218499E-2</v>
      </c>
      <c r="N518" s="1031"/>
      <c r="O518" s="839"/>
      <c r="P518" s="1016"/>
      <c r="Q518" s="1017"/>
      <c r="R518" s="1018"/>
      <c r="S518" s="1018"/>
      <c r="T518" s="1018"/>
      <c r="U518" s="1018"/>
      <c r="V518" s="1018"/>
      <c r="W518" s="1018"/>
      <c r="X518" s="1018"/>
      <c r="Y518" s="1029"/>
      <c r="Z518" s="1030"/>
      <c r="AA518" s="1030"/>
      <c r="AB518" s="1030"/>
    </row>
    <row r="519" spans="1:28">
      <c r="A519" s="958"/>
      <c r="B519" s="958"/>
      <c r="C519" s="958"/>
      <c r="D519" s="958"/>
      <c r="E519" s="958"/>
      <c r="F519" s="958"/>
      <c r="G519" s="958"/>
      <c r="N519" s="958"/>
      <c r="O519" s="958"/>
      <c r="P519" s="958"/>
      <c r="Q519" s="958"/>
      <c r="R519" s="958"/>
      <c r="S519" s="958"/>
      <c r="T519" s="958"/>
      <c r="U519" s="958"/>
    </row>
    <row r="520" spans="1:28">
      <c r="A520" s="839"/>
      <c r="B520" s="958"/>
      <c r="C520" s="958"/>
      <c r="D520" s="958"/>
      <c r="E520" s="958"/>
      <c r="F520" s="958"/>
      <c r="O520" s="958"/>
      <c r="P520" s="839" t="s">
        <v>364</v>
      </c>
      <c r="Q520" s="958"/>
      <c r="R520" s="958"/>
      <c r="S520" s="958"/>
      <c r="T520" s="958"/>
      <c r="U520" s="958"/>
    </row>
    <row r="521" spans="1:28">
      <c r="A521" s="955" t="s">
        <v>338</v>
      </c>
      <c r="B521" s="955"/>
      <c r="C521" s="955">
        <v>2000</v>
      </c>
      <c r="D521" s="839"/>
      <c r="E521" s="839"/>
      <c r="F521" s="839"/>
      <c r="G521" s="839"/>
      <c r="H521" s="839"/>
      <c r="I521" s="839"/>
      <c r="J521" s="839"/>
      <c r="K521" s="839"/>
      <c r="L521" s="839"/>
      <c r="M521" s="839"/>
      <c r="N521" s="839"/>
      <c r="O521" s="839"/>
      <c r="P521" s="955" t="s">
        <v>338</v>
      </c>
      <c r="Q521" s="955"/>
      <c r="R521" s="955">
        <v>2000</v>
      </c>
      <c r="S521" s="839"/>
      <c r="T521" s="839"/>
      <c r="U521" s="839"/>
      <c r="V521" s="958"/>
      <c r="W521" s="958"/>
      <c r="X521" s="958"/>
      <c r="Y521" s="958"/>
      <c r="Z521" s="958"/>
      <c r="AA521" s="958"/>
      <c r="AB521" s="958"/>
    </row>
    <row r="522" spans="1:28">
      <c r="A522" s="839"/>
      <c r="B522" s="839"/>
      <c r="C522" s="839"/>
      <c r="D522" s="839"/>
      <c r="E522" s="839"/>
      <c r="F522" s="839"/>
      <c r="G522" s="958"/>
      <c r="H522" s="958"/>
      <c r="I522" s="958"/>
      <c r="J522" s="958"/>
      <c r="K522" s="958"/>
      <c r="L522" s="958"/>
      <c r="M522" s="958"/>
      <c r="N522" s="958"/>
      <c r="O522" s="839"/>
      <c r="P522" s="839"/>
      <c r="Q522" s="839"/>
      <c r="R522" s="839"/>
      <c r="S522" s="839"/>
      <c r="T522" s="839"/>
      <c r="U522" s="839"/>
      <c r="V522" s="958"/>
      <c r="W522" s="958"/>
      <c r="X522" s="958"/>
      <c r="Y522" s="958"/>
      <c r="Z522" s="958"/>
      <c r="AA522" s="958"/>
      <c r="AB522" s="958"/>
    </row>
    <row r="523" spans="1:28">
      <c r="A523" s="959" t="s">
        <v>315</v>
      </c>
      <c r="B523" s="960" t="s">
        <v>316</v>
      </c>
      <c r="C523" s="961"/>
      <c r="D523" s="961"/>
      <c r="E523" s="961" t="s">
        <v>339</v>
      </c>
      <c r="F523" s="961"/>
      <c r="G523" s="961"/>
      <c r="H523" s="961"/>
      <c r="I523" s="961"/>
      <c r="J523" s="961"/>
      <c r="K523" s="959" t="s">
        <v>340</v>
      </c>
      <c r="L523" s="959" t="s">
        <v>341</v>
      </c>
      <c r="M523" s="959" t="s">
        <v>342</v>
      </c>
      <c r="N523" s="1086"/>
      <c r="O523" s="839"/>
      <c r="P523" s="959" t="s">
        <v>315</v>
      </c>
      <c r="Q523" s="990" t="s">
        <v>316</v>
      </c>
      <c r="R523" s="961"/>
      <c r="S523" s="961"/>
      <c r="T523" s="961" t="s">
        <v>343</v>
      </c>
      <c r="U523" s="961"/>
      <c r="V523" s="961"/>
      <c r="W523" s="961"/>
      <c r="X523" s="961"/>
      <c r="Y523" s="961"/>
      <c r="Z523" s="959" t="s">
        <v>340</v>
      </c>
      <c r="AA523" s="959" t="s">
        <v>341</v>
      </c>
      <c r="AB523" s="959" t="s">
        <v>342</v>
      </c>
    </row>
    <row r="524" spans="1:28">
      <c r="A524" s="962" t="s">
        <v>344</v>
      </c>
      <c r="B524" s="963" t="s">
        <v>320</v>
      </c>
      <c r="C524" s="964"/>
      <c r="D524" s="964"/>
      <c r="E524" s="964" t="s">
        <v>345</v>
      </c>
      <c r="F524" s="964"/>
      <c r="G524" s="964"/>
      <c r="H524" s="964"/>
      <c r="I524" s="964"/>
      <c r="J524" s="964"/>
      <c r="K524" s="982" t="s">
        <v>346</v>
      </c>
      <c r="L524" s="982" t="s">
        <v>346</v>
      </c>
      <c r="M524" s="982" t="s">
        <v>346</v>
      </c>
      <c r="N524" s="1086"/>
      <c r="O524" s="839"/>
      <c r="P524" s="962" t="s">
        <v>344</v>
      </c>
      <c r="Q524" s="991" t="s">
        <v>320</v>
      </c>
      <c r="R524" s="964"/>
      <c r="S524" s="964"/>
      <c r="T524" s="964" t="s">
        <v>347</v>
      </c>
      <c r="U524" s="964"/>
      <c r="V524" s="964"/>
      <c r="W524" s="964"/>
      <c r="X524" s="964"/>
      <c r="Y524" s="964"/>
      <c r="Z524" s="982" t="s">
        <v>346</v>
      </c>
      <c r="AA524" s="982" t="s">
        <v>346</v>
      </c>
      <c r="AB524" s="982" t="s">
        <v>346</v>
      </c>
    </row>
    <row r="525" spans="1:28">
      <c r="A525" s="962" t="s">
        <v>325</v>
      </c>
      <c r="B525" s="963" t="s">
        <v>61</v>
      </c>
      <c r="C525" s="965" t="s">
        <v>326</v>
      </c>
      <c r="D525" s="965" t="s">
        <v>348</v>
      </c>
      <c r="E525" s="965"/>
      <c r="F525" s="965"/>
      <c r="G525" s="965"/>
      <c r="H525" s="965"/>
      <c r="I525" s="965"/>
      <c r="J525" s="983" t="s">
        <v>126</v>
      </c>
      <c r="K525" s="962" t="s">
        <v>349</v>
      </c>
      <c r="L525" s="962" t="s">
        <v>350</v>
      </c>
      <c r="M525" s="962" t="s">
        <v>350</v>
      </c>
      <c r="N525" s="1087"/>
      <c r="O525" s="839"/>
      <c r="P525" s="962" t="s">
        <v>325</v>
      </c>
      <c r="Q525" s="991" t="s">
        <v>61</v>
      </c>
      <c r="R525" s="965" t="s">
        <v>326</v>
      </c>
      <c r="S525" s="965" t="s">
        <v>348</v>
      </c>
      <c r="T525" s="965"/>
      <c r="U525" s="965"/>
      <c r="V525" s="965"/>
      <c r="W525" s="965"/>
      <c r="X525" s="965"/>
      <c r="Y525" s="983" t="s">
        <v>126</v>
      </c>
      <c r="Z525" s="962" t="s">
        <v>349</v>
      </c>
      <c r="AA525" s="962" t="s">
        <v>350</v>
      </c>
      <c r="AB525" s="962" t="s">
        <v>350</v>
      </c>
    </row>
    <row r="526" spans="1:28">
      <c r="A526" s="966"/>
      <c r="B526" s="967"/>
      <c r="C526" s="968" t="s">
        <v>328</v>
      </c>
      <c r="D526" s="968" t="s">
        <v>352</v>
      </c>
      <c r="E526" s="968" t="s">
        <v>54</v>
      </c>
      <c r="F526" s="968" t="s">
        <v>55</v>
      </c>
      <c r="G526" s="968" t="s">
        <v>329</v>
      </c>
      <c r="H526" s="968" t="s">
        <v>353</v>
      </c>
      <c r="I526" s="968" t="s">
        <v>330</v>
      </c>
      <c r="J526" s="964" t="s">
        <v>354</v>
      </c>
      <c r="K526" s="984" t="s">
        <v>355</v>
      </c>
      <c r="L526" s="984" t="s">
        <v>356</v>
      </c>
      <c r="M526" s="984" t="s">
        <v>357</v>
      </c>
      <c r="N526" s="1086"/>
      <c r="O526" s="839"/>
      <c r="P526" s="966"/>
      <c r="Q526" s="992"/>
      <c r="R526" s="968" t="s">
        <v>328</v>
      </c>
      <c r="S526" s="968" t="s">
        <v>352</v>
      </c>
      <c r="T526" s="968" t="s">
        <v>54</v>
      </c>
      <c r="U526" s="968" t="s">
        <v>55</v>
      </c>
      <c r="V526" s="968" t="s">
        <v>329</v>
      </c>
      <c r="W526" s="968" t="s">
        <v>353</v>
      </c>
      <c r="X526" s="968" t="s">
        <v>330</v>
      </c>
      <c r="Y526" s="964" t="s">
        <v>354</v>
      </c>
      <c r="Z526" s="984" t="s">
        <v>355</v>
      </c>
      <c r="AA526" s="984" t="s">
        <v>356</v>
      </c>
      <c r="AB526" s="984" t="s">
        <v>357</v>
      </c>
    </row>
    <row r="527" spans="1:28">
      <c r="A527" s="969" t="s">
        <v>54</v>
      </c>
      <c r="B527" s="970">
        <v>130928</v>
      </c>
      <c r="C527" s="971">
        <v>58399</v>
      </c>
      <c r="D527" s="971">
        <v>47383</v>
      </c>
      <c r="E527" s="1325" t="s">
        <v>245</v>
      </c>
      <c r="F527" s="971">
        <v>23917</v>
      </c>
      <c r="G527" s="971">
        <v>5778</v>
      </c>
      <c r="H527" s="971">
        <v>45060</v>
      </c>
      <c r="I527" s="971">
        <v>12138</v>
      </c>
      <c r="J527" s="985">
        <v>37243</v>
      </c>
      <c r="K527" s="986">
        <v>22315</v>
      </c>
      <c r="L527" s="986">
        <v>5102</v>
      </c>
      <c r="M527" s="986">
        <v>3803</v>
      </c>
      <c r="N527" s="985"/>
      <c r="O527" s="839"/>
      <c r="P527" s="969" t="s">
        <v>54</v>
      </c>
      <c r="Q527" s="993">
        <v>0.309334997030901</v>
      </c>
      <c r="R527" s="994">
        <v>0.64942892857754397</v>
      </c>
      <c r="S527" s="994">
        <v>0.58198087921828501</v>
      </c>
      <c r="T527" s="1325" t="s">
        <v>245</v>
      </c>
      <c r="U527" s="994">
        <v>0.68909144123426802</v>
      </c>
      <c r="V527" s="994">
        <v>0.77016268605053695</v>
      </c>
      <c r="W527" s="994">
        <v>0.58253439857967204</v>
      </c>
      <c r="X527" s="994">
        <v>0.79279947273026896</v>
      </c>
      <c r="Y527" s="1001">
        <v>0.86580028461724301</v>
      </c>
      <c r="Z527" s="996">
        <v>0.69661662558816895</v>
      </c>
      <c r="AA527" s="996">
        <v>0.78185025480203796</v>
      </c>
      <c r="AB527" s="996">
        <v>0.82855640283986298</v>
      </c>
    </row>
    <row r="528" spans="1:28">
      <c r="A528" s="972"/>
      <c r="B528" s="973"/>
      <c r="C528" s="974">
        <v>0.44603904436025898</v>
      </c>
      <c r="D528" s="974">
        <v>0.36190119760479</v>
      </c>
      <c r="E528" s="974"/>
      <c r="F528" s="974">
        <v>0.182672919467188</v>
      </c>
      <c r="G528" s="974">
        <v>4.4131125504093899E-2</v>
      </c>
      <c r="H528" s="974">
        <v>0.34415862153244497</v>
      </c>
      <c r="I528" s="974">
        <v>9.2707442258340503E-2</v>
      </c>
      <c r="J528" s="987">
        <v>0.28445405108151001</v>
      </c>
      <c r="K528" s="987">
        <v>0.17043718685078799</v>
      </c>
      <c r="L528" s="987">
        <v>3.8967982402541901E-2</v>
      </c>
      <c r="M528" s="987">
        <v>2.9046498839056599E-2</v>
      </c>
      <c r="N528" s="1088"/>
      <c r="O528" s="839"/>
      <c r="P528" s="972"/>
      <c r="Q528" s="995"/>
      <c r="R528" s="974"/>
      <c r="S528" s="974"/>
      <c r="T528" s="974"/>
      <c r="U528" s="974"/>
      <c r="V528" s="974"/>
      <c r="W528" s="974"/>
      <c r="X528" s="974"/>
      <c r="Y528" s="1002"/>
      <c r="Z528" s="1003"/>
      <c r="AA528" s="1003"/>
      <c r="AB528" s="1003"/>
    </row>
    <row r="529" spans="1:28">
      <c r="A529" s="969" t="s">
        <v>55</v>
      </c>
      <c r="B529" s="975">
        <v>384201</v>
      </c>
      <c r="C529" s="971">
        <v>65455</v>
      </c>
      <c r="D529" s="971">
        <v>63406</v>
      </c>
      <c r="E529" s="971">
        <v>33466</v>
      </c>
      <c r="F529" s="1325" t="s">
        <v>245</v>
      </c>
      <c r="G529" s="971">
        <v>15151</v>
      </c>
      <c r="H529" s="971">
        <v>59105</v>
      </c>
      <c r="I529" s="971">
        <v>17220</v>
      </c>
      <c r="J529" s="985">
        <v>21174</v>
      </c>
      <c r="K529" s="986">
        <v>31451</v>
      </c>
      <c r="L529" s="986">
        <v>9244</v>
      </c>
      <c r="M529" s="986">
        <v>6263</v>
      </c>
      <c r="N529" s="985"/>
      <c r="O529" s="839"/>
      <c r="P529" s="969" t="s">
        <v>55</v>
      </c>
      <c r="Q529" s="996">
        <v>4.3323739009960102E-2</v>
      </c>
      <c r="R529" s="994">
        <v>0.23289282713314499</v>
      </c>
      <c r="S529" s="994">
        <v>0.21666719237927001</v>
      </c>
      <c r="T529" s="994">
        <v>0.33401063766210498</v>
      </c>
      <c r="U529" s="1325" t="s">
        <v>245</v>
      </c>
      <c r="V529" s="994">
        <v>0.27536136228631802</v>
      </c>
      <c r="W529" s="994">
        <v>0.21532865239827401</v>
      </c>
      <c r="X529" s="994">
        <v>0.43536585365853703</v>
      </c>
      <c r="Y529" s="1001">
        <v>0.47548880702748703</v>
      </c>
      <c r="Z529" s="996">
        <v>0.33286699945947701</v>
      </c>
      <c r="AA529" s="996">
        <v>0.37083513630463</v>
      </c>
      <c r="AB529" s="996">
        <v>0.447229762094843</v>
      </c>
    </row>
    <row r="530" spans="1:28">
      <c r="A530" s="972"/>
      <c r="B530" s="973"/>
      <c r="C530" s="974">
        <v>0.17036655292412001</v>
      </c>
      <c r="D530" s="974">
        <v>0.165033406992694</v>
      </c>
      <c r="E530" s="974">
        <v>8.71054474090385E-2</v>
      </c>
      <c r="F530" s="974"/>
      <c r="G530" s="974">
        <v>3.9435087363125003E-2</v>
      </c>
      <c r="H530" s="974">
        <v>0.15383874586479501</v>
      </c>
      <c r="I530" s="974">
        <v>4.4820289379777799E-2</v>
      </c>
      <c r="J530" s="987">
        <v>5.5111777429002001E-2</v>
      </c>
      <c r="K530" s="987">
        <v>8.1860796822496598E-2</v>
      </c>
      <c r="L530" s="987">
        <v>2.4060322591560102E-2</v>
      </c>
      <c r="M530" s="987">
        <v>1.6301363088591599E-2</v>
      </c>
      <c r="N530" s="1088"/>
      <c r="O530" s="839"/>
      <c r="P530" s="972"/>
      <c r="Q530" s="995"/>
      <c r="R530" s="974"/>
      <c r="S530" s="974"/>
      <c r="T530" s="974"/>
      <c r="U530" s="974"/>
      <c r="V530" s="974"/>
      <c r="W530" s="974"/>
      <c r="X530" s="974"/>
      <c r="Y530" s="1002"/>
      <c r="Z530" s="1003"/>
      <c r="AA530" s="1003"/>
      <c r="AB530" s="1003"/>
    </row>
    <row r="531" spans="1:28">
      <c r="A531" s="969" t="s">
        <v>329</v>
      </c>
      <c r="B531" s="975">
        <v>72753</v>
      </c>
      <c r="C531" s="971">
        <v>7872</v>
      </c>
      <c r="D531" s="971">
        <v>6961</v>
      </c>
      <c r="E531" s="971">
        <v>2328</v>
      </c>
      <c r="F531" s="971">
        <v>3947</v>
      </c>
      <c r="G531" s="1325" t="s">
        <v>245</v>
      </c>
      <c r="H531" s="971">
        <v>6079</v>
      </c>
      <c r="I531" s="971">
        <v>2623</v>
      </c>
      <c r="J531" s="985">
        <v>3208</v>
      </c>
      <c r="K531" s="986">
        <v>1751</v>
      </c>
      <c r="L531" s="986">
        <v>1751</v>
      </c>
      <c r="M531" s="986">
        <v>1229</v>
      </c>
      <c r="N531" s="985"/>
      <c r="O531" s="839"/>
      <c r="P531" s="969" t="s">
        <v>329</v>
      </c>
      <c r="Q531" s="996">
        <v>3.64355391510678E-2</v>
      </c>
      <c r="R531" s="994">
        <v>0.32494918699186998</v>
      </c>
      <c r="S531" s="994">
        <v>0.24421778480103401</v>
      </c>
      <c r="T531" s="994">
        <v>0.423969072164948</v>
      </c>
      <c r="U531" s="994">
        <v>0.30478844692171297</v>
      </c>
      <c r="V531" s="1325" t="s">
        <v>245</v>
      </c>
      <c r="W531" s="994">
        <v>0.22799802599111699</v>
      </c>
      <c r="X531" s="994">
        <v>0.42851696530689998</v>
      </c>
      <c r="Y531" s="1001">
        <v>0.72163341645885304</v>
      </c>
      <c r="Z531" s="996">
        <v>0.43403769274700199</v>
      </c>
      <c r="AA531" s="996">
        <v>0.43403769274700199</v>
      </c>
      <c r="AB531" s="996">
        <v>0.54434499593165198</v>
      </c>
    </row>
    <row r="532" spans="1:28">
      <c r="A532" s="972"/>
      <c r="B532" s="973"/>
      <c r="C532" s="974">
        <v>0.108201723640262</v>
      </c>
      <c r="D532" s="974">
        <v>9.5679903234230895E-2</v>
      </c>
      <c r="E532" s="974">
        <v>3.1998680466784897E-2</v>
      </c>
      <c r="F532" s="974">
        <v>5.4252058334364202E-2</v>
      </c>
      <c r="G532" s="974"/>
      <c r="H532" s="974">
        <v>8.3556691820268605E-2</v>
      </c>
      <c r="I532" s="974">
        <v>3.6053496075763199E-2</v>
      </c>
      <c r="J532" s="987">
        <v>4.4094401605432099E-2</v>
      </c>
      <c r="K532" s="987">
        <v>2.4067736038376399E-2</v>
      </c>
      <c r="L532" s="987">
        <v>2.4067736038376399E-2</v>
      </c>
      <c r="M532" s="987">
        <v>1.6892774181133399E-2</v>
      </c>
      <c r="N532" s="1088"/>
      <c r="O532" s="839"/>
      <c r="P532" s="972"/>
      <c r="Q532" s="995"/>
      <c r="R532" s="974"/>
      <c r="S532" s="974"/>
      <c r="T532" s="974"/>
      <c r="U532" s="974"/>
      <c r="V532" s="997"/>
      <c r="W532" s="974"/>
      <c r="X532" s="974"/>
      <c r="Y532" s="1002"/>
      <c r="Z532" s="1003"/>
      <c r="AA532" s="1003"/>
      <c r="AB532" s="1003"/>
    </row>
    <row r="533" spans="1:28">
      <c r="A533" s="969" t="s">
        <v>360</v>
      </c>
      <c r="B533" s="975">
        <v>161786</v>
      </c>
      <c r="C533" s="971">
        <v>79190</v>
      </c>
      <c r="D533" s="971">
        <v>53823</v>
      </c>
      <c r="E533" s="971">
        <v>49639</v>
      </c>
      <c r="F533" s="971">
        <v>31667</v>
      </c>
      <c r="G533" s="971">
        <v>8631</v>
      </c>
      <c r="H533" s="1324" t="s">
        <v>245</v>
      </c>
      <c r="I533" s="971">
        <v>13726</v>
      </c>
      <c r="J533" s="985">
        <v>65209</v>
      </c>
      <c r="K533" s="986">
        <v>28453</v>
      </c>
      <c r="L533" s="986">
        <v>7108</v>
      </c>
      <c r="M533" s="986">
        <v>4971</v>
      </c>
      <c r="N533" s="985"/>
      <c r="O533" s="839"/>
      <c r="P533" s="969" t="s">
        <v>360</v>
      </c>
      <c r="Q533" s="996">
        <v>0.27094741006482698</v>
      </c>
      <c r="R533" s="994">
        <v>0.727225659805531</v>
      </c>
      <c r="S533" s="994">
        <v>0.68504171079278398</v>
      </c>
      <c r="T533" s="994">
        <v>0.71607002558472199</v>
      </c>
      <c r="U533" s="994">
        <v>0.702592604288376</v>
      </c>
      <c r="V533" s="994">
        <v>0.75506893755068905</v>
      </c>
      <c r="W533" s="1324" t="s">
        <v>245</v>
      </c>
      <c r="X533" s="994">
        <v>0.795060469182573</v>
      </c>
      <c r="Y533" s="1001">
        <v>0.83707770399791404</v>
      </c>
      <c r="Z533" s="996">
        <v>0.74726742347028396</v>
      </c>
      <c r="AA533" s="996">
        <v>0.79459763646595405</v>
      </c>
      <c r="AB533" s="996">
        <v>0.86159726413196502</v>
      </c>
    </row>
    <row r="534" spans="1:28">
      <c r="A534" s="972"/>
      <c r="B534" s="1083"/>
      <c r="C534" s="974">
        <v>0.489473749273732</v>
      </c>
      <c r="D534" s="974">
        <v>0.33268020718727198</v>
      </c>
      <c r="E534" s="974">
        <v>0.30681888420506098</v>
      </c>
      <c r="F534" s="974">
        <v>0.19573387066866099</v>
      </c>
      <c r="G534" s="974">
        <v>5.3348250157615601E-2</v>
      </c>
      <c r="H534" s="974"/>
      <c r="I534" s="974">
        <v>8.4840468272903702E-2</v>
      </c>
      <c r="J534" s="987">
        <v>0.40305712484393003</v>
      </c>
      <c r="K534" s="987">
        <v>0.17586812208720201</v>
      </c>
      <c r="L534" s="987">
        <v>4.39345802479819E-2</v>
      </c>
      <c r="M534" s="987">
        <v>3.07257735527178E-2</v>
      </c>
      <c r="N534" s="1088"/>
      <c r="O534" s="839"/>
      <c r="P534" s="972"/>
      <c r="Q534" s="999"/>
      <c r="R534" s="974"/>
      <c r="S534" s="974"/>
      <c r="T534" s="974"/>
      <c r="U534" s="974"/>
      <c r="V534" s="974"/>
      <c r="W534" s="1082"/>
      <c r="X534" s="974"/>
      <c r="Y534" s="1002"/>
      <c r="Z534" s="1003"/>
      <c r="AA534" s="1003"/>
      <c r="AB534" s="1003"/>
    </row>
    <row r="535" spans="1:28">
      <c r="A535" s="969" t="s">
        <v>330</v>
      </c>
      <c r="B535" s="975">
        <v>25261</v>
      </c>
      <c r="C535" s="971">
        <v>2093</v>
      </c>
      <c r="D535" s="971">
        <v>852</v>
      </c>
      <c r="E535" s="971">
        <v>378</v>
      </c>
      <c r="F535" s="971">
        <v>246</v>
      </c>
      <c r="G535" s="971">
        <v>84</v>
      </c>
      <c r="H535" s="971">
        <v>708</v>
      </c>
      <c r="I535" s="1324" t="s">
        <v>245</v>
      </c>
      <c r="J535" s="985">
        <v>1633</v>
      </c>
      <c r="K535" s="986">
        <v>143</v>
      </c>
      <c r="L535" s="986">
        <v>36</v>
      </c>
      <c r="M535" s="986">
        <v>36</v>
      </c>
      <c r="N535" s="985"/>
      <c r="O535" s="839"/>
      <c r="P535" s="969" t="s">
        <v>330</v>
      </c>
      <c r="Q535" s="996">
        <v>6.4998773608045096E-2</v>
      </c>
      <c r="R535" s="994">
        <v>0.72575250836120397</v>
      </c>
      <c r="S535" s="994">
        <v>0.38262910798122102</v>
      </c>
      <c r="T535" s="994">
        <v>0.53439153439153397</v>
      </c>
      <c r="U535" s="994">
        <v>0.54065040650406504</v>
      </c>
      <c r="V535" s="994">
        <v>0.58333333333333304</v>
      </c>
      <c r="W535" s="994">
        <v>0.39971751412429402</v>
      </c>
      <c r="X535" s="1324" t="s">
        <v>245</v>
      </c>
      <c r="Y535" s="1001">
        <v>0.90447030006123696</v>
      </c>
      <c r="Z535" s="996">
        <v>0.678321678321678</v>
      </c>
      <c r="AA535" s="996">
        <v>0.88888888888888895</v>
      </c>
      <c r="AB535" s="996">
        <v>0.88888888888888895</v>
      </c>
    </row>
    <row r="536" spans="1:28">
      <c r="A536" s="978"/>
      <c r="B536" s="1084"/>
      <c r="C536" s="980">
        <v>8.2854993864059201E-2</v>
      </c>
      <c r="D536" s="981">
        <v>3.3727880923162201E-2</v>
      </c>
      <c r="E536" s="981">
        <v>1.49637781560508E-2</v>
      </c>
      <c r="F536" s="981">
        <v>9.7383318158425995E-3</v>
      </c>
      <c r="G536" s="981">
        <v>3.3252840346779601E-3</v>
      </c>
      <c r="H536" s="981">
        <v>2.80273940065714E-2</v>
      </c>
      <c r="I536" s="981"/>
      <c r="J536" s="1004">
        <v>6.4645105102727501E-2</v>
      </c>
      <c r="K536" s="988">
        <v>5.6609002018922503E-3</v>
      </c>
      <c r="L536" s="988">
        <v>1.4251217291477E-3</v>
      </c>
      <c r="M536" s="988">
        <v>1.4251217291477E-3</v>
      </c>
      <c r="N536" s="1088"/>
      <c r="O536" s="839"/>
      <c r="P536" s="978"/>
      <c r="Q536" s="1000"/>
      <c r="R536" s="981"/>
      <c r="S536" s="981"/>
      <c r="T536" s="981"/>
      <c r="U536" s="981"/>
      <c r="V536" s="981"/>
      <c r="W536" s="981"/>
      <c r="X536" s="981"/>
      <c r="Y536" s="1004"/>
      <c r="Z536" s="988"/>
      <c r="AA536" s="988"/>
      <c r="AB536" s="988"/>
    </row>
    <row r="537" spans="1:28">
      <c r="A537" s="1005" t="s">
        <v>361</v>
      </c>
      <c r="B537" s="1085">
        <v>774929</v>
      </c>
      <c r="C537" s="1007">
        <v>213009</v>
      </c>
      <c r="D537" s="1007">
        <v>172425</v>
      </c>
      <c r="E537" s="1007">
        <v>85811</v>
      </c>
      <c r="F537" s="1007">
        <v>59777</v>
      </c>
      <c r="G537" s="1007">
        <v>29644</v>
      </c>
      <c r="H537" s="1007">
        <v>110952</v>
      </c>
      <c r="I537" s="1007">
        <v>45707</v>
      </c>
      <c r="J537" s="1019">
        <v>128467</v>
      </c>
      <c r="K537" s="1020">
        <v>84113</v>
      </c>
      <c r="L537" s="1020">
        <v>23241</v>
      </c>
      <c r="M537" s="1020">
        <v>16302</v>
      </c>
      <c r="N537" s="1019"/>
      <c r="O537" s="839"/>
      <c r="P537" s="1005" t="s">
        <v>361</v>
      </c>
      <c r="Q537" s="1033">
        <v>0.14603041952197901</v>
      </c>
      <c r="R537" s="1034">
        <v>0.53911337079653898</v>
      </c>
      <c r="S537" s="1034">
        <v>0.46519356241844301</v>
      </c>
      <c r="T537" s="1034">
        <v>0.55834333593595198</v>
      </c>
      <c r="U537" s="1034">
        <v>0.67025779145825304</v>
      </c>
      <c r="V537" s="1034">
        <v>0.51234651194170799</v>
      </c>
      <c r="W537" s="1034">
        <v>0.36632958396423698</v>
      </c>
      <c r="X537" s="1034">
        <v>0.63791104207232996</v>
      </c>
      <c r="Y537" s="1061">
        <v>0.78378104882966004</v>
      </c>
      <c r="Z537" s="1033">
        <v>0.572242102885404</v>
      </c>
      <c r="AA537" s="1033">
        <v>0.59623079901897502</v>
      </c>
      <c r="AB537" s="1033">
        <v>0.67083793399582903</v>
      </c>
    </row>
    <row r="538" spans="1:28">
      <c r="A538" s="1008" t="s">
        <v>362</v>
      </c>
      <c r="B538" s="1009"/>
      <c r="C538" s="1036">
        <v>0.27487550472365901</v>
      </c>
      <c r="D538" s="1036">
        <v>0.222504255228544</v>
      </c>
      <c r="E538" s="1036">
        <v>0.1107340156324</v>
      </c>
      <c r="F538" s="1036">
        <v>7.71386798016334E-2</v>
      </c>
      <c r="G538" s="1036">
        <v>3.8253827124807599E-2</v>
      </c>
      <c r="H538" s="1036">
        <v>0.14317698782727201</v>
      </c>
      <c r="I538" s="1036">
        <v>5.8982177722088101E-2</v>
      </c>
      <c r="J538" s="1062">
        <v>0.16577905846858201</v>
      </c>
      <c r="K538" s="1063">
        <v>0.108542847151158</v>
      </c>
      <c r="L538" s="1063">
        <v>2.9991134671692499E-2</v>
      </c>
      <c r="M538" s="1063">
        <v>2.1036765948880501E-2</v>
      </c>
      <c r="N538" s="1031"/>
      <c r="O538" s="839"/>
      <c r="P538" s="1008" t="s">
        <v>362</v>
      </c>
      <c r="Q538" s="1035"/>
      <c r="R538" s="1036"/>
      <c r="S538" s="1036"/>
      <c r="T538" s="1036"/>
      <c r="U538" s="1036"/>
      <c r="V538" s="1036"/>
      <c r="W538" s="1036"/>
      <c r="X538" s="1036"/>
      <c r="Y538" s="1062"/>
      <c r="Z538" s="1063"/>
      <c r="AA538" s="1063"/>
      <c r="AB538" s="1063"/>
    </row>
    <row r="539" spans="1:28">
      <c r="A539" s="969" t="s">
        <v>59</v>
      </c>
      <c r="B539" s="975">
        <v>53930</v>
      </c>
      <c r="C539" s="971">
        <v>9034</v>
      </c>
      <c r="D539" s="971">
        <v>9034</v>
      </c>
      <c r="E539" s="971">
        <v>4013</v>
      </c>
      <c r="F539" s="971">
        <v>2348</v>
      </c>
      <c r="G539" s="971">
        <v>468</v>
      </c>
      <c r="H539" s="971">
        <v>8012</v>
      </c>
      <c r="I539" s="971">
        <v>1295</v>
      </c>
      <c r="J539" s="1326" t="s">
        <v>245</v>
      </c>
      <c r="K539" s="1024">
        <v>1560</v>
      </c>
      <c r="L539" s="1024">
        <v>336</v>
      </c>
      <c r="M539" s="1024">
        <v>282</v>
      </c>
      <c r="N539" s="985"/>
      <c r="O539" s="839"/>
      <c r="P539" s="969" t="s">
        <v>59</v>
      </c>
      <c r="Q539" s="996">
        <v>0.10484679266895799</v>
      </c>
      <c r="R539" s="994">
        <v>0.40491476643790097</v>
      </c>
      <c r="S539" s="994">
        <v>0.40491476643790097</v>
      </c>
      <c r="T539" s="994">
        <v>0.69598803887366101</v>
      </c>
      <c r="U539" s="994">
        <v>0.60945485519591103</v>
      </c>
      <c r="V539" s="994">
        <v>0.81410256410256399</v>
      </c>
      <c r="W539" s="994">
        <v>0.39802795806290597</v>
      </c>
      <c r="X539" s="994">
        <v>0.83938223938223899</v>
      </c>
      <c r="Y539" s="1324" t="s">
        <v>245</v>
      </c>
      <c r="Z539" s="996">
        <v>0.77884615384615397</v>
      </c>
      <c r="AA539" s="996">
        <v>0.91964285714285698</v>
      </c>
      <c r="AB539" s="996">
        <v>0.91843971631205701</v>
      </c>
    </row>
    <row r="540" spans="1:28">
      <c r="A540" s="1011"/>
      <c r="B540" s="967"/>
      <c r="C540" s="1012">
        <v>0.16751344335249399</v>
      </c>
      <c r="D540" s="1012">
        <v>0.16751344335249399</v>
      </c>
      <c r="E540" s="1012">
        <v>7.4411273873539796E-2</v>
      </c>
      <c r="F540" s="1012">
        <v>4.3537919525310602E-2</v>
      </c>
      <c r="G540" s="1012">
        <v>8.6779158167995495E-3</v>
      </c>
      <c r="H540" s="1012">
        <v>0.148562951974782</v>
      </c>
      <c r="I540" s="1012">
        <v>2.4012608937511601E-2</v>
      </c>
      <c r="J540" s="1025"/>
      <c r="K540" s="1026">
        <v>2.8926386055998499E-2</v>
      </c>
      <c r="L540" s="1026">
        <v>6.23029853513814E-3</v>
      </c>
      <c r="M540" s="1026">
        <v>5.2290005562766603E-3</v>
      </c>
      <c r="N540" s="1088"/>
      <c r="O540" s="839"/>
      <c r="P540" s="1011"/>
      <c r="Q540" s="992"/>
      <c r="R540" s="1012"/>
      <c r="S540" s="1012"/>
      <c r="T540" s="1012"/>
      <c r="U540" s="1012"/>
      <c r="V540" s="1012"/>
      <c r="W540" s="1012"/>
      <c r="X540" s="1012"/>
      <c r="Y540" s="1025"/>
      <c r="Z540" s="1026"/>
      <c r="AA540" s="1026"/>
      <c r="AB540" s="1026"/>
    </row>
    <row r="541" spans="1:28">
      <c r="A541" s="1005" t="s">
        <v>333</v>
      </c>
      <c r="B541" s="1013">
        <v>828859</v>
      </c>
      <c r="C541" s="1014">
        <v>222043</v>
      </c>
      <c r="D541" s="1015">
        <v>181459</v>
      </c>
      <c r="E541" s="1015">
        <v>89824</v>
      </c>
      <c r="F541" s="1015">
        <v>62125</v>
      </c>
      <c r="G541" s="1015">
        <v>30112</v>
      </c>
      <c r="H541" s="1015">
        <v>118964</v>
      </c>
      <c r="I541" s="1015">
        <v>47002</v>
      </c>
      <c r="J541" s="1027">
        <v>128467</v>
      </c>
      <c r="K541" s="1028">
        <v>85673</v>
      </c>
      <c r="L541" s="1028">
        <v>23577</v>
      </c>
      <c r="M541" s="1028">
        <v>16584</v>
      </c>
      <c r="N541" s="1089"/>
      <c r="O541" s="839"/>
      <c r="P541" s="1005" t="s">
        <v>333</v>
      </c>
      <c r="Q541" s="1037">
        <v>0.14345511767312999</v>
      </c>
      <c r="R541" s="1038">
        <v>0.53365339146021296</v>
      </c>
      <c r="S541" s="1039">
        <v>0.46219256140505599</v>
      </c>
      <c r="T541" s="1039">
        <v>0.56449278589241203</v>
      </c>
      <c r="U541" s="1039">
        <v>0.66795975855130796</v>
      </c>
      <c r="V541" s="1039">
        <v>0.51703639744952201</v>
      </c>
      <c r="W541" s="1039">
        <v>0.36846440940116298</v>
      </c>
      <c r="X541" s="1039">
        <v>0.64346198034126201</v>
      </c>
      <c r="Y541" s="1064">
        <v>0.78378104882966004</v>
      </c>
      <c r="Z541" s="1065">
        <v>0.57600410864566398</v>
      </c>
      <c r="AA541" s="1065">
        <v>0.60083980150146299</v>
      </c>
      <c r="AB541" s="1065">
        <v>0.67504823926676305</v>
      </c>
    </row>
    <row r="542" spans="1:28">
      <c r="A542" s="1016"/>
      <c r="B542" s="1080"/>
      <c r="C542" s="1018">
        <v>0.26788995474501698</v>
      </c>
      <c r="D542" s="1018">
        <v>0.21892625886912001</v>
      </c>
      <c r="E542" s="1018">
        <v>0.108370663767903</v>
      </c>
      <c r="F542" s="1018">
        <v>7.4952434611918306E-2</v>
      </c>
      <c r="G542" s="1018">
        <v>3.6329460137369603E-2</v>
      </c>
      <c r="H542" s="1018">
        <v>0.143527427463537</v>
      </c>
      <c r="I542" s="1018">
        <v>5.6706870529245598E-2</v>
      </c>
      <c r="J542" s="1029">
        <v>0.154992586193792</v>
      </c>
      <c r="K542" s="1030">
        <v>0.103362574334115</v>
      </c>
      <c r="L542" s="1030">
        <v>2.8445127578997201E-2</v>
      </c>
      <c r="M542" s="1030">
        <v>2.0008228178737299E-2</v>
      </c>
      <c r="N542" s="1031"/>
      <c r="O542" s="839"/>
      <c r="P542" s="1016"/>
      <c r="Q542" s="1017"/>
      <c r="R542" s="1018"/>
      <c r="S542" s="1018"/>
      <c r="T542" s="1018"/>
      <c r="U542" s="1018"/>
      <c r="V542" s="1018"/>
      <c r="W542" s="1018"/>
      <c r="X542" s="1018"/>
      <c r="Y542" s="1029"/>
      <c r="Z542" s="1030"/>
      <c r="AA542" s="1030"/>
      <c r="AB542" s="1030"/>
    </row>
    <row r="543" spans="1:28">
      <c r="A543" s="839"/>
      <c r="B543" s="842"/>
      <c r="C543" s="839"/>
      <c r="D543" s="839"/>
      <c r="E543" s="839"/>
      <c r="F543" s="839"/>
      <c r="G543" s="839"/>
      <c r="H543" s="839"/>
      <c r="I543" s="839"/>
      <c r="J543" s="839"/>
      <c r="K543" s="839"/>
      <c r="L543" s="839"/>
      <c r="M543" s="839"/>
      <c r="N543" s="839"/>
      <c r="O543" s="839"/>
      <c r="P543" s="839"/>
      <c r="Q543" s="839"/>
      <c r="R543" s="839"/>
      <c r="S543" s="839"/>
      <c r="T543" s="839"/>
      <c r="U543" s="839"/>
    </row>
    <row r="544" spans="1:28">
      <c r="C544" s="839"/>
      <c r="D544" s="839"/>
      <c r="E544" s="839"/>
      <c r="F544" s="839"/>
      <c r="G544" s="839"/>
      <c r="H544" s="839"/>
      <c r="I544" s="839"/>
      <c r="J544" s="839"/>
      <c r="K544" s="839"/>
      <c r="L544" s="839"/>
      <c r="M544" s="839"/>
      <c r="N544" s="839"/>
      <c r="O544" s="839"/>
      <c r="P544" s="839" t="s">
        <v>302</v>
      </c>
      <c r="Q544" s="839" t="s">
        <v>363</v>
      </c>
      <c r="R544" s="839"/>
      <c r="S544" s="839"/>
      <c r="T544" s="839"/>
      <c r="U544" s="839"/>
    </row>
  </sheetData>
  <mergeCells count="125">
    <mergeCell ref="AN11:AN14"/>
    <mergeCell ref="AN37:AN40"/>
    <mergeCell ref="AN63:AN66"/>
    <mergeCell ref="AN89:AN92"/>
    <mergeCell ref="Z65:Z66"/>
    <mergeCell ref="Z91:Z92"/>
    <mergeCell ref="AB11:AB14"/>
    <mergeCell ref="AB37:AB40"/>
    <mergeCell ref="AB63:AB66"/>
    <mergeCell ref="AB89:AB92"/>
    <mergeCell ref="AM13:AM14"/>
    <mergeCell ref="AM39:AM40"/>
    <mergeCell ref="AM65:AM66"/>
    <mergeCell ref="AM91:AM92"/>
    <mergeCell ref="Z39:Z40"/>
    <mergeCell ref="V65:V66"/>
    <mergeCell ref="V91:V92"/>
    <mergeCell ref="W91:W92"/>
    <mergeCell ref="X13:X14"/>
    <mergeCell ref="X39:X40"/>
    <mergeCell ref="X65:X66"/>
    <mergeCell ref="X91:X92"/>
    <mergeCell ref="Y13:Y14"/>
    <mergeCell ref="Y39:Y40"/>
    <mergeCell ref="Y65:Y66"/>
    <mergeCell ref="Y91:Y92"/>
    <mergeCell ref="Q89:Q92"/>
    <mergeCell ref="R13:R14"/>
    <mergeCell ref="R39:R40"/>
    <mergeCell ref="R65:R66"/>
    <mergeCell ref="R91:R92"/>
    <mergeCell ref="S13:S14"/>
    <mergeCell ref="S39:S40"/>
    <mergeCell ref="S65:S66"/>
    <mergeCell ref="S91:S92"/>
    <mergeCell ref="R64:Y64"/>
    <mergeCell ref="R89:Y89"/>
    <mergeCell ref="R90:Y90"/>
    <mergeCell ref="T39:T40"/>
    <mergeCell ref="T65:T66"/>
    <mergeCell ref="W13:W14"/>
    <mergeCell ref="W39:W40"/>
    <mergeCell ref="W65:W66"/>
    <mergeCell ref="T91:T92"/>
    <mergeCell ref="U13:U14"/>
    <mergeCell ref="U39:U40"/>
    <mergeCell ref="U65:U66"/>
    <mergeCell ref="U91:U92"/>
    <mergeCell ref="V13:V14"/>
    <mergeCell ref="V39:V40"/>
    <mergeCell ref="M89:M92"/>
    <mergeCell ref="P11:P14"/>
    <mergeCell ref="P25:P26"/>
    <mergeCell ref="P37:P40"/>
    <mergeCell ref="P51:P52"/>
    <mergeCell ref="P63:P66"/>
    <mergeCell ref="P77:P78"/>
    <mergeCell ref="P89:P92"/>
    <mergeCell ref="P103:P104"/>
    <mergeCell ref="I65:I66"/>
    <mergeCell ref="I91:I92"/>
    <mergeCell ref="J13:J14"/>
    <mergeCell ref="J39:J40"/>
    <mergeCell ref="J65:J66"/>
    <mergeCell ref="J91:J92"/>
    <mergeCell ref="K39:K40"/>
    <mergeCell ref="K65:K66"/>
    <mergeCell ref="K91:K92"/>
    <mergeCell ref="F91:F92"/>
    <mergeCell ref="G13:G14"/>
    <mergeCell ref="G39:G40"/>
    <mergeCell ref="G65:G66"/>
    <mergeCell ref="G91:G92"/>
    <mergeCell ref="H13:H14"/>
    <mergeCell ref="H39:H40"/>
    <mergeCell ref="H65:H66"/>
    <mergeCell ref="H91:H92"/>
    <mergeCell ref="A103:A104"/>
    <mergeCell ref="B11:B14"/>
    <mergeCell ref="B37:B40"/>
    <mergeCell ref="B63:B66"/>
    <mergeCell ref="B89:B92"/>
    <mergeCell ref="C13:C14"/>
    <mergeCell ref="C39:C40"/>
    <mergeCell ref="C65:C66"/>
    <mergeCell ref="C91:C92"/>
    <mergeCell ref="C64:J64"/>
    <mergeCell ref="C89:J89"/>
    <mergeCell ref="C90:J90"/>
    <mergeCell ref="A11:A14"/>
    <mergeCell ref="A25:A26"/>
    <mergeCell ref="A37:A40"/>
    <mergeCell ref="A51:A52"/>
    <mergeCell ref="A63:A66"/>
    <mergeCell ref="A77:A78"/>
    <mergeCell ref="A89:A92"/>
    <mergeCell ref="D13:D14"/>
    <mergeCell ref="D39:D40"/>
    <mergeCell ref="D65:D66"/>
    <mergeCell ref="D91:D92"/>
    <mergeCell ref="E13:E14"/>
    <mergeCell ref="E39:E40"/>
    <mergeCell ref="E65:E66"/>
    <mergeCell ref="E91:E92"/>
    <mergeCell ref="F13:F14"/>
    <mergeCell ref="F39:F40"/>
    <mergeCell ref="F65:F66"/>
    <mergeCell ref="R11:Y11"/>
    <mergeCell ref="R12:Y12"/>
    <mergeCell ref="Z12:AA12"/>
    <mergeCell ref="C37:J37"/>
    <mergeCell ref="R37:Y37"/>
    <mergeCell ref="C38:J38"/>
    <mergeCell ref="R38:Y38"/>
    <mergeCell ref="C63:J63"/>
    <mergeCell ref="R63:Y63"/>
    <mergeCell ref="I13:I14"/>
    <mergeCell ref="I39:I40"/>
    <mergeCell ref="M11:M14"/>
    <mergeCell ref="M37:M40"/>
    <mergeCell ref="M63:M66"/>
    <mergeCell ref="Q11:Q14"/>
    <mergeCell ref="Q37:Q40"/>
    <mergeCell ref="Q63:Q66"/>
    <mergeCell ref="T13:T14"/>
  </mergeCells>
  <phoneticPr fontId="93" type="noConversion"/>
  <hyperlinks>
    <hyperlink ref="N1" location="Content!A1" display="content" xr:uid="{00000000-0004-0000-0B00-000000000000}"/>
  </hyperlink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V13"/>
  <sheetViews>
    <sheetView topLeftCell="M1" zoomScale="85" zoomScaleNormal="85" workbookViewId="0">
      <selection activeCell="T36" sqref="T36"/>
    </sheetView>
  </sheetViews>
  <sheetFormatPr defaultColWidth="9" defaultRowHeight="14.4"/>
  <cols>
    <col min="1" max="1" width="11.21875" customWidth="1"/>
  </cols>
  <sheetData>
    <row r="1" spans="1:22" ht="21">
      <c r="A1" s="528" t="s">
        <v>47</v>
      </c>
      <c r="T1" s="57" t="s">
        <v>48</v>
      </c>
    </row>
    <row r="2" spans="1:22" ht="18">
      <c r="A2" s="529" t="s">
        <v>271</v>
      </c>
    </row>
    <row r="3" spans="1:22" ht="18">
      <c r="A3" s="529" t="s">
        <v>365</v>
      </c>
    </row>
    <row r="5" spans="1:22">
      <c r="T5" s="123"/>
    </row>
    <row r="6" spans="1:22">
      <c r="A6" s="530" t="s">
        <v>61</v>
      </c>
      <c r="B6" s="530">
        <v>2000</v>
      </c>
      <c r="C6" s="530">
        <f>B6+1</f>
        <v>2001</v>
      </c>
      <c r="D6" s="530">
        <f t="shared" ref="D6:O6" si="0">C6+1</f>
        <v>2002</v>
      </c>
      <c r="E6" s="530">
        <f t="shared" si="0"/>
        <v>2003</v>
      </c>
      <c r="F6" s="530">
        <f t="shared" si="0"/>
        <v>2004</v>
      </c>
      <c r="G6" s="530">
        <f t="shared" si="0"/>
        <v>2005</v>
      </c>
      <c r="H6" s="530">
        <f t="shared" si="0"/>
        <v>2006</v>
      </c>
      <c r="I6" s="530">
        <f t="shared" si="0"/>
        <v>2007</v>
      </c>
      <c r="J6" s="530">
        <f t="shared" si="0"/>
        <v>2008</v>
      </c>
      <c r="K6" s="530">
        <f t="shared" si="0"/>
        <v>2009</v>
      </c>
      <c r="L6" s="530">
        <f t="shared" si="0"/>
        <v>2010</v>
      </c>
      <c r="M6" s="530">
        <f t="shared" si="0"/>
        <v>2011</v>
      </c>
      <c r="N6" s="530">
        <f t="shared" si="0"/>
        <v>2012</v>
      </c>
      <c r="O6" s="530">
        <f t="shared" si="0"/>
        <v>2013</v>
      </c>
      <c r="P6" s="530">
        <v>2014</v>
      </c>
      <c r="Q6" s="530">
        <v>2015</v>
      </c>
      <c r="R6" s="530">
        <v>2016</v>
      </c>
      <c r="S6" s="530">
        <v>2017</v>
      </c>
      <c r="T6" s="552">
        <v>2018</v>
      </c>
      <c r="U6" s="553">
        <v>2019</v>
      </c>
      <c r="V6" s="553">
        <v>2020</v>
      </c>
    </row>
    <row r="7" spans="1:22">
      <c r="A7" s="802" t="s">
        <v>66</v>
      </c>
      <c r="B7" s="803">
        <v>3803</v>
      </c>
      <c r="C7" s="803">
        <v>5470</v>
      </c>
      <c r="D7" s="803">
        <v>6392</v>
      </c>
      <c r="E7" s="803">
        <v>6928</v>
      </c>
      <c r="F7" s="803">
        <v>6841</v>
      </c>
      <c r="G7" s="803">
        <v>7021</v>
      </c>
      <c r="H7" s="803">
        <v>6438</v>
      </c>
      <c r="I7" s="803">
        <v>6085</v>
      </c>
      <c r="J7" s="803">
        <v>6704</v>
      </c>
      <c r="K7" s="803">
        <v>7113</v>
      </c>
      <c r="L7" s="803">
        <v>6600</v>
      </c>
      <c r="M7" s="803">
        <v>6642</v>
      </c>
      <c r="N7" s="803">
        <v>6659</v>
      </c>
      <c r="O7" s="803">
        <v>6791</v>
      </c>
      <c r="P7" s="803">
        <v>6869</v>
      </c>
      <c r="Q7" s="803">
        <v>6955</v>
      </c>
      <c r="R7" s="803">
        <v>7153</v>
      </c>
      <c r="S7" s="803">
        <v>6758</v>
      </c>
      <c r="T7" s="832">
        <v>6926</v>
      </c>
      <c r="U7" s="833">
        <v>7426</v>
      </c>
      <c r="V7" s="833">
        <v>4766</v>
      </c>
    </row>
    <row r="8" spans="1:22">
      <c r="A8" s="791" t="s">
        <v>55</v>
      </c>
      <c r="B8" s="792">
        <v>6263</v>
      </c>
      <c r="C8" s="792">
        <v>8711</v>
      </c>
      <c r="D8" s="792">
        <v>9666</v>
      </c>
      <c r="E8" s="792">
        <v>10013</v>
      </c>
      <c r="F8" s="792">
        <v>9747</v>
      </c>
      <c r="G8" s="792">
        <v>9724</v>
      </c>
      <c r="H8" s="792">
        <v>9533</v>
      </c>
      <c r="I8" s="792">
        <v>8278</v>
      </c>
      <c r="J8" s="792">
        <v>7794</v>
      </c>
      <c r="K8" s="792">
        <v>8477</v>
      </c>
      <c r="L8" s="792">
        <v>9117</v>
      </c>
      <c r="M8" s="792">
        <v>8755</v>
      </c>
      <c r="N8" s="792">
        <v>8322</v>
      </c>
      <c r="O8" s="792">
        <v>7498</v>
      </c>
      <c r="P8" s="792">
        <v>6538</v>
      </c>
      <c r="Q8" s="792">
        <v>6465</v>
      </c>
      <c r="R8" s="792">
        <v>6308</v>
      </c>
      <c r="S8" s="792">
        <v>5931</v>
      </c>
      <c r="T8" s="834">
        <v>5696</v>
      </c>
      <c r="U8" s="835">
        <v>5321</v>
      </c>
      <c r="V8" s="835">
        <v>5738</v>
      </c>
    </row>
    <row r="9" spans="1:22">
      <c r="A9" s="791" t="s">
        <v>56</v>
      </c>
      <c r="B9" s="792">
        <v>1229</v>
      </c>
      <c r="C9" s="792">
        <v>1491</v>
      </c>
      <c r="D9" s="792">
        <v>2060</v>
      </c>
      <c r="E9" s="792">
        <v>2863</v>
      </c>
      <c r="F9" s="792">
        <v>3130</v>
      </c>
      <c r="G9" s="792">
        <v>3136</v>
      </c>
      <c r="H9" s="792">
        <v>2881</v>
      </c>
      <c r="I9" s="792">
        <v>2366</v>
      </c>
      <c r="J9" s="792">
        <v>2057</v>
      </c>
      <c r="K9" s="792">
        <v>2343</v>
      </c>
      <c r="L9" s="792">
        <v>2813</v>
      </c>
      <c r="M9" s="792">
        <v>3187</v>
      </c>
      <c r="N9" s="792">
        <v>3183</v>
      </c>
      <c r="O9" s="792">
        <v>2891</v>
      </c>
      <c r="P9" s="792">
        <v>2646</v>
      </c>
      <c r="Q9" s="792">
        <v>2649</v>
      </c>
      <c r="R9" s="792">
        <v>2885</v>
      </c>
      <c r="S9" s="792">
        <v>3095</v>
      </c>
      <c r="T9" s="834">
        <v>3496</v>
      </c>
      <c r="U9" s="835">
        <v>3513</v>
      </c>
      <c r="V9" s="835">
        <v>3722</v>
      </c>
    </row>
    <row r="10" spans="1:22">
      <c r="A10" s="791" t="s">
        <v>57</v>
      </c>
      <c r="B10" s="792">
        <v>36</v>
      </c>
      <c r="C10" s="792">
        <v>78</v>
      </c>
      <c r="D10" s="792">
        <v>125</v>
      </c>
      <c r="E10" s="792">
        <v>148</v>
      </c>
      <c r="F10" s="792">
        <v>153</v>
      </c>
      <c r="G10" s="792">
        <v>233</v>
      </c>
      <c r="H10" s="792">
        <v>270</v>
      </c>
      <c r="I10" s="792">
        <v>367</v>
      </c>
      <c r="J10" s="792">
        <v>393</v>
      </c>
      <c r="K10" s="792">
        <v>706</v>
      </c>
      <c r="L10" s="792">
        <v>806</v>
      </c>
      <c r="M10" s="792">
        <v>971</v>
      </c>
      <c r="N10" s="792">
        <v>1181</v>
      </c>
      <c r="O10" s="792">
        <v>1548</v>
      </c>
      <c r="P10" s="792">
        <v>1573</v>
      </c>
      <c r="Q10" s="792">
        <v>1952</v>
      </c>
      <c r="R10" s="792">
        <v>1907</v>
      </c>
      <c r="S10" s="792">
        <v>2210</v>
      </c>
      <c r="T10" s="834">
        <v>2468</v>
      </c>
      <c r="U10" s="835">
        <v>2884</v>
      </c>
      <c r="V10" s="835">
        <v>3960</v>
      </c>
    </row>
    <row r="11" spans="1:22">
      <c r="A11" s="791" t="s">
        <v>58</v>
      </c>
      <c r="B11" s="792">
        <v>4971</v>
      </c>
      <c r="C11" s="792">
        <v>7417</v>
      </c>
      <c r="D11" s="792">
        <v>8723</v>
      </c>
      <c r="E11" s="792">
        <v>9839</v>
      </c>
      <c r="F11" s="792">
        <v>10880</v>
      </c>
      <c r="G11" s="792">
        <v>12307</v>
      </c>
      <c r="H11" s="792">
        <v>11513</v>
      </c>
      <c r="I11" s="792">
        <v>10916</v>
      </c>
      <c r="J11" s="792">
        <v>12700</v>
      </c>
      <c r="K11" s="792">
        <v>13560</v>
      </c>
      <c r="L11" s="792">
        <v>13281</v>
      </c>
      <c r="M11" s="792">
        <v>14048</v>
      </c>
      <c r="N11" s="792">
        <v>13985</v>
      </c>
      <c r="O11" s="792">
        <v>15104</v>
      </c>
      <c r="P11" s="792">
        <v>13403</v>
      </c>
      <c r="Q11" s="792">
        <v>12940</v>
      </c>
      <c r="R11" s="792">
        <v>12346</v>
      </c>
      <c r="S11" s="792">
        <v>13073</v>
      </c>
      <c r="T11" s="834">
        <v>13208</v>
      </c>
      <c r="U11" s="835">
        <v>14714</v>
      </c>
      <c r="V11" s="835">
        <v>10025</v>
      </c>
    </row>
    <row r="12" spans="1:22">
      <c r="A12" s="830" t="s">
        <v>59</v>
      </c>
      <c r="B12" s="831">
        <v>282</v>
      </c>
      <c r="C12" s="831">
        <v>410</v>
      </c>
      <c r="D12" s="831">
        <v>397</v>
      </c>
      <c r="E12" s="831">
        <v>409</v>
      </c>
      <c r="F12" s="831">
        <v>426</v>
      </c>
      <c r="G12" s="831">
        <v>460</v>
      </c>
      <c r="H12" s="831">
        <v>395</v>
      </c>
      <c r="I12" s="831">
        <v>363</v>
      </c>
      <c r="J12" s="831">
        <v>419</v>
      </c>
      <c r="K12" s="831">
        <v>505</v>
      </c>
      <c r="L12" s="831">
        <v>491</v>
      </c>
      <c r="M12" s="831">
        <v>643</v>
      </c>
      <c r="N12" s="831">
        <v>581</v>
      </c>
      <c r="O12" s="831">
        <v>471</v>
      </c>
      <c r="P12" s="831">
        <v>875</v>
      </c>
      <c r="Q12" s="831">
        <v>878</v>
      </c>
      <c r="R12" s="831">
        <v>905</v>
      </c>
      <c r="S12" s="831">
        <v>1137</v>
      </c>
      <c r="T12" s="836">
        <v>990</v>
      </c>
      <c r="U12" s="837">
        <v>1101</v>
      </c>
      <c r="V12" s="837">
        <v>1379</v>
      </c>
    </row>
    <row r="13" spans="1:22">
      <c r="A13" s="538" t="s">
        <v>62</v>
      </c>
      <c r="B13" s="539">
        <f>SUM(B7:B12)</f>
        <v>16584</v>
      </c>
      <c r="C13" s="539">
        <f t="shared" ref="C13:O13" si="1">SUM(C7:C12)</f>
        <v>23577</v>
      </c>
      <c r="D13" s="539">
        <f t="shared" si="1"/>
        <v>27363</v>
      </c>
      <c r="E13" s="539">
        <f t="shared" si="1"/>
        <v>30200</v>
      </c>
      <c r="F13" s="539">
        <f t="shared" si="1"/>
        <v>31177</v>
      </c>
      <c r="G13" s="539">
        <f t="shared" si="1"/>
        <v>32881</v>
      </c>
      <c r="H13" s="539">
        <f t="shared" si="1"/>
        <v>31030</v>
      </c>
      <c r="I13" s="539">
        <f t="shared" si="1"/>
        <v>28375</v>
      </c>
      <c r="J13" s="539">
        <f t="shared" si="1"/>
        <v>30067</v>
      </c>
      <c r="K13" s="539">
        <f t="shared" si="1"/>
        <v>32704</v>
      </c>
      <c r="L13" s="539">
        <f t="shared" si="1"/>
        <v>33108</v>
      </c>
      <c r="M13" s="539">
        <f t="shared" si="1"/>
        <v>34246</v>
      </c>
      <c r="N13" s="539">
        <f t="shared" si="1"/>
        <v>33911</v>
      </c>
      <c r="O13" s="539">
        <f t="shared" si="1"/>
        <v>34303</v>
      </c>
      <c r="P13" s="539">
        <v>31904</v>
      </c>
      <c r="Q13" s="539">
        <v>31839</v>
      </c>
      <c r="R13" s="539">
        <v>31504</v>
      </c>
      <c r="S13" s="539">
        <v>32204</v>
      </c>
      <c r="T13" s="126">
        <v>32784</v>
      </c>
      <c r="U13" s="838">
        <v>34959</v>
      </c>
      <c r="V13" s="838">
        <v>29590</v>
      </c>
    </row>
  </sheetData>
  <phoneticPr fontId="93" type="noConversion"/>
  <hyperlinks>
    <hyperlink ref="T1" location="Content!A1" display="content" xr:uid="{00000000-0004-0000-0C00-000000000000}"/>
  </hyperlinks>
  <pageMargins left="0.7" right="0.7" top="0.75" bottom="0.75" header="0.3" footer="0.3"/>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DJ124"/>
  <sheetViews>
    <sheetView zoomScaleNormal="100" workbookViewId="0">
      <pane xSplit="2" ySplit="6" topLeftCell="BH82" activePane="bottomRight" state="frozenSplit"/>
      <selection pane="topRight"/>
      <selection pane="bottomLeft"/>
      <selection pane="bottomRight" activeCell="BX80" sqref="BX80"/>
    </sheetView>
  </sheetViews>
  <sheetFormatPr defaultColWidth="9" defaultRowHeight="14.4"/>
  <cols>
    <col min="2" max="2" width="11.109375" customWidth="1"/>
    <col min="3" max="16" width="9.109375" customWidth="1"/>
    <col min="17" max="28" width="9.77734375" customWidth="1"/>
    <col min="29" max="29" width="10" customWidth="1"/>
    <col min="30" max="31" width="10.33203125" customWidth="1"/>
  </cols>
  <sheetData>
    <row r="1" spans="1:32" ht="21">
      <c r="A1" s="528" t="s">
        <v>47</v>
      </c>
      <c r="AC1" s="57" t="s">
        <v>48</v>
      </c>
    </row>
    <row r="2" spans="1:32" ht="18">
      <c r="A2" s="529" t="s">
        <v>366</v>
      </c>
    </row>
    <row r="3" spans="1:32" ht="18">
      <c r="A3" s="529" t="s">
        <v>231</v>
      </c>
      <c r="AC3" s="123"/>
    </row>
    <row r="4" spans="1:32" ht="18">
      <c r="A4" s="529" t="s">
        <v>367</v>
      </c>
      <c r="AC4" s="123"/>
    </row>
    <row r="5" spans="1:32">
      <c r="AC5" s="123"/>
    </row>
    <row r="6" spans="1:32">
      <c r="A6" s="530" t="s">
        <v>94</v>
      </c>
      <c r="B6" s="530" t="s">
        <v>61</v>
      </c>
      <c r="C6" s="530">
        <v>1996</v>
      </c>
      <c r="D6" s="530">
        <f t="shared" ref="D6:H6" si="0">C6+1</f>
        <v>1997</v>
      </c>
      <c r="E6" s="530">
        <f t="shared" si="0"/>
        <v>1998</v>
      </c>
      <c r="F6" s="530">
        <f t="shared" si="0"/>
        <v>1999</v>
      </c>
      <c r="G6" s="530">
        <f t="shared" si="0"/>
        <v>2000</v>
      </c>
      <c r="H6" s="530">
        <f t="shared" si="0"/>
        <v>2001</v>
      </c>
      <c r="I6" s="530">
        <f t="shared" ref="I6:AD6" si="1">H6+1</f>
        <v>2002</v>
      </c>
      <c r="J6" s="530">
        <f t="shared" si="1"/>
        <v>2003</v>
      </c>
      <c r="K6" s="530">
        <f t="shared" si="1"/>
        <v>2004</v>
      </c>
      <c r="L6" s="530">
        <f t="shared" si="1"/>
        <v>2005</v>
      </c>
      <c r="M6" s="530">
        <f t="shared" si="1"/>
        <v>2006</v>
      </c>
      <c r="N6" s="530">
        <f t="shared" si="1"/>
        <v>2007</v>
      </c>
      <c r="O6" s="530">
        <f t="shared" si="1"/>
        <v>2008</v>
      </c>
      <c r="P6" s="530">
        <f t="shared" si="1"/>
        <v>2009</v>
      </c>
      <c r="Q6" s="530">
        <f t="shared" si="1"/>
        <v>2010</v>
      </c>
      <c r="R6" s="530">
        <f t="shared" si="1"/>
        <v>2011</v>
      </c>
      <c r="S6" s="530">
        <f t="shared" si="1"/>
        <v>2012</v>
      </c>
      <c r="T6" s="530">
        <f t="shared" si="1"/>
        <v>2013</v>
      </c>
      <c r="U6" s="530">
        <f t="shared" si="1"/>
        <v>2014</v>
      </c>
      <c r="V6" s="530">
        <f t="shared" si="1"/>
        <v>2015</v>
      </c>
      <c r="W6" s="530">
        <f t="shared" si="1"/>
        <v>2016</v>
      </c>
      <c r="X6" s="530">
        <f t="shared" si="1"/>
        <v>2017</v>
      </c>
      <c r="Y6" s="530">
        <f t="shared" si="1"/>
        <v>2018</v>
      </c>
      <c r="Z6" s="530">
        <f t="shared" si="1"/>
        <v>2019</v>
      </c>
      <c r="AA6" s="530">
        <f t="shared" si="1"/>
        <v>2020</v>
      </c>
      <c r="AB6" s="530">
        <f t="shared" si="1"/>
        <v>2021</v>
      </c>
      <c r="AC6" s="547">
        <f t="shared" si="1"/>
        <v>2022</v>
      </c>
      <c r="AD6" s="530">
        <f t="shared" si="1"/>
        <v>2023</v>
      </c>
      <c r="AE6" s="530">
        <v>2024</v>
      </c>
    </row>
    <row r="7" spans="1:32">
      <c r="A7" s="530" t="s">
        <v>186</v>
      </c>
      <c r="B7" s="530" t="s">
        <v>66</v>
      </c>
      <c r="C7" s="530">
        <v>31490</v>
      </c>
      <c r="D7" s="530">
        <v>36510</v>
      </c>
      <c r="E7" s="530">
        <v>41490</v>
      </c>
      <c r="F7" s="530">
        <v>45028</v>
      </c>
      <c r="G7" s="532">
        <v>49785</v>
      </c>
      <c r="H7" s="532">
        <v>53737</v>
      </c>
      <c r="I7" s="532">
        <v>53440</v>
      </c>
      <c r="J7" s="532">
        <v>58315</v>
      </c>
      <c r="K7" s="532">
        <v>61207</v>
      </c>
      <c r="L7" s="532">
        <v>63704</v>
      </c>
      <c r="M7" s="532">
        <v>65776</v>
      </c>
      <c r="N7" s="532">
        <v>68991</v>
      </c>
      <c r="O7" s="532">
        <v>72337</v>
      </c>
      <c r="P7" s="532">
        <v>68597</v>
      </c>
      <c r="Q7" s="532">
        <v>74408</v>
      </c>
      <c r="R7" s="532">
        <v>71904</v>
      </c>
      <c r="S7" s="532">
        <v>72965</v>
      </c>
      <c r="T7" s="532">
        <v>73420</v>
      </c>
      <c r="U7" s="532">
        <v>75180</v>
      </c>
      <c r="V7" s="532">
        <v>76097</v>
      </c>
      <c r="W7" s="532">
        <v>76052</v>
      </c>
      <c r="X7" s="532">
        <v>78493</v>
      </c>
      <c r="Y7" s="532">
        <v>81594</v>
      </c>
      <c r="Z7" s="532">
        <v>82554</v>
      </c>
      <c r="AA7" s="532">
        <v>81531</v>
      </c>
      <c r="AB7" s="532">
        <v>83894</v>
      </c>
      <c r="AC7" s="548">
        <v>84225</v>
      </c>
      <c r="AD7" s="533">
        <v>85748</v>
      </c>
      <c r="AE7" s="533">
        <v>86296</v>
      </c>
      <c r="AF7" s="812"/>
    </row>
    <row r="8" spans="1:32">
      <c r="A8" s="533"/>
      <c r="B8" s="791" t="s">
        <v>55</v>
      </c>
      <c r="C8" s="791">
        <v>11357</v>
      </c>
      <c r="D8" s="791">
        <v>12856</v>
      </c>
      <c r="E8" s="791">
        <v>13813</v>
      </c>
      <c r="F8" s="791">
        <v>14604</v>
      </c>
      <c r="G8" s="792">
        <v>17096</v>
      </c>
      <c r="H8" s="792">
        <v>19845</v>
      </c>
      <c r="I8" s="792">
        <v>15912</v>
      </c>
      <c r="J8" s="792">
        <v>18527</v>
      </c>
      <c r="K8" s="792">
        <v>20604</v>
      </c>
      <c r="L8" s="792">
        <v>21489</v>
      </c>
      <c r="M8" s="792">
        <v>22174</v>
      </c>
      <c r="N8" s="792">
        <v>22932</v>
      </c>
      <c r="O8" s="792">
        <v>23104</v>
      </c>
      <c r="P8" s="792">
        <v>19933</v>
      </c>
      <c r="Q8" s="792">
        <v>21824</v>
      </c>
      <c r="R8" s="792">
        <v>20568</v>
      </c>
      <c r="S8" s="792">
        <v>22700</v>
      </c>
      <c r="T8" s="792">
        <v>22555</v>
      </c>
      <c r="U8" s="792">
        <v>22018</v>
      </c>
      <c r="V8" s="792">
        <v>21426</v>
      </c>
      <c r="W8" s="792">
        <v>21008</v>
      </c>
      <c r="X8" s="792">
        <v>21774</v>
      </c>
      <c r="Y8" s="792">
        <v>22591</v>
      </c>
      <c r="Z8" s="792">
        <v>22086</v>
      </c>
      <c r="AA8" s="792">
        <v>21954</v>
      </c>
      <c r="AB8" s="792">
        <v>21672</v>
      </c>
      <c r="AC8" s="548">
        <v>21594</v>
      </c>
      <c r="AD8" s="533">
        <v>21520</v>
      </c>
      <c r="AE8" s="533">
        <v>21062</v>
      </c>
      <c r="AF8" s="812"/>
    </row>
    <row r="9" spans="1:32">
      <c r="A9" s="533"/>
      <c r="B9" s="791" t="s">
        <v>56</v>
      </c>
      <c r="C9" s="793"/>
      <c r="D9" s="793"/>
      <c r="E9" s="793"/>
      <c r="F9" s="793"/>
      <c r="G9" s="794"/>
      <c r="H9" s="794"/>
      <c r="I9" s="794"/>
      <c r="J9" s="794"/>
      <c r="K9" s="794"/>
      <c r="L9" s="794"/>
      <c r="M9" s="794"/>
      <c r="N9" s="792">
        <v>4947</v>
      </c>
      <c r="O9" s="792">
        <v>4348</v>
      </c>
      <c r="P9" s="792">
        <v>4193</v>
      </c>
      <c r="Q9" s="792">
        <v>4715</v>
      </c>
      <c r="R9" s="792">
        <v>4889</v>
      </c>
      <c r="S9" s="792">
        <v>5711</v>
      </c>
      <c r="T9" s="792">
        <v>6336</v>
      </c>
      <c r="U9" s="792">
        <v>6141</v>
      </c>
      <c r="V9" s="792">
        <v>6411</v>
      </c>
      <c r="W9" s="792">
        <v>6824</v>
      </c>
      <c r="X9" s="792">
        <v>6457</v>
      </c>
      <c r="Y9" s="792">
        <v>7263</v>
      </c>
      <c r="Z9" s="792">
        <v>8339</v>
      </c>
      <c r="AA9" s="792">
        <v>9084</v>
      </c>
      <c r="AB9" s="792">
        <v>9421</v>
      </c>
      <c r="AC9" s="548">
        <v>10389</v>
      </c>
      <c r="AD9" s="533">
        <v>12575</v>
      </c>
      <c r="AE9" s="533">
        <v>13107</v>
      </c>
      <c r="AF9" s="812"/>
    </row>
    <row r="10" spans="1:32">
      <c r="A10" s="533"/>
      <c r="B10" s="791" t="s">
        <v>57</v>
      </c>
      <c r="C10" s="793"/>
      <c r="D10" s="793"/>
      <c r="E10" s="793"/>
      <c r="F10" s="793"/>
      <c r="G10" s="794"/>
      <c r="H10" s="794"/>
      <c r="I10" s="794"/>
      <c r="J10" s="794"/>
      <c r="K10" s="794"/>
      <c r="L10" s="794"/>
      <c r="M10" s="794"/>
      <c r="N10" s="794"/>
      <c r="O10" s="792">
        <v>1503</v>
      </c>
      <c r="P10" s="792">
        <v>1631</v>
      </c>
      <c r="Q10" s="792">
        <v>2049</v>
      </c>
      <c r="R10" s="792">
        <v>2548</v>
      </c>
      <c r="S10" s="792">
        <v>3731</v>
      </c>
      <c r="T10" s="792">
        <v>4056</v>
      </c>
      <c r="U10" s="792">
        <v>4624</v>
      </c>
      <c r="V10" s="792">
        <v>5721</v>
      </c>
      <c r="W10" s="792">
        <v>7150</v>
      </c>
      <c r="X10" s="792">
        <v>8641</v>
      </c>
      <c r="Y10" s="792">
        <v>9480</v>
      </c>
      <c r="Z10" s="792">
        <v>12227</v>
      </c>
      <c r="AA10" s="792">
        <v>13436</v>
      </c>
      <c r="AB10" s="792">
        <v>16550</v>
      </c>
      <c r="AC10" s="548">
        <v>19062</v>
      </c>
      <c r="AD10" s="533">
        <v>20735</v>
      </c>
      <c r="AE10" s="533">
        <v>20081</v>
      </c>
      <c r="AF10" s="812"/>
    </row>
    <row r="11" spans="1:32">
      <c r="A11" s="533"/>
      <c r="B11" s="791" t="s">
        <v>58</v>
      </c>
      <c r="C11" s="791">
        <v>18638</v>
      </c>
      <c r="D11" s="791">
        <v>20497</v>
      </c>
      <c r="E11" s="791">
        <v>23502</v>
      </c>
      <c r="F11" s="791">
        <v>25393</v>
      </c>
      <c r="G11" s="792">
        <v>28488</v>
      </c>
      <c r="H11" s="792">
        <v>30450</v>
      </c>
      <c r="I11" s="792">
        <v>30118</v>
      </c>
      <c r="J11" s="792">
        <v>31893</v>
      </c>
      <c r="K11" s="792">
        <v>32627</v>
      </c>
      <c r="L11" s="792">
        <v>32706</v>
      </c>
      <c r="M11" s="792">
        <v>34818</v>
      </c>
      <c r="N11" s="792">
        <v>35533</v>
      </c>
      <c r="O11" s="792">
        <v>37234</v>
      </c>
      <c r="P11" s="792">
        <v>32966</v>
      </c>
      <c r="Q11" s="792">
        <v>39519</v>
      </c>
      <c r="R11" s="792">
        <v>34993</v>
      </c>
      <c r="S11" s="792">
        <v>35222</v>
      </c>
      <c r="T11" s="792">
        <v>33834</v>
      </c>
      <c r="U11" s="792">
        <v>36491</v>
      </c>
      <c r="V11" s="792">
        <v>42692</v>
      </c>
      <c r="W11" s="792">
        <v>40076</v>
      </c>
      <c r="X11" s="792">
        <v>42463</v>
      </c>
      <c r="Y11" s="792">
        <v>43789</v>
      </c>
      <c r="Z11" s="792">
        <v>46177</v>
      </c>
      <c r="AA11" s="792">
        <v>44250</v>
      </c>
      <c r="AB11" s="792">
        <v>46712</v>
      </c>
      <c r="AC11" s="548">
        <v>47973</v>
      </c>
      <c r="AD11" s="533">
        <v>48155</v>
      </c>
      <c r="AE11" s="533">
        <v>47787</v>
      </c>
    </row>
    <row r="12" spans="1:32">
      <c r="A12" s="533"/>
      <c r="B12" s="795" t="s">
        <v>59</v>
      </c>
      <c r="C12" s="795">
        <v>2415</v>
      </c>
      <c r="D12" s="795">
        <v>3041</v>
      </c>
      <c r="E12" s="795">
        <v>3582</v>
      </c>
      <c r="F12" s="795">
        <v>4297</v>
      </c>
      <c r="G12" s="796">
        <v>5340</v>
      </c>
      <c r="H12" s="796">
        <v>5993</v>
      </c>
      <c r="I12" s="796">
        <v>6773</v>
      </c>
      <c r="J12" s="796">
        <v>8056</v>
      </c>
      <c r="K12" s="796">
        <v>9337</v>
      </c>
      <c r="L12" s="796">
        <v>10855</v>
      </c>
      <c r="M12" s="796">
        <v>12661</v>
      </c>
      <c r="N12" s="796">
        <v>9036</v>
      </c>
      <c r="O12" s="796">
        <v>8118</v>
      </c>
      <c r="P12" s="796">
        <v>7222</v>
      </c>
      <c r="Q12" s="796">
        <v>8446</v>
      </c>
      <c r="R12" s="796">
        <v>7908</v>
      </c>
      <c r="S12" s="796">
        <v>8165</v>
      </c>
      <c r="T12" s="796">
        <v>7668</v>
      </c>
      <c r="U12" s="796">
        <v>7527</v>
      </c>
      <c r="V12" s="796">
        <v>7675</v>
      </c>
      <c r="W12" s="796">
        <v>8243</v>
      </c>
      <c r="X12" s="796">
        <v>8766</v>
      </c>
      <c r="Y12" s="796">
        <v>9764</v>
      </c>
      <c r="Z12" s="796">
        <v>10149</v>
      </c>
      <c r="AA12" s="796">
        <v>10162</v>
      </c>
      <c r="AB12" s="796">
        <v>10560</v>
      </c>
      <c r="AC12" s="548">
        <v>10384</v>
      </c>
      <c r="AD12" s="533">
        <v>10542</v>
      </c>
      <c r="AE12" s="533">
        <v>10931</v>
      </c>
      <c r="AF12" s="812"/>
    </row>
    <row r="13" spans="1:32">
      <c r="A13" s="538"/>
      <c r="B13" s="538" t="s">
        <v>62</v>
      </c>
      <c r="C13" s="539">
        <f t="shared" ref="C13" si="2">SUM(C7:C12)</f>
        <v>63900</v>
      </c>
      <c r="D13" s="539">
        <f t="shared" ref="D13" si="3">SUM(D7:D12)</f>
        <v>72904</v>
      </c>
      <c r="E13" s="539">
        <f t="shared" ref="E13" si="4">SUM(E7:E12)</f>
        <v>82387</v>
      </c>
      <c r="F13" s="539">
        <f t="shared" ref="F13" si="5">SUM(F7:F12)</f>
        <v>89322</v>
      </c>
      <c r="G13" s="539">
        <f t="shared" ref="G13:P13" si="6">SUM(G7:G12)</f>
        <v>100709</v>
      </c>
      <c r="H13" s="539">
        <f t="shared" si="6"/>
        <v>110025</v>
      </c>
      <c r="I13" s="539">
        <f t="shared" si="6"/>
        <v>106243</v>
      </c>
      <c r="J13" s="539">
        <f t="shared" si="6"/>
        <v>116791</v>
      </c>
      <c r="K13" s="539">
        <f t="shared" si="6"/>
        <v>123775</v>
      </c>
      <c r="L13" s="539">
        <f t="shared" si="6"/>
        <v>128754</v>
      </c>
      <c r="M13" s="539">
        <f t="shared" si="6"/>
        <v>135429</v>
      </c>
      <c r="N13" s="539">
        <f t="shared" si="6"/>
        <v>141439</v>
      </c>
      <c r="O13" s="539">
        <f t="shared" si="6"/>
        <v>146644</v>
      </c>
      <c r="P13" s="539">
        <f t="shared" si="6"/>
        <v>134542</v>
      </c>
      <c r="Q13" s="539">
        <v>150961</v>
      </c>
      <c r="R13" s="539">
        <v>142810</v>
      </c>
      <c r="S13" s="539">
        <v>148494</v>
      </c>
      <c r="T13" s="539">
        <v>147869</v>
      </c>
      <c r="U13" s="539">
        <v>151981</v>
      </c>
      <c r="V13" s="539">
        <v>160022</v>
      </c>
      <c r="W13" s="539">
        <v>159353</v>
      </c>
      <c r="X13" s="539">
        <v>166594</v>
      </c>
      <c r="Y13" s="539">
        <v>174481</v>
      </c>
      <c r="Z13" s="539">
        <v>181532</v>
      </c>
      <c r="AA13" s="539">
        <v>180417</v>
      </c>
      <c r="AB13" s="539">
        <v>188809</v>
      </c>
      <c r="AC13" s="550">
        <f>SUM(AC7:AC12)</f>
        <v>193627</v>
      </c>
      <c r="AD13" s="550">
        <f>SUM(AD7:AD12)</f>
        <v>199275</v>
      </c>
      <c r="AE13" s="550">
        <v>199264</v>
      </c>
      <c r="AF13" s="812"/>
    </row>
    <row r="14" spans="1:32">
      <c r="A14" s="530" t="s">
        <v>129</v>
      </c>
      <c r="B14" s="530" t="s">
        <v>66</v>
      </c>
      <c r="C14" s="530">
        <v>15065</v>
      </c>
      <c r="D14" s="530">
        <v>11747</v>
      </c>
      <c r="E14" s="530">
        <v>16077</v>
      </c>
      <c r="F14" s="530">
        <v>18984</v>
      </c>
      <c r="G14" s="532">
        <v>20208</v>
      </c>
      <c r="H14" s="532">
        <v>21832</v>
      </c>
      <c r="I14" s="532">
        <v>13889</v>
      </c>
      <c r="J14" s="532">
        <v>18419</v>
      </c>
      <c r="K14" s="532">
        <v>21516</v>
      </c>
      <c r="L14" s="532">
        <v>22463</v>
      </c>
      <c r="M14" s="532">
        <v>23827</v>
      </c>
      <c r="N14" s="532">
        <v>24611</v>
      </c>
      <c r="O14" s="532">
        <v>24791</v>
      </c>
      <c r="P14" s="532">
        <v>21251</v>
      </c>
      <c r="Q14" s="532">
        <v>21123</v>
      </c>
      <c r="R14" s="532">
        <v>21023</v>
      </c>
      <c r="S14" s="532">
        <v>20899</v>
      </c>
      <c r="T14" s="532">
        <v>20604</v>
      </c>
      <c r="U14" s="532">
        <v>21150</v>
      </c>
      <c r="V14" s="532">
        <v>20784</v>
      </c>
      <c r="W14" s="532">
        <v>20568</v>
      </c>
      <c r="X14" s="532">
        <v>20559</v>
      </c>
      <c r="Y14" s="532">
        <v>20884</v>
      </c>
      <c r="Z14" s="532">
        <v>20394</v>
      </c>
      <c r="AA14" s="532">
        <v>19272</v>
      </c>
      <c r="AB14" s="532">
        <v>20895</v>
      </c>
      <c r="AC14" s="548">
        <v>21591</v>
      </c>
      <c r="AD14" s="530">
        <v>21772</v>
      </c>
      <c r="AE14" s="530">
        <v>21211</v>
      </c>
      <c r="AF14" s="812"/>
    </row>
    <row r="15" spans="1:32">
      <c r="A15" s="533"/>
      <c r="B15" s="791" t="s">
        <v>55</v>
      </c>
      <c r="C15" s="791">
        <v>340101</v>
      </c>
      <c r="D15" s="791">
        <v>350807</v>
      </c>
      <c r="E15" s="791">
        <v>359381</v>
      </c>
      <c r="F15" s="791">
        <v>360180</v>
      </c>
      <c r="G15" s="792">
        <v>387364</v>
      </c>
      <c r="H15" s="792">
        <v>386767</v>
      </c>
      <c r="I15" s="792">
        <v>369458</v>
      </c>
      <c r="J15" s="792">
        <v>362711</v>
      </c>
      <c r="K15" s="792">
        <v>368416</v>
      </c>
      <c r="L15" s="792">
        <v>367960</v>
      </c>
      <c r="M15" s="792">
        <v>347060</v>
      </c>
      <c r="N15" s="792">
        <v>333498</v>
      </c>
      <c r="O15" s="792">
        <v>330110</v>
      </c>
      <c r="P15" s="792">
        <v>295315</v>
      </c>
      <c r="Q15" s="792">
        <v>290081</v>
      </c>
      <c r="R15" s="792">
        <v>287580</v>
      </c>
      <c r="S15" s="792">
        <v>287013</v>
      </c>
      <c r="T15" s="792">
        <v>271731</v>
      </c>
      <c r="U15" s="792">
        <v>265959</v>
      </c>
      <c r="V15" s="792">
        <v>258839</v>
      </c>
      <c r="W15" s="792">
        <v>260244</v>
      </c>
      <c r="X15" s="792">
        <v>260290</v>
      </c>
      <c r="Y15" s="792">
        <v>253630</v>
      </c>
      <c r="Z15" s="792">
        <v>245372</v>
      </c>
      <c r="AA15" s="792">
        <v>227348</v>
      </c>
      <c r="AB15" s="792">
        <v>222452</v>
      </c>
      <c r="AC15" s="548">
        <v>218813</v>
      </c>
      <c r="AD15" s="533">
        <v>228936</v>
      </c>
      <c r="AE15" s="533">
        <v>237169</v>
      </c>
      <c r="AF15" s="812"/>
    </row>
    <row r="16" spans="1:32">
      <c r="A16" s="533"/>
      <c r="B16" s="791" t="s">
        <v>56</v>
      </c>
      <c r="C16" s="793"/>
      <c r="D16" s="793"/>
      <c r="E16" s="793"/>
      <c r="F16" s="793"/>
      <c r="G16" s="794"/>
      <c r="H16" s="794"/>
      <c r="I16" s="794"/>
      <c r="J16" s="794"/>
      <c r="K16" s="794"/>
      <c r="L16" s="794"/>
      <c r="M16" s="794"/>
      <c r="N16" s="792">
        <v>6347</v>
      </c>
      <c r="O16" s="792">
        <v>5599</v>
      </c>
      <c r="P16" s="792">
        <v>4782</v>
      </c>
      <c r="Q16" s="792">
        <v>4872</v>
      </c>
      <c r="R16" s="792">
        <v>5007</v>
      </c>
      <c r="S16" s="792">
        <v>5708</v>
      </c>
      <c r="T16" s="792">
        <v>6134</v>
      </c>
      <c r="U16" s="792">
        <v>5682</v>
      </c>
      <c r="V16" s="792">
        <v>5222</v>
      </c>
      <c r="W16" s="792">
        <v>5216</v>
      </c>
      <c r="X16" s="792">
        <v>4172</v>
      </c>
      <c r="Y16" s="792">
        <v>5070</v>
      </c>
      <c r="Z16" s="792">
        <v>5634</v>
      </c>
      <c r="AA16" s="792">
        <v>5881</v>
      </c>
      <c r="AB16" s="792">
        <v>5936</v>
      </c>
      <c r="AC16" s="548">
        <v>7149</v>
      </c>
      <c r="AD16" s="533">
        <v>7920</v>
      </c>
      <c r="AE16" s="533">
        <v>8151</v>
      </c>
      <c r="AF16" s="812"/>
    </row>
    <row r="17" spans="1:32">
      <c r="A17" s="533"/>
      <c r="B17" s="791" t="s">
        <v>57</v>
      </c>
      <c r="C17" s="793"/>
      <c r="D17" s="793"/>
      <c r="E17" s="793"/>
      <c r="F17" s="793"/>
      <c r="G17" s="794"/>
      <c r="H17" s="794"/>
      <c r="I17" s="794"/>
      <c r="J17" s="794"/>
      <c r="K17" s="794"/>
      <c r="L17" s="794"/>
      <c r="M17" s="794"/>
      <c r="N17" s="794"/>
      <c r="O17" s="792">
        <v>772</v>
      </c>
      <c r="P17" s="792">
        <v>891</v>
      </c>
      <c r="Q17" s="792">
        <v>1063</v>
      </c>
      <c r="R17" s="792">
        <v>1401</v>
      </c>
      <c r="S17" s="792">
        <v>2022</v>
      </c>
      <c r="T17" s="792">
        <v>2064</v>
      </c>
      <c r="U17" s="792">
        <v>2531</v>
      </c>
      <c r="V17" s="792">
        <v>2840</v>
      </c>
      <c r="W17" s="792">
        <v>3810</v>
      </c>
      <c r="X17" s="792">
        <v>4735</v>
      </c>
      <c r="Y17" s="792">
        <v>5325</v>
      </c>
      <c r="Z17" s="792">
        <v>7947</v>
      </c>
      <c r="AA17" s="792">
        <v>8406</v>
      </c>
      <c r="AB17" s="792">
        <v>9369</v>
      </c>
      <c r="AC17" s="548">
        <v>9842</v>
      </c>
      <c r="AD17" s="533">
        <v>9612</v>
      </c>
      <c r="AE17" s="533">
        <v>9986</v>
      </c>
      <c r="AF17" s="812"/>
    </row>
    <row r="18" spans="1:32">
      <c r="A18" s="533"/>
      <c r="B18" s="791" t="s">
        <v>58</v>
      </c>
      <c r="C18" s="791">
        <v>15065</v>
      </c>
      <c r="D18" s="791">
        <v>19579</v>
      </c>
      <c r="E18" s="791">
        <v>20097</v>
      </c>
      <c r="F18" s="791">
        <v>20411</v>
      </c>
      <c r="G18" s="792">
        <v>22665</v>
      </c>
      <c r="H18" s="792">
        <v>23386</v>
      </c>
      <c r="I18" s="792">
        <v>22714</v>
      </c>
      <c r="J18" s="792">
        <v>21682</v>
      </c>
      <c r="K18" s="792">
        <v>22995</v>
      </c>
      <c r="L18" s="792">
        <v>23811</v>
      </c>
      <c r="M18" s="792">
        <v>24961</v>
      </c>
      <c r="N18" s="792">
        <v>26026</v>
      </c>
      <c r="O18" s="792">
        <v>25112</v>
      </c>
      <c r="P18" s="792">
        <v>22367</v>
      </c>
      <c r="Q18" s="792">
        <v>23183</v>
      </c>
      <c r="R18" s="792">
        <v>23414</v>
      </c>
      <c r="S18" s="792">
        <v>22922</v>
      </c>
      <c r="T18" s="792">
        <v>23481</v>
      </c>
      <c r="U18" s="792">
        <v>25998</v>
      </c>
      <c r="V18" s="792">
        <v>26501</v>
      </c>
      <c r="W18" s="792">
        <v>23979</v>
      </c>
      <c r="X18" s="792">
        <v>23949</v>
      </c>
      <c r="Y18" s="792">
        <v>23121</v>
      </c>
      <c r="Z18" s="792">
        <v>22867</v>
      </c>
      <c r="AA18" s="792">
        <v>22451</v>
      </c>
      <c r="AB18" s="792">
        <v>24999</v>
      </c>
      <c r="AC18" s="548">
        <v>26874</v>
      </c>
      <c r="AD18" s="533">
        <v>26648</v>
      </c>
      <c r="AE18" s="533">
        <v>25228</v>
      </c>
    </row>
    <row r="19" spans="1:32">
      <c r="A19" s="533"/>
      <c r="B19" s="795" t="s">
        <v>59</v>
      </c>
      <c r="C19" s="795">
        <v>3766</v>
      </c>
      <c r="D19" s="795">
        <v>7831</v>
      </c>
      <c r="E19" s="795">
        <v>8039</v>
      </c>
      <c r="F19" s="795">
        <v>6080</v>
      </c>
      <c r="G19" s="796">
        <v>6628</v>
      </c>
      <c r="H19" s="796">
        <v>7190</v>
      </c>
      <c r="I19" s="796">
        <v>14983</v>
      </c>
      <c r="J19" s="796">
        <v>10280</v>
      </c>
      <c r="K19" s="796">
        <v>10154</v>
      </c>
      <c r="L19" s="796">
        <v>12844</v>
      </c>
      <c r="M19" s="796">
        <v>12826</v>
      </c>
      <c r="N19" s="796">
        <v>5809</v>
      </c>
      <c r="O19" s="796">
        <v>4618</v>
      </c>
      <c r="P19" s="796">
        <v>3990</v>
      </c>
      <c r="Q19" s="796">
        <v>4276</v>
      </c>
      <c r="R19" s="796">
        <v>4185</v>
      </c>
      <c r="S19" s="796">
        <v>4232</v>
      </c>
      <c r="T19" s="796">
        <v>4422</v>
      </c>
      <c r="U19" s="796">
        <v>4669</v>
      </c>
      <c r="V19" s="796">
        <v>4535</v>
      </c>
      <c r="W19" s="796">
        <v>4564</v>
      </c>
      <c r="X19" s="796">
        <v>4774</v>
      </c>
      <c r="Y19" s="796">
        <v>5537</v>
      </c>
      <c r="Z19" s="796">
        <v>5755</v>
      </c>
      <c r="AA19" s="796">
        <v>5114</v>
      </c>
      <c r="AB19" s="796">
        <v>5549</v>
      </c>
      <c r="AC19" s="548">
        <v>5261</v>
      </c>
      <c r="AD19" s="533">
        <v>5245</v>
      </c>
      <c r="AE19" s="533">
        <v>5110</v>
      </c>
      <c r="AF19" s="812"/>
    </row>
    <row r="20" spans="1:32">
      <c r="A20" s="538"/>
      <c r="B20" s="538" t="s">
        <v>62</v>
      </c>
      <c r="C20" s="539">
        <f t="shared" ref="C20:D20" si="7">SUM(C14:C19)</f>
        <v>373997</v>
      </c>
      <c r="D20" s="539">
        <f t="shared" si="7"/>
        <v>389964</v>
      </c>
      <c r="E20" s="539">
        <f t="shared" ref="E20" si="8">SUM(E14:E19)</f>
        <v>403594</v>
      </c>
      <c r="F20" s="539">
        <f t="shared" ref="F20" si="9">SUM(F14:F19)</f>
        <v>405655</v>
      </c>
      <c r="G20" s="539">
        <f t="shared" ref="G20" si="10">SUM(G14:G19)</f>
        <v>436865</v>
      </c>
      <c r="H20" s="539">
        <f t="shared" ref="H20" si="11">SUM(H14:H19)</f>
        <v>439175</v>
      </c>
      <c r="I20" s="539">
        <f t="shared" ref="I20" si="12">SUM(I14:I19)</f>
        <v>421044</v>
      </c>
      <c r="J20" s="539">
        <f t="shared" ref="J20" si="13">SUM(J14:J19)</f>
        <v>413092</v>
      </c>
      <c r="K20" s="539">
        <f t="shared" ref="K20" si="14">SUM(K14:K19)</f>
        <v>423081</v>
      </c>
      <c r="L20" s="539">
        <f t="shared" ref="L20" si="15">SUM(L14:L19)</f>
        <v>427078</v>
      </c>
      <c r="M20" s="539">
        <f t="shared" ref="M20" si="16">SUM(M14:M19)</f>
        <v>408674</v>
      </c>
      <c r="N20" s="539">
        <f t="shared" ref="N20" si="17">SUM(N14:N19)</f>
        <v>396291</v>
      </c>
      <c r="O20" s="539">
        <f t="shared" ref="O20:P20" si="18">SUM(O14:O19)</f>
        <v>391002</v>
      </c>
      <c r="P20" s="539">
        <f t="shared" si="18"/>
        <v>348596</v>
      </c>
      <c r="Q20" s="539">
        <v>344598</v>
      </c>
      <c r="R20" s="539">
        <v>342610</v>
      </c>
      <c r="S20" s="539">
        <v>342796</v>
      </c>
      <c r="T20" s="539">
        <v>328436</v>
      </c>
      <c r="U20" s="539">
        <v>325989</v>
      </c>
      <c r="V20" s="539">
        <v>318721</v>
      </c>
      <c r="W20" s="539">
        <v>318381</v>
      </c>
      <c r="X20" s="539">
        <v>318479</v>
      </c>
      <c r="Y20" s="539">
        <v>313567</v>
      </c>
      <c r="Z20" s="539">
        <v>307969</v>
      </c>
      <c r="AA20" s="539">
        <v>288472</v>
      </c>
      <c r="AB20" s="539">
        <v>289200</v>
      </c>
      <c r="AC20" s="550">
        <f>SUM(AC14:AC19)</f>
        <v>289530</v>
      </c>
      <c r="AD20" s="550">
        <f>SUM(AD14:AD19)</f>
        <v>300133</v>
      </c>
      <c r="AE20" s="550">
        <v>306855</v>
      </c>
      <c r="AF20" s="812"/>
    </row>
    <row r="21" spans="1:32">
      <c r="A21" s="530" t="s">
        <v>146</v>
      </c>
      <c r="B21" s="530" t="s">
        <v>66</v>
      </c>
      <c r="C21" s="797"/>
      <c r="D21" s="797"/>
      <c r="E21" s="797"/>
      <c r="F21" s="797"/>
      <c r="G21" s="798"/>
      <c r="H21" s="798"/>
      <c r="I21" s="798"/>
      <c r="J21" s="798"/>
      <c r="K21" s="798"/>
      <c r="L21" s="798"/>
      <c r="M21" s="798"/>
      <c r="N21" s="532">
        <v>11087</v>
      </c>
      <c r="O21" s="532">
        <v>11032</v>
      </c>
      <c r="P21" s="532">
        <v>9272</v>
      </c>
      <c r="Q21" s="532">
        <v>9850</v>
      </c>
      <c r="R21" s="532">
        <v>10568</v>
      </c>
      <c r="S21" s="532">
        <v>10194</v>
      </c>
      <c r="T21" s="532">
        <v>11736</v>
      </c>
      <c r="U21" s="532">
        <v>12299</v>
      </c>
      <c r="V21" s="532">
        <v>12024</v>
      </c>
      <c r="W21" s="532">
        <v>11842</v>
      </c>
      <c r="X21" s="532">
        <v>11697</v>
      </c>
      <c r="Y21" s="532">
        <v>12703</v>
      </c>
      <c r="Z21" s="532">
        <v>12242</v>
      </c>
      <c r="AA21" s="532">
        <v>11450</v>
      </c>
      <c r="AB21" s="532">
        <v>12453</v>
      </c>
      <c r="AC21" s="548">
        <v>12934</v>
      </c>
      <c r="AD21" s="530">
        <v>13011</v>
      </c>
      <c r="AE21" s="530">
        <v>12452</v>
      </c>
      <c r="AF21" s="812"/>
    </row>
    <row r="22" spans="1:32">
      <c r="A22" s="533"/>
      <c r="B22" s="791" t="s">
        <v>55</v>
      </c>
      <c r="C22" s="793"/>
      <c r="D22" s="793"/>
      <c r="E22" s="793"/>
      <c r="F22" s="793"/>
      <c r="G22" s="794"/>
      <c r="H22" s="794"/>
      <c r="I22" s="794"/>
      <c r="J22" s="794"/>
      <c r="K22" s="794"/>
      <c r="L22" s="794"/>
      <c r="M22" s="794"/>
      <c r="N22" s="792">
        <v>18100</v>
      </c>
      <c r="O22" s="792">
        <v>17552</v>
      </c>
      <c r="P22" s="792">
        <v>14168</v>
      </c>
      <c r="Q22" s="792">
        <v>14346</v>
      </c>
      <c r="R22" s="792">
        <v>15234</v>
      </c>
      <c r="S22" s="792">
        <v>16004</v>
      </c>
      <c r="T22" s="792">
        <v>16299</v>
      </c>
      <c r="U22" s="792">
        <v>15653</v>
      </c>
      <c r="V22" s="792">
        <v>15283</v>
      </c>
      <c r="W22" s="792">
        <v>14773</v>
      </c>
      <c r="X22" s="792">
        <v>15044</v>
      </c>
      <c r="Y22" s="792">
        <v>15602</v>
      </c>
      <c r="Z22" s="792">
        <v>14990</v>
      </c>
      <c r="AA22" s="792">
        <v>14026</v>
      </c>
      <c r="AB22" s="792">
        <v>14165</v>
      </c>
      <c r="AC22" s="548">
        <v>13861</v>
      </c>
      <c r="AD22" s="533">
        <v>14192</v>
      </c>
      <c r="AE22" s="533">
        <v>13862</v>
      </c>
      <c r="AF22" s="812"/>
    </row>
    <row r="23" spans="1:32">
      <c r="A23" s="533"/>
      <c r="B23" s="791" t="s">
        <v>56</v>
      </c>
      <c r="C23" s="793"/>
      <c r="D23" s="793"/>
      <c r="E23" s="793"/>
      <c r="F23" s="793"/>
      <c r="G23" s="794"/>
      <c r="H23" s="794"/>
      <c r="I23" s="794"/>
      <c r="J23" s="794"/>
      <c r="K23" s="794"/>
      <c r="L23" s="794"/>
      <c r="M23" s="794"/>
      <c r="N23" s="792">
        <v>128701</v>
      </c>
      <c r="O23" s="792">
        <v>127114</v>
      </c>
      <c r="P23" s="792">
        <v>127316</v>
      </c>
      <c r="Q23" s="792">
        <v>131805</v>
      </c>
      <c r="R23" s="792">
        <v>138034</v>
      </c>
      <c r="S23" s="792">
        <v>148136</v>
      </c>
      <c r="T23" s="792">
        <v>159978</v>
      </c>
      <c r="U23" s="792">
        <v>164073</v>
      </c>
      <c r="V23" s="792">
        <v>167273</v>
      </c>
      <c r="W23" s="792">
        <v>163423</v>
      </c>
      <c r="X23" s="792">
        <v>159031</v>
      </c>
      <c r="Y23" s="792">
        <v>162576</v>
      </c>
      <c r="Z23" s="792">
        <v>171603</v>
      </c>
      <c r="AA23" s="792">
        <v>180477</v>
      </c>
      <c r="AB23" s="792">
        <v>186245</v>
      </c>
      <c r="AC23" s="548">
        <v>183748</v>
      </c>
      <c r="AD23" s="533">
        <v>191142</v>
      </c>
      <c r="AE23" s="533">
        <v>195786</v>
      </c>
      <c r="AF23" s="812"/>
    </row>
    <row r="24" spans="1:32">
      <c r="A24" s="533"/>
      <c r="B24" s="791" t="s">
        <v>57</v>
      </c>
      <c r="C24" s="793"/>
      <c r="D24" s="793"/>
      <c r="E24" s="793"/>
      <c r="F24" s="793"/>
      <c r="G24" s="794"/>
      <c r="H24" s="794"/>
      <c r="I24" s="794"/>
      <c r="J24" s="794"/>
      <c r="K24" s="794"/>
      <c r="L24" s="794"/>
      <c r="M24" s="794"/>
      <c r="N24" s="794"/>
      <c r="O24" s="792">
        <v>481</v>
      </c>
      <c r="P24" s="792">
        <v>426</v>
      </c>
      <c r="Q24" s="792">
        <v>517</v>
      </c>
      <c r="R24" s="792">
        <v>752</v>
      </c>
      <c r="S24" s="792">
        <v>982</v>
      </c>
      <c r="T24" s="792">
        <v>1147</v>
      </c>
      <c r="U24" s="792">
        <v>1572</v>
      </c>
      <c r="V24" s="792">
        <v>1951</v>
      </c>
      <c r="W24" s="792">
        <v>2829</v>
      </c>
      <c r="X24" s="792">
        <v>3015</v>
      </c>
      <c r="Y24" s="792">
        <v>3140</v>
      </c>
      <c r="Z24" s="792">
        <v>3723</v>
      </c>
      <c r="AA24" s="792">
        <v>4282</v>
      </c>
      <c r="AB24" s="792">
        <v>6300</v>
      </c>
      <c r="AC24" s="548">
        <v>6320</v>
      </c>
      <c r="AD24" s="533">
        <v>5455</v>
      </c>
      <c r="AE24" s="533">
        <v>5648</v>
      </c>
      <c r="AF24" s="812"/>
    </row>
    <row r="25" spans="1:32">
      <c r="A25" s="533"/>
      <c r="B25" s="791" t="s">
        <v>58</v>
      </c>
      <c r="C25" s="793"/>
      <c r="D25" s="793"/>
      <c r="E25" s="793"/>
      <c r="F25" s="793"/>
      <c r="G25" s="794"/>
      <c r="H25" s="794"/>
      <c r="I25" s="794"/>
      <c r="J25" s="794"/>
      <c r="K25" s="794"/>
      <c r="L25" s="794"/>
      <c r="M25" s="794"/>
      <c r="N25" s="792">
        <v>12103</v>
      </c>
      <c r="O25" s="792">
        <v>12389</v>
      </c>
      <c r="P25" s="792">
        <v>10728</v>
      </c>
      <c r="Q25" s="792">
        <v>11516</v>
      </c>
      <c r="R25" s="792">
        <v>12139</v>
      </c>
      <c r="S25" s="792">
        <v>11346</v>
      </c>
      <c r="T25" s="792">
        <v>12991</v>
      </c>
      <c r="U25" s="792">
        <v>13982</v>
      </c>
      <c r="V25" s="792">
        <v>14657</v>
      </c>
      <c r="W25" s="792">
        <v>13651</v>
      </c>
      <c r="X25" s="792">
        <v>13497</v>
      </c>
      <c r="Y25" s="792">
        <v>13013</v>
      </c>
      <c r="Z25" s="792">
        <v>13111</v>
      </c>
      <c r="AA25" s="792">
        <v>13326</v>
      </c>
      <c r="AB25" s="792">
        <v>15508</v>
      </c>
      <c r="AC25" s="548">
        <v>17683</v>
      </c>
      <c r="AD25" s="533">
        <v>16527</v>
      </c>
      <c r="AE25" s="533">
        <v>15578</v>
      </c>
    </row>
    <row r="26" spans="1:32">
      <c r="A26" s="533"/>
      <c r="B26" s="795" t="s">
        <v>59</v>
      </c>
      <c r="C26" s="799"/>
      <c r="D26" s="799"/>
      <c r="E26" s="799"/>
      <c r="F26" s="799"/>
      <c r="G26" s="800"/>
      <c r="H26" s="800"/>
      <c r="I26" s="800"/>
      <c r="J26" s="800"/>
      <c r="K26" s="800"/>
      <c r="L26" s="800"/>
      <c r="M26" s="800"/>
      <c r="N26" s="796">
        <v>2478</v>
      </c>
      <c r="O26" s="796">
        <v>2064</v>
      </c>
      <c r="P26" s="796">
        <v>1613</v>
      </c>
      <c r="Q26" s="796">
        <v>2067</v>
      </c>
      <c r="R26" s="796">
        <v>2197</v>
      </c>
      <c r="S26" s="796">
        <v>2253</v>
      </c>
      <c r="T26" s="796">
        <v>2438</v>
      </c>
      <c r="U26" s="796">
        <v>2713</v>
      </c>
      <c r="V26" s="796">
        <v>2506</v>
      </c>
      <c r="W26" s="796">
        <v>2312</v>
      </c>
      <c r="X26" s="796">
        <v>2491</v>
      </c>
      <c r="Y26" s="796">
        <v>2958</v>
      </c>
      <c r="Z26" s="796">
        <v>3306</v>
      </c>
      <c r="AA26" s="796">
        <v>3198</v>
      </c>
      <c r="AB26" s="796">
        <v>3327</v>
      </c>
      <c r="AC26" s="548">
        <v>3087</v>
      </c>
      <c r="AD26" s="533">
        <v>2983</v>
      </c>
      <c r="AE26" s="533">
        <v>2919</v>
      </c>
      <c r="AF26" s="812"/>
    </row>
    <row r="27" spans="1:32">
      <c r="A27" s="538"/>
      <c r="B27" s="538" t="s">
        <v>62</v>
      </c>
      <c r="C27" s="801">
        <f t="shared" ref="C27" si="19">SUM(C21:C26)</f>
        <v>0</v>
      </c>
      <c r="D27" s="801">
        <f t="shared" ref="D27" si="20">SUM(D21:D26)</f>
        <v>0</v>
      </c>
      <c r="E27" s="801">
        <f t="shared" ref="E27" si="21">SUM(E21:E26)</f>
        <v>0</v>
      </c>
      <c r="F27" s="801">
        <f t="shared" ref="F27" si="22">SUM(F21:F26)</f>
        <v>0</v>
      </c>
      <c r="G27" s="801">
        <f t="shared" ref="G27" si="23">SUM(G21:G26)</f>
        <v>0</v>
      </c>
      <c r="H27" s="801">
        <f t="shared" ref="H27" si="24">SUM(H21:H26)</f>
        <v>0</v>
      </c>
      <c r="I27" s="801">
        <f t="shared" ref="I27" si="25">SUM(I21:I26)</f>
        <v>0</v>
      </c>
      <c r="J27" s="801">
        <f t="shared" ref="J27" si="26">SUM(J21:J26)</f>
        <v>0</v>
      </c>
      <c r="K27" s="801">
        <f t="shared" ref="K27" si="27">SUM(K21:K26)</f>
        <v>0</v>
      </c>
      <c r="L27" s="801">
        <f t="shared" ref="L27" si="28">SUM(L21:L26)</f>
        <v>0</v>
      </c>
      <c r="M27" s="801">
        <f t="shared" ref="M27" si="29">SUM(M21:M26)</f>
        <v>0</v>
      </c>
      <c r="N27" s="539">
        <f t="shared" ref="N27" si="30">SUM(N21:N26)</f>
        <v>172469</v>
      </c>
      <c r="O27" s="539">
        <f t="shared" ref="O27:P27" si="31">SUM(O21:O26)</f>
        <v>170632</v>
      </c>
      <c r="P27" s="539">
        <f t="shared" si="31"/>
        <v>163523</v>
      </c>
      <c r="Q27" s="539">
        <v>170101</v>
      </c>
      <c r="R27" s="539">
        <v>178924</v>
      </c>
      <c r="S27" s="539">
        <v>188915</v>
      </c>
      <c r="T27" s="539">
        <v>204589</v>
      </c>
      <c r="U27" s="539">
        <v>210292</v>
      </c>
      <c r="V27" s="539">
        <v>213694</v>
      </c>
      <c r="W27" s="539">
        <v>208830</v>
      </c>
      <c r="X27" s="539">
        <v>204775</v>
      </c>
      <c r="Y27" s="539">
        <v>209992</v>
      </c>
      <c r="Z27" s="539">
        <v>218975</v>
      </c>
      <c r="AA27" s="539">
        <v>226759</v>
      </c>
      <c r="AB27" s="539">
        <v>237998</v>
      </c>
      <c r="AC27" s="550">
        <f>SUM(AC21:AC26)</f>
        <v>237633</v>
      </c>
      <c r="AD27" s="550">
        <f>SUM(AD21:AD26)</f>
        <v>243310</v>
      </c>
      <c r="AE27" s="550">
        <v>246245</v>
      </c>
      <c r="AF27" s="812"/>
    </row>
    <row r="28" spans="1:32">
      <c r="A28" s="530" t="s">
        <v>156</v>
      </c>
      <c r="B28" s="530" t="s">
        <v>66</v>
      </c>
      <c r="C28" s="797"/>
      <c r="D28" s="797"/>
      <c r="E28" s="797"/>
      <c r="F28" s="797"/>
      <c r="G28" s="798"/>
      <c r="H28" s="798"/>
      <c r="I28" s="798"/>
      <c r="J28" s="798"/>
      <c r="K28" s="798"/>
      <c r="L28" s="798"/>
      <c r="M28" s="798"/>
      <c r="N28" s="798"/>
      <c r="O28" s="798"/>
      <c r="P28" s="798"/>
      <c r="Q28" s="532">
        <v>27735</v>
      </c>
      <c r="R28" s="532">
        <v>30199</v>
      </c>
      <c r="S28" s="532">
        <v>31780</v>
      </c>
      <c r="T28" s="532">
        <v>33287</v>
      </c>
      <c r="U28" s="532">
        <v>34947</v>
      </c>
      <c r="V28" s="532">
        <v>35365</v>
      </c>
      <c r="W28" s="532">
        <v>36467</v>
      </c>
      <c r="X28" s="532">
        <v>36818</v>
      </c>
      <c r="Y28" s="532">
        <v>39810</v>
      </c>
      <c r="Z28" s="532">
        <v>41756</v>
      </c>
      <c r="AA28" s="532">
        <v>40521</v>
      </c>
      <c r="AB28" s="532">
        <v>42548</v>
      </c>
      <c r="AC28" s="548">
        <v>41236</v>
      </c>
      <c r="AD28" s="530">
        <v>41783</v>
      </c>
      <c r="AE28" s="530">
        <v>43486</v>
      </c>
      <c r="AF28" s="812"/>
    </row>
    <row r="29" spans="1:32">
      <c r="A29" s="533"/>
      <c r="B29" s="791" t="s">
        <v>55</v>
      </c>
      <c r="C29" s="793"/>
      <c r="D29" s="793"/>
      <c r="E29" s="793"/>
      <c r="F29" s="793"/>
      <c r="G29" s="794"/>
      <c r="H29" s="794"/>
      <c r="I29" s="794"/>
      <c r="J29" s="794"/>
      <c r="K29" s="794"/>
      <c r="L29" s="794"/>
      <c r="M29" s="794"/>
      <c r="N29" s="794"/>
      <c r="O29" s="794"/>
      <c r="P29" s="794"/>
      <c r="Q29" s="792">
        <v>33882</v>
      </c>
      <c r="R29" s="792">
        <v>39231</v>
      </c>
      <c r="S29" s="792">
        <v>42278</v>
      </c>
      <c r="T29" s="792">
        <v>41193</v>
      </c>
      <c r="U29" s="792">
        <v>40460</v>
      </c>
      <c r="V29" s="792">
        <v>40078</v>
      </c>
      <c r="W29" s="792">
        <v>39207</v>
      </c>
      <c r="X29" s="792">
        <v>40908</v>
      </c>
      <c r="Y29" s="792">
        <v>45284</v>
      </c>
      <c r="Z29" s="792">
        <v>48867</v>
      </c>
      <c r="AA29" s="792">
        <v>47862</v>
      </c>
      <c r="AB29" s="792">
        <v>47010</v>
      </c>
      <c r="AC29" s="548">
        <v>45259</v>
      </c>
      <c r="AD29" s="533">
        <v>46236</v>
      </c>
      <c r="AE29" s="533">
        <v>45201</v>
      </c>
      <c r="AF29" s="812"/>
    </row>
    <row r="30" spans="1:32">
      <c r="A30" s="533"/>
      <c r="B30" s="791" t="s">
        <v>56</v>
      </c>
      <c r="C30" s="793"/>
      <c r="D30" s="793"/>
      <c r="E30" s="793"/>
      <c r="F30" s="793"/>
      <c r="G30" s="794"/>
      <c r="H30" s="794"/>
      <c r="I30" s="794"/>
      <c r="J30" s="794"/>
      <c r="K30" s="794"/>
      <c r="L30" s="794"/>
      <c r="M30" s="794"/>
      <c r="N30" s="794"/>
      <c r="O30" s="794"/>
      <c r="P30" s="794"/>
      <c r="Q30" s="792">
        <v>7178</v>
      </c>
      <c r="R30" s="792">
        <v>8129</v>
      </c>
      <c r="S30" s="792">
        <v>8985</v>
      </c>
      <c r="T30" s="792">
        <v>10866</v>
      </c>
      <c r="U30" s="792">
        <v>11528</v>
      </c>
      <c r="V30" s="792">
        <v>12907</v>
      </c>
      <c r="W30" s="792">
        <v>13764</v>
      </c>
      <c r="X30" s="792">
        <v>13180</v>
      </c>
      <c r="Y30" s="792">
        <v>13875</v>
      </c>
      <c r="Z30" s="792">
        <v>16019</v>
      </c>
      <c r="AA30" s="792">
        <v>16725</v>
      </c>
      <c r="AB30" s="792">
        <v>17691</v>
      </c>
      <c r="AC30" s="548">
        <v>18262</v>
      </c>
      <c r="AD30" s="533">
        <v>20016</v>
      </c>
      <c r="AE30" s="533">
        <v>21040</v>
      </c>
      <c r="AF30" s="812"/>
    </row>
    <row r="31" spans="1:32">
      <c r="A31" s="533"/>
      <c r="B31" s="791" t="s">
        <v>57</v>
      </c>
      <c r="C31" s="793"/>
      <c r="D31" s="793"/>
      <c r="E31" s="793"/>
      <c r="F31" s="793"/>
      <c r="G31" s="794"/>
      <c r="H31" s="794"/>
      <c r="I31" s="794"/>
      <c r="J31" s="794"/>
      <c r="K31" s="794"/>
      <c r="L31" s="794"/>
      <c r="M31" s="794"/>
      <c r="N31" s="794"/>
      <c r="O31" s="794"/>
      <c r="P31" s="794"/>
      <c r="Q31" s="792">
        <v>293066</v>
      </c>
      <c r="R31" s="792">
        <v>415829</v>
      </c>
      <c r="S31" s="792">
        <v>535315</v>
      </c>
      <c r="T31" s="792">
        <v>704936</v>
      </c>
      <c r="U31" s="792">
        <v>801135</v>
      </c>
      <c r="V31" s="792">
        <v>968251</v>
      </c>
      <c r="W31" s="792">
        <v>1204981</v>
      </c>
      <c r="X31" s="792">
        <v>1245709</v>
      </c>
      <c r="Y31" s="792">
        <v>1393815</v>
      </c>
      <c r="Z31" s="792">
        <v>1243568</v>
      </c>
      <c r="AA31" s="792">
        <v>1344817</v>
      </c>
      <c r="AB31" s="792">
        <v>1427845</v>
      </c>
      <c r="AC31" s="548">
        <v>1464605</v>
      </c>
      <c r="AD31" s="533">
        <v>1522292</v>
      </c>
      <c r="AE31" s="533">
        <v>1672001</v>
      </c>
      <c r="AF31" s="812"/>
    </row>
    <row r="32" spans="1:32">
      <c r="A32" s="533"/>
      <c r="B32" s="791" t="s">
        <v>58</v>
      </c>
      <c r="C32" s="793"/>
      <c r="D32" s="793"/>
      <c r="E32" s="793"/>
      <c r="F32" s="793"/>
      <c r="G32" s="794"/>
      <c r="H32" s="794"/>
      <c r="I32" s="794"/>
      <c r="J32" s="794"/>
      <c r="K32" s="794"/>
      <c r="L32" s="794"/>
      <c r="M32" s="794"/>
      <c r="N32" s="794"/>
      <c r="O32" s="794"/>
      <c r="P32" s="794"/>
      <c r="Q32" s="792">
        <v>25380</v>
      </c>
      <c r="R32" s="792">
        <v>28457</v>
      </c>
      <c r="S32" s="792">
        <v>29510</v>
      </c>
      <c r="T32" s="792">
        <v>29992</v>
      </c>
      <c r="U32" s="792">
        <v>33963</v>
      </c>
      <c r="V32" s="792">
        <v>37216</v>
      </c>
      <c r="W32" s="792">
        <v>35895</v>
      </c>
      <c r="X32" s="792">
        <v>36980</v>
      </c>
      <c r="Y32" s="792">
        <v>38859</v>
      </c>
      <c r="Z32" s="792">
        <v>39450</v>
      </c>
      <c r="AA32" s="792">
        <v>37880</v>
      </c>
      <c r="AB32" s="792">
        <v>42266</v>
      </c>
      <c r="AC32" s="548">
        <v>43090</v>
      </c>
      <c r="AD32" s="533">
        <v>40380</v>
      </c>
      <c r="AE32" s="533">
        <v>39584</v>
      </c>
      <c r="AF32" s="812"/>
    </row>
    <row r="33" spans="1:32">
      <c r="A33" s="533"/>
      <c r="B33" s="795" t="s">
        <v>59</v>
      </c>
      <c r="C33" s="799"/>
      <c r="D33" s="799"/>
      <c r="E33" s="799"/>
      <c r="F33" s="799"/>
      <c r="G33" s="800"/>
      <c r="H33" s="800"/>
      <c r="I33" s="800"/>
      <c r="J33" s="800"/>
      <c r="K33" s="800"/>
      <c r="L33" s="800"/>
      <c r="M33" s="800"/>
      <c r="N33" s="800"/>
      <c r="O33" s="800"/>
      <c r="P33" s="800"/>
      <c r="Q33" s="796">
        <v>3936</v>
      </c>
      <c r="R33" s="796">
        <v>4567</v>
      </c>
      <c r="S33" s="796">
        <v>4909</v>
      </c>
      <c r="T33" s="796">
        <v>4862</v>
      </c>
      <c r="U33" s="796">
        <v>6144</v>
      </c>
      <c r="V33" s="796">
        <v>8047</v>
      </c>
      <c r="W33" s="796">
        <v>8189</v>
      </c>
      <c r="X33" s="796">
        <v>7999</v>
      </c>
      <c r="Y33" s="796">
        <v>10359</v>
      </c>
      <c r="Z33" s="796">
        <v>11001</v>
      </c>
      <c r="AA33" s="796">
        <v>9354</v>
      </c>
      <c r="AB33" s="796">
        <v>8303</v>
      </c>
      <c r="AC33" s="548">
        <v>6816</v>
      </c>
      <c r="AD33" s="533">
        <v>6994</v>
      </c>
      <c r="AE33" s="533">
        <v>6742</v>
      </c>
      <c r="AF33" s="812"/>
    </row>
    <row r="34" spans="1:32">
      <c r="A34" s="538"/>
      <c r="B34" s="538" t="s">
        <v>62</v>
      </c>
      <c r="C34" s="801">
        <f t="shared" ref="C34" si="32">SUM(C28:C33)</f>
        <v>0</v>
      </c>
      <c r="D34" s="801">
        <f t="shared" ref="D34" si="33">SUM(D28:D33)</f>
        <v>0</v>
      </c>
      <c r="E34" s="801">
        <f t="shared" ref="E34" si="34">SUM(E28:E33)</f>
        <v>0</v>
      </c>
      <c r="F34" s="801">
        <f t="shared" ref="F34" si="35">SUM(F28:F33)</f>
        <v>0</v>
      </c>
      <c r="G34" s="801">
        <f t="shared" ref="G34" si="36">SUM(G28:G33)</f>
        <v>0</v>
      </c>
      <c r="H34" s="801">
        <f t="shared" ref="H34" si="37">SUM(H28:H33)</f>
        <v>0</v>
      </c>
      <c r="I34" s="801">
        <f t="shared" ref="I34" si="38">SUM(I28:I33)</f>
        <v>0</v>
      </c>
      <c r="J34" s="801">
        <f t="shared" ref="J34" si="39">SUM(J28:J33)</f>
        <v>0</v>
      </c>
      <c r="K34" s="801">
        <f t="shared" ref="K34" si="40">SUM(K28:K33)</f>
        <v>0</v>
      </c>
      <c r="L34" s="801">
        <f t="shared" ref="L34" si="41">SUM(L28:L33)</f>
        <v>0</v>
      </c>
      <c r="M34" s="801">
        <f t="shared" ref="M34" si="42">SUM(M28:M33)</f>
        <v>0</v>
      </c>
      <c r="N34" s="801">
        <f t="shared" ref="N34" si="43">SUM(N28:N33)</f>
        <v>0</v>
      </c>
      <c r="O34" s="801">
        <f t="shared" ref="O34:P34" si="44">SUM(O28:O33)</f>
        <v>0</v>
      </c>
      <c r="P34" s="801">
        <f t="shared" si="44"/>
        <v>0</v>
      </c>
      <c r="Q34" s="539">
        <v>391177</v>
      </c>
      <c r="R34" s="539">
        <v>526412</v>
      </c>
      <c r="S34" s="539">
        <v>652777</v>
      </c>
      <c r="T34" s="539">
        <v>825136</v>
      </c>
      <c r="U34" s="539">
        <v>928177</v>
      </c>
      <c r="V34" s="539">
        <v>1101864</v>
      </c>
      <c r="W34" s="539">
        <v>1338503</v>
      </c>
      <c r="X34" s="539">
        <v>1381594</v>
      </c>
      <c r="Y34" s="539">
        <v>1542002</v>
      </c>
      <c r="Z34" s="539">
        <v>1400661</v>
      </c>
      <c r="AA34" s="539">
        <v>1497159</v>
      </c>
      <c r="AB34" s="539">
        <v>1585663</v>
      </c>
      <c r="AC34" s="550">
        <f>SUM(AC28:AC33)</f>
        <v>1619268</v>
      </c>
      <c r="AD34" s="550">
        <f>SUM(AD28:AD33)</f>
        <v>1677701</v>
      </c>
      <c r="AE34" s="550">
        <f>SUM(AE28:AE33)</f>
        <v>1828054</v>
      </c>
      <c r="AF34" s="812"/>
    </row>
    <row r="35" spans="1:32">
      <c r="A35" s="530" t="s">
        <v>170</v>
      </c>
      <c r="B35" s="530" t="s">
        <v>66</v>
      </c>
      <c r="C35" s="530">
        <v>31230</v>
      </c>
      <c r="D35" s="530">
        <v>33249</v>
      </c>
      <c r="E35" s="530">
        <v>35809</v>
      </c>
      <c r="F35" s="530">
        <v>44660</v>
      </c>
      <c r="G35" s="532">
        <v>44750</v>
      </c>
      <c r="H35" s="532">
        <v>50607</v>
      </c>
      <c r="I35" s="532">
        <v>52621</v>
      </c>
      <c r="J35" s="532">
        <v>49762</v>
      </c>
      <c r="K35" s="532">
        <v>52459</v>
      </c>
      <c r="L35" s="532">
        <v>53993</v>
      </c>
      <c r="M35" s="532">
        <v>58967</v>
      </c>
      <c r="N35" s="532">
        <v>64746</v>
      </c>
      <c r="O35" s="532">
        <v>64837</v>
      </c>
      <c r="P35" s="532">
        <v>72839</v>
      </c>
      <c r="Q35" s="532">
        <v>78824</v>
      </c>
      <c r="R35" s="532">
        <v>80314</v>
      </c>
      <c r="S35" s="532">
        <v>85195</v>
      </c>
      <c r="T35" s="532">
        <v>87314</v>
      </c>
      <c r="U35" s="532">
        <v>91679</v>
      </c>
      <c r="V35" s="532">
        <v>93203</v>
      </c>
      <c r="W35" s="532">
        <v>97269</v>
      </c>
      <c r="X35" s="532">
        <v>96995</v>
      </c>
      <c r="Y35" s="532">
        <v>95699</v>
      </c>
      <c r="Z35" s="532">
        <v>96756</v>
      </c>
      <c r="AA35" s="532">
        <v>92746</v>
      </c>
      <c r="AB35" s="532">
        <v>88324</v>
      </c>
      <c r="AC35" s="551">
        <v>89746</v>
      </c>
      <c r="AD35" s="813">
        <v>88696</v>
      </c>
      <c r="AE35" s="813">
        <v>87995</v>
      </c>
      <c r="AF35" s="812"/>
    </row>
    <row r="36" spans="1:32">
      <c r="A36" s="533"/>
      <c r="B36" s="791" t="s">
        <v>55</v>
      </c>
      <c r="C36" s="791">
        <v>39037</v>
      </c>
      <c r="D36" s="791">
        <v>41753</v>
      </c>
      <c r="E36" s="791">
        <v>44133</v>
      </c>
      <c r="F36" s="791">
        <v>47821</v>
      </c>
      <c r="G36" s="792">
        <v>51029</v>
      </c>
      <c r="H36" s="792">
        <v>60555</v>
      </c>
      <c r="I36" s="792">
        <v>58739</v>
      </c>
      <c r="J36" s="792">
        <v>60350</v>
      </c>
      <c r="K36" s="792">
        <v>64812</v>
      </c>
      <c r="L36" s="792">
        <v>71994</v>
      </c>
      <c r="M36" s="792">
        <v>76839</v>
      </c>
      <c r="N36" s="792">
        <v>78794</v>
      </c>
      <c r="O36" s="792">
        <v>77423</v>
      </c>
      <c r="P36" s="792">
        <v>82216</v>
      </c>
      <c r="Q36" s="792">
        <v>84017</v>
      </c>
      <c r="R36" s="792">
        <v>85184</v>
      </c>
      <c r="S36" s="792">
        <v>88686</v>
      </c>
      <c r="T36" s="792">
        <v>84429</v>
      </c>
      <c r="U36" s="792">
        <v>86691</v>
      </c>
      <c r="V36" s="792">
        <v>86359</v>
      </c>
      <c r="W36" s="792">
        <v>86021</v>
      </c>
      <c r="X36" s="792">
        <v>86113</v>
      </c>
      <c r="Y36" s="792">
        <v>85322</v>
      </c>
      <c r="Z36" s="792">
        <v>86275</v>
      </c>
      <c r="AA36" s="792">
        <v>80029</v>
      </c>
      <c r="AB36" s="792">
        <v>75889</v>
      </c>
      <c r="AC36" s="548">
        <v>75998</v>
      </c>
      <c r="AD36" s="814">
        <v>73236</v>
      </c>
      <c r="AE36" s="814">
        <v>72350</v>
      </c>
      <c r="AF36" s="812"/>
    </row>
    <row r="37" spans="1:32">
      <c r="A37" s="533"/>
      <c r="B37" s="791" t="s">
        <v>56</v>
      </c>
      <c r="C37" s="793"/>
      <c r="D37" s="793"/>
      <c r="E37" s="793"/>
      <c r="F37" s="793"/>
      <c r="G37" s="794"/>
      <c r="H37" s="794"/>
      <c r="I37" s="794"/>
      <c r="J37" s="794"/>
      <c r="K37" s="794"/>
      <c r="L37" s="794"/>
      <c r="M37" s="794"/>
      <c r="N37" s="792">
        <v>22976</v>
      </c>
      <c r="O37" s="792">
        <v>22388</v>
      </c>
      <c r="P37" s="792">
        <v>24022</v>
      </c>
      <c r="Q37" s="792">
        <v>26040</v>
      </c>
      <c r="R37" s="792">
        <v>27289</v>
      </c>
      <c r="S37" s="792">
        <v>29481</v>
      </c>
      <c r="T37" s="792">
        <v>33039</v>
      </c>
      <c r="U37" s="792">
        <v>36744</v>
      </c>
      <c r="V37" s="792">
        <v>38205</v>
      </c>
      <c r="W37" s="792">
        <v>37341</v>
      </c>
      <c r="X37" s="792">
        <v>35565</v>
      </c>
      <c r="Y37" s="792">
        <v>33961</v>
      </c>
      <c r="Z37" s="792">
        <v>37218</v>
      </c>
      <c r="AA37" s="792">
        <v>38314</v>
      </c>
      <c r="AB37" s="792">
        <v>37092</v>
      </c>
      <c r="AC37" s="548">
        <v>41817</v>
      </c>
      <c r="AD37" s="814">
        <v>43253</v>
      </c>
      <c r="AE37" s="814">
        <v>44432</v>
      </c>
      <c r="AF37" s="812"/>
    </row>
    <row r="38" spans="1:32">
      <c r="A38" s="533"/>
      <c r="B38" s="791" t="s">
        <v>57</v>
      </c>
      <c r="C38" s="793"/>
      <c r="D38" s="793"/>
      <c r="E38" s="793"/>
      <c r="F38" s="793"/>
      <c r="G38" s="794"/>
      <c r="H38" s="794"/>
      <c r="I38" s="794"/>
      <c r="J38" s="794"/>
      <c r="K38" s="794"/>
      <c r="L38" s="794"/>
      <c r="M38" s="794"/>
      <c r="N38" s="794"/>
      <c r="O38" s="792">
        <v>5835</v>
      </c>
      <c r="P38" s="792">
        <v>6936</v>
      </c>
      <c r="Q38" s="792">
        <v>8162</v>
      </c>
      <c r="R38" s="792">
        <v>10545</v>
      </c>
      <c r="S38" s="792">
        <v>13273</v>
      </c>
      <c r="T38" s="792">
        <v>14702</v>
      </c>
      <c r="U38" s="792">
        <v>18040</v>
      </c>
      <c r="V38" s="792">
        <v>21386</v>
      </c>
      <c r="W38" s="792">
        <v>26026</v>
      </c>
      <c r="X38" s="792">
        <v>29674</v>
      </c>
      <c r="Y38" s="792">
        <v>32615</v>
      </c>
      <c r="Z38" s="792">
        <v>39906</v>
      </c>
      <c r="AA38" s="792">
        <v>42115</v>
      </c>
      <c r="AB38" s="792">
        <v>44865</v>
      </c>
      <c r="AC38" s="548">
        <v>48648</v>
      </c>
      <c r="AD38" s="814">
        <v>49721</v>
      </c>
      <c r="AE38" s="814">
        <v>53848</v>
      </c>
      <c r="AF38" s="812"/>
    </row>
    <row r="39" spans="1:32">
      <c r="A39" s="533"/>
      <c r="B39" s="791" t="s">
        <v>58</v>
      </c>
      <c r="C39" s="791">
        <v>106892</v>
      </c>
      <c r="D39" s="791">
        <v>120445</v>
      </c>
      <c r="E39" s="791">
        <v>135742</v>
      </c>
      <c r="F39" s="791">
        <v>149825</v>
      </c>
      <c r="G39" s="792">
        <v>163699</v>
      </c>
      <c r="H39" s="792">
        <v>174709</v>
      </c>
      <c r="I39" s="792">
        <v>184245</v>
      </c>
      <c r="J39" s="792">
        <v>188941</v>
      </c>
      <c r="K39" s="792">
        <v>189536</v>
      </c>
      <c r="L39" s="792">
        <v>207867</v>
      </c>
      <c r="M39" s="792">
        <v>221784</v>
      </c>
      <c r="N39" s="792">
        <v>241347</v>
      </c>
      <c r="O39" s="792">
        <v>219099</v>
      </c>
      <c r="P39" s="792">
        <v>225778</v>
      </c>
      <c r="Q39" s="792">
        <v>241977</v>
      </c>
      <c r="R39" s="792">
        <v>247750</v>
      </c>
      <c r="S39" s="792">
        <v>268782</v>
      </c>
      <c r="T39" s="792">
        <v>293588</v>
      </c>
      <c r="U39" s="792">
        <v>285096</v>
      </c>
      <c r="V39" s="792">
        <v>288335</v>
      </c>
      <c r="W39" s="792">
        <v>295327</v>
      </c>
      <c r="X39" s="792">
        <v>293904</v>
      </c>
      <c r="Y39" s="792">
        <v>285095</v>
      </c>
      <c r="Z39" s="792">
        <v>292998</v>
      </c>
      <c r="AA39" s="792">
        <v>277297</v>
      </c>
      <c r="AB39" s="792">
        <v>281996</v>
      </c>
      <c r="AC39" s="548">
        <v>273585</v>
      </c>
      <c r="AD39" s="814">
        <v>275889</v>
      </c>
      <c r="AE39" s="814">
        <v>270066</v>
      </c>
      <c r="AF39" s="812"/>
    </row>
    <row r="40" spans="1:32">
      <c r="A40" s="533"/>
      <c r="B40" s="795" t="s">
        <v>59</v>
      </c>
      <c r="C40" s="795">
        <v>17567</v>
      </c>
      <c r="D40" s="795">
        <v>19810</v>
      </c>
      <c r="E40" s="795">
        <v>21910</v>
      </c>
      <c r="F40" s="795">
        <v>27881</v>
      </c>
      <c r="G40" s="796">
        <v>36448</v>
      </c>
      <c r="H40" s="796">
        <v>40637</v>
      </c>
      <c r="I40" s="796">
        <v>38840</v>
      </c>
      <c r="J40" s="796">
        <v>43388</v>
      </c>
      <c r="K40" s="796">
        <v>50136</v>
      </c>
      <c r="L40" s="796">
        <v>56879</v>
      </c>
      <c r="M40" s="796">
        <v>68377</v>
      </c>
      <c r="N40" s="796">
        <v>48291</v>
      </c>
      <c r="O40" s="796">
        <v>66919</v>
      </c>
      <c r="P40" s="796">
        <v>60761</v>
      </c>
      <c r="Q40" s="796">
        <v>51206</v>
      </c>
      <c r="R40" s="796">
        <v>52500</v>
      </c>
      <c r="S40" s="796">
        <v>57398</v>
      </c>
      <c r="T40" s="796">
        <v>58540</v>
      </c>
      <c r="U40" s="796">
        <v>60552</v>
      </c>
      <c r="V40" s="796">
        <v>61922</v>
      </c>
      <c r="W40" s="796">
        <v>63587</v>
      </c>
      <c r="X40" s="796">
        <v>64705</v>
      </c>
      <c r="Y40" s="796">
        <v>64449</v>
      </c>
      <c r="Z40" s="796">
        <v>68300</v>
      </c>
      <c r="AA40" s="796">
        <v>66674</v>
      </c>
      <c r="AB40" s="796">
        <v>63307</v>
      </c>
      <c r="AC40" s="548">
        <v>64546</v>
      </c>
      <c r="AD40" s="814">
        <v>67295</v>
      </c>
      <c r="AE40" s="814">
        <v>74496</v>
      </c>
      <c r="AF40" s="812"/>
    </row>
    <row r="41" spans="1:32">
      <c r="A41" s="538"/>
      <c r="B41" s="538" t="s">
        <v>62</v>
      </c>
      <c r="C41" s="539">
        <f t="shared" ref="C41" si="45">SUM(C35:C40)</f>
        <v>194726</v>
      </c>
      <c r="D41" s="539">
        <f t="shared" ref="D41" si="46">SUM(D35:D40)</f>
        <v>215257</v>
      </c>
      <c r="E41" s="539">
        <f t="shared" ref="E41" si="47">SUM(E35:E40)</f>
        <v>237594</v>
      </c>
      <c r="F41" s="539">
        <f t="shared" ref="F41" si="48">SUM(F35:F40)</f>
        <v>270187</v>
      </c>
      <c r="G41" s="539">
        <f t="shared" ref="G41" si="49">SUM(G35:G40)</f>
        <v>295926</v>
      </c>
      <c r="H41" s="539">
        <f t="shared" ref="H41" si="50">SUM(H35:H40)</f>
        <v>326508</v>
      </c>
      <c r="I41" s="539">
        <f t="shared" ref="I41" si="51">SUM(I35:I40)</f>
        <v>334445</v>
      </c>
      <c r="J41" s="539">
        <f t="shared" ref="J41" si="52">SUM(J35:J40)</f>
        <v>342441</v>
      </c>
      <c r="K41" s="539">
        <f t="shared" ref="K41" si="53">SUM(K35:K40)</f>
        <v>356943</v>
      </c>
      <c r="L41" s="539">
        <f t="shared" ref="L41" si="54">SUM(L35:L40)</f>
        <v>390733</v>
      </c>
      <c r="M41" s="539">
        <f t="shared" ref="M41" si="55">SUM(M35:M40)</f>
        <v>425967</v>
      </c>
      <c r="N41" s="539">
        <f t="shared" ref="N41" si="56">SUM(N35:N40)</f>
        <v>456154</v>
      </c>
      <c r="O41" s="539">
        <f t="shared" ref="O41" si="57">SUM(O35:O40)</f>
        <v>456501</v>
      </c>
      <c r="P41" s="539">
        <f t="shared" ref="P41" si="58">SUM(P35:P40)</f>
        <v>472552</v>
      </c>
      <c r="Q41" s="539">
        <v>490226</v>
      </c>
      <c r="R41" s="539">
        <v>503582</v>
      </c>
      <c r="S41" s="539">
        <v>542815</v>
      </c>
      <c r="T41" s="539">
        <v>571612</v>
      </c>
      <c r="U41" s="539">
        <v>578802</v>
      </c>
      <c r="V41" s="539">
        <v>589410</v>
      </c>
      <c r="W41" s="539">
        <v>605571</v>
      </c>
      <c r="X41" s="539">
        <v>606956</v>
      </c>
      <c r="Y41" s="539">
        <v>597141</v>
      </c>
      <c r="Z41" s="539">
        <v>621453</v>
      </c>
      <c r="AA41" s="539">
        <v>597175</v>
      </c>
      <c r="AB41" s="539">
        <v>591473</v>
      </c>
      <c r="AC41" s="550">
        <f>SUM(AC35:AC40)</f>
        <v>594340</v>
      </c>
      <c r="AD41" s="550">
        <f>SUM(AD35:AD40)</f>
        <v>598090</v>
      </c>
      <c r="AE41" s="550">
        <f>SUM(AE35:AE40)</f>
        <v>603187</v>
      </c>
      <c r="AF41" s="812"/>
    </row>
    <row r="42" spans="1:32">
      <c r="AC42" s="123"/>
    </row>
    <row r="43" spans="1:32">
      <c r="AC43" s="123"/>
    </row>
    <row r="44" spans="1:32">
      <c r="A44" s="530" t="s">
        <v>94</v>
      </c>
      <c r="B44" s="530" t="s">
        <v>61</v>
      </c>
      <c r="C44" s="530"/>
      <c r="D44" s="530"/>
      <c r="E44" s="530"/>
      <c r="F44" s="530"/>
      <c r="G44" s="530">
        <v>2000</v>
      </c>
      <c r="H44" s="530">
        <f>G44+1</f>
        <v>2001</v>
      </c>
      <c r="I44" s="530">
        <f t="shared" ref="I44:AD44" si="59">H44+1</f>
        <v>2002</v>
      </c>
      <c r="J44" s="530">
        <f t="shared" si="59"/>
        <v>2003</v>
      </c>
      <c r="K44" s="530">
        <f t="shared" si="59"/>
        <v>2004</v>
      </c>
      <c r="L44" s="530">
        <f t="shared" si="59"/>
        <v>2005</v>
      </c>
      <c r="M44" s="530">
        <f t="shared" si="59"/>
        <v>2006</v>
      </c>
      <c r="N44" s="530">
        <f t="shared" si="59"/>
        <v>2007</v>
      </c>
      <c r="O44" s="530">
        <f t="shared" si="59"/>
        <v>2008</v>
      </c>
      <c r="P44" s="530">
        <f t="shared" si="59"/>
        <v>2009</v>
      </c>
      <c r="Q44" s="530">
        <f t="shared" si="59"/>
        <v>2010</v>
      </c>
      <c r="R44" s="530">
        <f t="shared" si="59"/>
        <v>2011</v>
      </c>
      <c r="S44" s="530">
        <f t="shared" si="59"/>
        <v>2012</v>
      </c>
      <c r="T44" s="530">
        <f t="shared" si="59"/>
        <v>2013</v>
      </c>
      <c r="U44" s="530">
        <f t="shared" si="59"/>
        <v>2014</v>
      </c>
      <c r="V44" s="530">
        <f t="shared" si="59"/>
        <v>2015</v>
      </c>
      <c r="W44" s="530">
        <f t="shared" si="59"/>
        <v>2016</v>
      </c>
      <c r="X44" s="530">
        <f t="shared" si="59"/>
        <v>2017</v>
      </c>
      <c r="Y44" s="530">
        <f t="shared" si="59"/>
        <v>2018</v>
      </c>
      <c r="Z44" s="530">
        <f t="shared" si="59"/>
        <v>2019</v>
      </c>
      <c r="AA44" s="530">
        <f t="shared" si="59"/>
        <v>2020</v>
      </c>
      <c r="AB44" s="530">
        <f t="shared" si="59"/>
        <v>2021</v>
      </c>
      <c r="AC44" s="547">
        <f t="shared" si="59"/>
        <v>2022</v>
      </c>
      <c r="AD44" s="530">
        <f t="shared" si="59"/>
        <v>2023</v>
      </c>
      <c r="AE44" s="530">
        <v>2024</v>
      </c>
    </row>
    <row r="45" spans="1:32">
      <c r="A45" s="530" t="s">
        <v>186</v>
      </c>
      <c r="B45" s="802" t="s">
        <v>232</v>
      </c>
      <c r="C45" s="803">
        <v>31490</v>
      </c>
      <c r="D45" s="803">
        <v>36510</v>
      </c>
      <c r="E45" s="803">
        <v>41490</v>
      </c>
      <c r="F45" s="803">
        <v>45028</v>
      </c>
      <c r="G45" s="803">
        <v>49785</v>
      </c>
      <c r="H45" s="803">
        <v>53737</v>
      </c>
      <c r="I45" s="803">
        <v>53475</v>
      </c>
      <c r="J45" s="803">
        <v>58315</v>
      </c>
      <c r="K45" s="803">
        <v>61207</v>
      </c>
      <c r="L45" s="803">
        <v>63704</v>
      </c>
      <c r="M45" s="803">
        <v>65776</v>
      </c>
      <c r="N45" s="803">
        <v>68991</v>
      </c>
      <c r="O45" s="803">
        <v>72337</v>
      </c>
      <c r="P45" s="803">
        <v>68597</v>
      </c>
      <c r="Q45" s="803">
        <v>74408</v>
      </c>
      <c r="R45" s="803">
        <v>71904</v>
      </c>
      <c r="S45" s="803">
        <v>72965</v>
      </c>
      <c r="T45" s="803">
        <v>73420</v>
      </c>
      <c r="U45" s="803">
        <v>75180</v>
      </c>
      <c r="V45" s="803">
        <v>76097</v>
      </c>
      <c r="W45" s="803">
        <v>76052</v>
      </c>
      <c r="X45" s="803">
        <v>78493</v>
      </c>
      <c r="Y45" s="803">
        <v>81594</v>
      </c>
      <c r="Z45" s="803">
        <v>82554</v>
      </c>
      <c r="AA45" s="803">
        <v>81531</v>
      </c>
      <c r="AB45" s="803">
        <v>83894</v>
      </c>
      <c r="AC45" s="551">
        <v>84225</v>
      </c>
      <c r="AD45" s="813">
        <v>85748</v>
      </c>
      <c r="AE45" s="813">
        <v>86296</v>
      </c>
    </row>
    <row r="46" spans="1:32">
      <c r="A46" s="533"/>
      <c r="B46" s="804" t="s">
        <v>233</v>
      </c>
      <c r="C46" s="805">
        <v>32410</v>
      </c>
      <c r="D46" s="805">
        <v>36394</v>
      </c>
      <c r="E46" s="805">
        <v>40897</v>
      </c>
      <c r="F46" s="805">
        <v>44294</v>
      </c>
      <c r="G46" s="805">
        <v>50924</v>
      </c>
      <c r="H46" s="805">
        <v>56288</v>
      </c>
      <c r="I46" s="805">
        <v>52850</v>
      </c>
      <c r="J46" s="805">
        <v>58476</v>
      </c>
      <c r="K46" s="805">
        <v>62568</v>
      </c>
      <c r="L46" s="805">
        <v>65050</v>
      </c>
      <c r="M46" s="805">
        <v>69653</v>
      </c>
      <c r="N46" s="805">
        <v>72448</v>
      </c>
      <c r="O46" s="805">
        <v>74307</v>
      </c>
      <c r="P46" s="805">
        <v>65945</v>
      </c>
      <c r="Q46" s="805">
        <v>76553</v>
      </c>
      <c r="R46" s="805">
        <v>70906</v>
      </c>
      <c r="S46" s="805">
        <v>75529</v>
      </c>
      <c r="T46" s="805">
        <v>74449</v>
      </c>
      <c r="U46" s="805">
        <v>76801</v>
      </c>
      <c r="V46" s="805">
        <v>83925</v>
      </c>
      <c r="W46" s="805">
        <v>83301</v>
      </c>
      <c r="X46" s="805">
        <v>88101</v>
      </c>
      <c r="Y46" s="805">
        <v>92887</v>
      </c>
      <c r="Z46" s="805">
        <v>98978</v>
      </c>
      <c r="AA46" s="805">
        <v>98886</v>
      </c>
      <c r="AB46" s="805">
        <v>104915</v>
      </c>
      <c r="AC46" s="548">
        <v>109402</v>
      </c>
      <c r="AD46" s="814">
        <v>113527</v>
      </c>
      <c r="AE46" s="814">
        <v>112968</v>
      </c>
    </row>
    <row r="47" spans="1:32">
      <c r="A47" s="533"/>
      <c r="B47" s="533" t="s">
        <v>62</v>
      </c>
      <c r="C47" s="540">
        <f t="shared" ref="C47" si="60">C45+C46</f>
        <v>63900</v>
      </c>
      <c r="D47" s="540">
        <f t="shared" ref="D47" si="61">D45+D46</f>
        <v>72904</v>
      </c>
      <c r="E47" s="540">
        <f t="shared" ref="E47" si="62">E45+E46</f>
        <v>82387</v>
      </c>
      <c r="F47" s="540">
        <f t="shared" ref="F47" si="63">F45+F46</f>
        <v>89322</v>
      </c>
      <c r="G47" s="540">
        <f t="shared" ref="G47:AB47" si="64">G45+G46</f>
        <v>100709</v>
      </c>
      <c r="H47" s="540">
        <f t="shared" si="64"/>
        <v>110025</v>
      </c>
      <c r="I47" s="540">
        <f t="shared" si="64"/>
        <v>106325</v>
      </c>
      <c r="J47" s="540">
        <f t="shared" si="64"/>
        <v>116791</v>
      </c>
      <c r="K47" s="540">
        <f t="shared" si="64"/>
        <v>123775</v>
      </c>
      <c r="L47" s="540">
        <f t="shared" si="64"/>
        <v>128754</v>
      </c>
      <c r="M47" s="540">
        <f t="shared" si="64"/>
        <v>135429</v>
      </c>
      <c r="N47" s="540">
        <f t="shared" si="64"/>
        <v>141439</v>
      </c>
      <c r="O47" s="540">
        <f t="shared" si="64"/>
        <v>146644</v>
      </c>
      <c r="P47" s="540">
        <f t="shared" si="64"/>
        <v>134542</v>
      </c>
      <c r="Q47" s="540">
        <f t="shared" si="64"/>
        <v>150961</v>
      </c>
      <c r="R47" s="540">
        <f t="shared" si="64"/>
        <v>142810</v>
      </c>
      <c r="S47" s="540">
        <f t="shared" si="64"/>
        <v>148494</v>
      </c>
      <c r="T47" s="540">
        <f t="shared" si="64"/>
        <v>147869</v>
      </c>
      <c r="U47" s="540">
        <f t="shared" si="64"/>
        <v>151981</v>
      </c>
      <c r="V47" s="540">
        <f t="shared" si="64"/>
        <v>160022</v>
      </c>
      <c r="W47" s="540">
        <f t="shared" si="64"/>
        <v>159353</v>
      </c>
      <c r="X47" s="540">
        <f t="shared" si="64"/>
        <v>166594</v>
      </c>
      <c r="Y47" s="540">
        <f t="shared" si="64"/>
        <v>174481</v>
      </c>
      <c r="Z47" s="540">
        <f t="shared" si="64"/>
        <v>181532</v>
      </c>
      <c r="AA47" s="540">
        <f t="shared" si="64"/>
        <v>180417</v>
      </c>
      <c r="AB47" s="540">
        <f t="shared" si="64"/>
        <v>188809</v>
      </c>
      <c r="AC47" s="810">
        <f t="shared" ref="AC47:AE47" si="65">AC45+AC46</f>
        <v>193627</v>
      </c>
      <c r="AD47" s="810">
        <f t="shared" si="65"/>
        <v>199275</v>
      </c>
      <c r="AE47" s="810">
        <f t="shared" si="65"/>
        <v>199264</v>
      </c>
    </row>
    <row r="48" spans="1:32">
      <c r="A48" s="530" t="s">
        <v>129</v>
      </c>
      <c r="B48" s="802" t="s">
        <v>232</v>
      </c>
      <c r="C48" s="803">
        <v>340101</v>
      </c>
      <c r="D48" s="803">
        <v>350807</v>
      </c>
      <c r="E48" s="803">
        <v>359381</v>
      </c>
      <c r="F48" s="803">
        <v>360180</v>
      </c>
      <c r="G48" s="803">
        <v>387364</v>
      </c>
      <c r="H48" s="803">
        <v>386767</v>
      </c>
      <c r="I48" s="803">
        <v>369458</v>
      </c>
      <c r="J48" s="803">
        <v>362711</v>
      </c>
      <c r="K48" s="803">
        <v>368416</v>
      </c>
      <c r="L48" s="803">
        <v>367960</v>
      </c>
      <c r="M48" s="803">
        <v>347060</v>
      </c>
      <c r="N48" s="803">
        <v>333498</v>
      </c>
      <c r="O48" s="803">
        <v>330110</v>
      </c>
      <c r="P48" s="803">
        <v>295315</v>
      </c>
      <c r="Q48" s="803">
        <v>290081</v>
      </c>
      <c r="R48" s="803">
        <v>287580</v>
      </c>
      <c r="S48" s="803">
        <v>287013</v>
      </c>
      <c r="T48" s="803">
        <v>271731</v>
      </c>
      <c r="U48" s="803">
        <v>265959</v>
      </c>
      <c r="V48" s="803">
        <v>258839</v>
      </c>
      <c r="W48" s="803">
        <v>260244</v>
      </c>
      <c r="X48" s="803">
        <v>260290</v>
      </c>
      <c r="Y48" s="803">
        <v>253630</v>
      </c>
      <c r="Z48" s="803">
        <v>245372</v>
      </c>
      <c r="AA48" s="803">
        <v>227348</v>
      </c>
      <c r="AB48" s="803">
        <v>222452</v>
      </c>
      <c r="AC48" s="551">
        <v>218813</v>
      </c>
      <c r="AD48" s="813">
        <v>228936</v>
      </c>
      <c r="AE48" s="813">
        <v>237169</v>
      </c>
    </row>
    <row r="49" spans="1:31">
      <c r="A49" s="533"/>
      <c r="B49" s="804" t="s">
        <v>233</v>
      </c>
      <c r="C49" s="805">
        <v>33896</v>
      </c>
      <c r="D49" s="805">
        <v>39157</v>
      </c>
      <c r="E49" s="805">
        <v>44213</v>
      </c>
      <c r="F49" s="805">
        <v>45475</v>
      </c>
      <c r="G49" s="805">
        <v>49501</v>
      </c>
      <c r="H49" s="805">
        <v>52408</v>
      </c>
      <c r="I49" s="805">
        <v>51516</v>
      </c>
      <c r="J49" s="805">
        <v>50381</v>
      </c>
      <c r="K49" s="805">
        <v>54665</v>
      </c>
      <c r="L49" s="805">
        <v>59118</v>
      </c>
      <c r="M49" s="805">
        <v>61614</v>
      </c>
      <c r="N49" s="805">
        <v>62793</v>
      </c>
      <c r="O49" s="805">
        <v>60892</v>
      </c>
      <c r="P49" s="805">
        <v>53281</v>
      </c>
      <c r="Q49" s="805">
        <v>54517</v>
      </c>
      <c r="R49" s="805">
        <v>55030</v>
      </c>
      <c r="S49" s="805">
        <v>55783</v>
      </c>
      <c r="T49" s="805">
        <v>56705</v>
      </c>
      <c r="U49" s="805">
        <v>60030</v>
      </c>
      <c r="V49" s="805">
        <v>59882</v>
      </c>
      <c r="W49" s="805">
        <v>58137</v>
      </c>
      <c r="X49" s="805">
        <v>58189</v>
      </c>
      <c r="Y49" s="805">
        <v>59937</v>
      </c>
      <c r="Z49" s="805">
        <v>62597</v>
      </c>
      <c r="AA49" s="805">
        <v>61124</v>
      </c>
      <c r="AB49" s="805">
        <v>66748</v>
      </c>
      <c r="AC49" s="548">
        <v>70717</v>
      </c>
      <c r="AD49" s="814">
        <v>71197</v>
      </c>
      <c r="AE49" s="814">
        <v>69686</v>
      </c>
    </row>
    <row r="50" spans="1:31">
      <c r="A50" s="533"/>
      <c r="B50" s="533" t="s">
        <v>62</v>
      </c>
      <c r="C50" s="540">
        <f t="shared" ref="C50" si="66">C48+C49</f>
        <v>373997</v>
      </c>
      <c r="D50" s="540">
        <f t="shared" ref="D50" si="67">D48+D49</f>
        <v>389964</v>
      </c>
      <c r="E50" s="540">
        <f t="shared" ref="E50" si="68">E48+E49</f>
        <v>403594</v>
      </c>
      <c r="F50" s="540">
        <f t="shared" ref="F50" si="69">F48+F49</f>
        <v>405655</v>
      </c>
      <c r="G50" s="540">
        <f t="shared" ref="G50" si="70">G48+G49</f>
        <v>436865</v>
      </c>
      <c r="H50" s="540">
        <f t="shared" ref="H50" si="71">H48+H49</f>
        <v>439175</v>
      </c>
      <c r="I50" s="540">
        <f t="shared" ref="I50" si="72">I48+I49</f>
        <v>420974</v>
      </c>
      <c r="J50" s="540">
        <f t="shared" ref="J50" si="73">J48+J49</f>
        <v>413092</v>
      </c>
      <c r="K50" s="540">
        <f t="shared" ref="K50" si="74">K48+K49</f>
        <v>423081</v>
      </c>
      <c r="L50" s="540">
        <f t="shared" ref="L50" si="75">L48+L49</f>
        <v>427078</v>
      </c>
      <c r="M50" s="540">
        <f t="shared" ref="M50" si="76">M48+M49</f>
        <v>408674</v>
      </c>
      <c r="N50" s="540">
        <f t="shared" ref="N50" si="77">N48+N49</f>
        <v>396291</v>
      </c>
      <c r="O50" s="540">
        <f t="shared" ref="O50" si="78">O48+O49</f>
        <v>391002</v>
      </c>
      <c r="P50" s="540">
        <f t="shared" ref="P50" si="79">P48+P49</f>
        <v>348596</v>
      </c>
      <c r="Q50" s="540">
        <f t="shared" ref="Q50" si="80">Q48+Q49</f>
        <v>344598</v>
      </c>
      <c r="R50" s="540">
        <f t="shared" ref="R50" si="81">R48+R49</f>
        <v>342610</v>
      </c>
      <c r="S50" s="540">
        <f t="shared" ref="S50" si="82">S48+S49</f>
        <v>342796</v>
      </c>
      <c r="T50" s="540">
        <f t="shared" ref="T50" si="83">T48+T49</f>
        <v>328436</v>
      </c>
      <c r="U50" s="540">
        <f t="shared" ref="U50" si="84">U48+U49</f>
        <v>325989</v>
      </c>
      <c r="V50" s="540">
        <f t="shared" ref="V50" si="85">V48+V49</f>
        <v>318721</v>
      </c>
      <c r="W50" s="540">
        <f t="shared" ref="W50" si="86">W48+W49</f>
        <v>318381</v>
      </c>
      <c r="X50" s="540">
        <f t="shared" ref="X50" si="87">X48+X49</f>
        <v>318479</v>
      </c>
      <c r="Y50" s="540">
        <f t="shared" ref="Y50" si="88">Y48+Y49</f>
        <v>313567</v>
      </c>
      <c r="Z50" s="540">
        <f t="shared" ref="Z50" si="89">Z48+Z49</f>
        <v>307969</v>
      </c>
      <c r="AA50" s="540">
        <f t="shared" ref="AA50:AB50" si="90">AA48+AA49</f>
        <v>288472</v>
      </c>
      <c r="AB50" s="540">
        <f t="shared" si="90"/>
        <v>289200</v>
      </c>
      <c r="AC50" s="810">
        <f t="shared" ref="AC50:AE50" si="91">AC48+AC49</f>
        <v>289530</v>
      </c>
      <c r="AD50" s="810">
        <f t="shared" si="91"/>
        <v>300133</v>
      </c>
      <c r="AE50" s="810">
        <f t="shared" si="91"/>
        <v>306855</v>
      </c>
    </row>
    <row r="51" spans="1:31">
      <c r="A51" s="530" t="s">
        <v>146</v>
      </c>
      <c r="B51" s="802" t="s">
        <v>232</v>
      </c>
      <c r="C51" s="806">
        <v>340101</v>
      </c>
      <c r="D51" s="806">
        <v>350807</v>
      </c>
      <c r="E51" s="806">
        <v>359381</v>
      </c>
      <c r="F51" s="806">
        <v>360180</v>
      </c>
      <c r="G51" s="806">
        <v>387364</v>
      </c>
      <c r="H51" s="806">
        <v>386767</v>
      </c>
      <c r="I51" s="806">
        <v>369458</v>
      </c>
      <c r="J51" s="806">
        <v>362711</v>
      </c>
      <c r="K51" s="806">
        <v>368416</v>
      </c>
      <c r="L51" s="806">
        <v>367960</v>
      </c>
      <c r="M51" s="806">
        <v>347060</v>
      </c>
      <c r="N51" s="803">
        <v>128701</v>
      </c>
      <c r="O51" s="803">
        <v>127114</v>
      </c>
      <c r="P51" s="803">
        <v>127316</v>
      </c>
      <c r="Q51" s="803">
        <v>131805</v>
      </c>
      <c r="R51" s="803">
        <v>138034</v>
      </c>
      <c r="S51" s="803">
        <v>148136</v>
      </c>
      <c r="T51" s="803">
        <v>159978</v>
      </c>
      <c r="U51" s="803">
        <v>164073</v>
      </c>
      <c r="V51" s="803">
        <v>167273</v>
      </c>
      <c r="W51" s="803">
        <v>163423</v>
      </c>
      <c r="X51" s="803">
        <v>159031</v>
      </c>
      <c r="Y51" s="803">
        <v>162576</v>
      </c>
      <c r="Z51" s="803">
        <v>171603</v>
      </c>
      <c r="AA51" s="803">
        <v>180477</v>
      </c>
      <c r="AB51" s="803">
        <v>186245</v>
      </c>
      <c r="AC51" s="551">
        <v>183748</v>
      </c>
      <c r="AD51" s="813">
        <v>191142</v>
      </c>
      <c r="AE51" s="813">
        <v>195786</v>
      </c>
    </row>
    <row r="52" spans="1:31">
      <c r="A52" s="533"/>
      <c r="B52" s="804" t="s">
        <v>233</v>
      </c>
      <c r="C52" s="807">
        <v>33896</v>
      </c>
      <c r="D52" s="807">
        <v>39157</v>
      </c>
      <c r="E52" s="807">
        <v>44213</v>
      </c>
      <c r="F52" s="807">
        <v>45475</v>
      </c>
      <c r="G52" s="807">
        <v>49501</v>
      </c>
      <c r="H52" s="807">
        <v>52408</v>
      </c>
      <c r="I52" s="807">
        <v>51516</v>
      </c>
      <c r="J52" s="807">
        <v>50381</v>
      </c>
      <c r="K52" s="807">
        <v>54665</v>
      </c>
      <c r="L52" s="807">
        <v>59118</v>
      </c>
      <c r="M52" s="807">
        <v>61614</v>
      </c>
      <c r="N52" s="805">
        <v>43768</v>
      </c>
      <c r="O52" s="805">
        <v>43518</v>
      </c>
      <c r="P52" s="805">
        <v>36207</v>
      </c>
      <c r="Q52" s="805">
        <v>38296</v>
      </c>
      <c r="R52" s="805">
        <v>40890</v>
      </c>
      <c r="S52" s="805">
        <v>40779</v>
      </c>
      <c r="T52" s="805">
        <v>44611</v>
      </c>
      <c r="U52" s="805">
        <v>46219</v>
      </c>
      <c r="V52" s="805">
        <v>46421</v>
      </c>
      <c r="W52" s="805">
        <v>45407</v>
      </c>
      <c r="X52" s="805">
        <v>45744</v>
      </c>
      <c r="Y52" s="805">
        <v>47416</v>
      </c>
      <c r="Z52" s="805">
        <v>47372</v>
      </c>
      <c r="AA52" s="805">
        <v>46282</v>
      </c>
      <c r="AB52" s="805">
        <v>51753</v>
      </c>
      <c r="AC52" s="548">
        <v>53885</v>
      </c>
      <c r="AD52" s="814">
        <v>52168</v>
      </c>
      <c r="AE52" s="814">
        <v>50459</v>
      </c>
    </row>
    <row r="53" spans="1:31">
      <c r="A53" s="533"/>
      <c r="B53" s="533" t="s">
        <v>62</v>
      </c>
      <c r="C53" s="808">
        <f t="shared" ref="C53" si="92">C51+C52</f>
        <v>373997</v>
      </c>
      <c r="D53" s="808">
        <f t="shared" ref="D53" si="93">D51+D52</f>
        <v>389964</v>
      </c>
      <c r="E53" s="808">
        <f t="shared" ref="E53" si="94">E51+E52</f>
        <v>403594</v>
      </c>
      <c r="F53" s="808">
        <f t="shared" ref="F53" si="95">F51+F52</f>
        <v>405655</v>
      </c>
      <c r="G53" s="808">
        <f t="shared" ref="G53" si="96">G51+G52</f>
        <v>436865</v>
      </c>
      <c r="H53" s="808">
        <f t="shared" ref="H53" si="97">H51+H52</f>
        <v>439175</v>
      </c>
      <c r="I53" s="808">
        <f t="shared" ref="I53" si="98">I51+I52</f>
        <v>420974</v>
      </c>
      <c r="J53" s="808">
        <f t="shared" ref="J53" si="99">J51+J52</f>
        <v>413092</v>
      </c>
      <c r="K53" s="808">
        <f t="shared" ref="K53" si="100">K51+K52</f>
        <v>423081</v>
      </c>
      <c r="L53" s="808">
        <f t="shared" ref="L53" si="101">L51+L52</f>
        <v>427078</v>
      </c>
      <c r="M53" s="808">
        <f t="shared" ref="M53" si="102">M51+M52</f>
        <v>408674</v>
      </c>
      <c r="N53" s="540">
        <f t="shared" ref="N53" si="103">N51+N52</f>
        <v>172469</v>
      </c>
      <c r="O53" s="540">
        <f t="shared" ref="O53" si="104">O51+O52</f>
        <v>170632</v>
      </c>
      <c r="P53" s="540">
        <f t="shared" ref="P53" si="105">P51+P52</f>
        <v>163523</v>
      </c>
      <c r="Q53" s="540">
        <f t="shared" ref="Q53" si="106">Q51+Q52</f>
        <v>170101</v>
      </c>
      <c r="R53" s="540">
        <f t="shared" ref="R53" si="107">R51+R52</f>
        <v>178924</v>
      </c>
      <c r="S53" s="540">
        <f t="shared" ref="S53" si="108">S51+S52</f>
        <v>188915</v>
      </c>
      <c r="T53" s="540">
        <f t="shared" ref="T53" si="109">T51+T52</f>
        <v>204589</v>
      </c>
      <c r="U53" s="540">
        <f t="shared" ref="U53" si="110">U51+U52</f>
        <v>210292</v>
      </c>
      <c r="V53" s="540">
        <f t="shared" ref="V53" si="111">V51+V52</f>
        <v>213694</v>
      </c>
      <c r="W53" s="540">
        <f t="shared" ref="W53" si="112">W51+W52</f>
        <v>208830</v>
      </c>
      <c r="X53" s="540">
        <f t="shared" ref="X53" si="113">X51+X52</f>
        <v>204775</v>
      </c>
      <c r="Y53" s="540">
        <f t="shared" ref="Y53" si="114">Y51+Y52</f>
        <v>209992</v>
      </c>
      <c r="Z53" s="540">
        <f t="shared" ref="Z53" si="115">Z51+Z52</f>
        <v>218975</v>
      </c>
      <c r="AA53" s="540">
        <f t="shared" ref="AA53:AB53" si="116">AA51+AA52</f>
        <v>226759</v>
      </c>
      <c r="AB53" s="540">
        <f t="shared" si="116"/>
        <v>237998</v>
      </c>
      <c r="AC53" s="810">
        <f t="shared" ref="AC53:AE53" si="117">AC51+AC52</f>
        <v>237633</v>
      </c>
      <c r="AD53" s="810">
        <f t="shared" si="117"/>
        <v>243310</v>
      </c>
      <c r="AE53" s="810">
        <f t="shared" si="117"/>
        <v>246245</v>
      </c>
    </row>
    <row r="54" spans="1:31">
      <c r="A54" s="530" t="s">
        <v>156</v>
      </c>
      <c r="B54" s="802" t="s">
        <v>232</v>
      </c>
      <c r="C54" s="806">
        <v>0</v>
      </c>
      <c r="D54" s="806">
        <v>0</v>
      </c>
      <c r="E54" s="806">
        <v>0</v>
      </c>
      <c r="F54" s="806">
        <v>0</v>
      </c>
      <c r="G54" s="806">
        <v>0</v>
      </c>
      <c r="H54" s="806">
        <v>0</v>
      </c>
      <c r="I54" s="806">
        <v>0</v>
      </c>
      <c r="J54" s="806">
        <v>0</v>
      </c>
      <c r="K54" s="806">
        <v>0</v>
      </c>
      <c r="L54" s="806">
        <v>0</v>
      </c>
      <c r="M54" s="806">
        <v>0</v>
      </c>
      <c r="N54" s="806">
        <v>0</v>
      </c>
      <c r="O54" s="806">
        <v>0</v>
      </c>
      <c r="P54" s="806">
        <v>0</v>
      </c>
      <c r="Q54" s="803">
        <v>293066</v>
      </c>
      <c r="R54" s="803">
        <v>415829</v>
      </c>
      <c r="S54" s="803">
        <v>535315</v>
      </c>
      <c r="T54" s="803">
        <v>704936</v>
      </c>
      <c r="U54" s="803">
        <v>801135</v>
      </c>
      <c r="V54" s="803">
        <v>968251</v>
      </c>
      <c r="W54" s="803">
        <v>1204981</v>
      </c>
      <c r="X54" s="803">
        <v>1245709</v>
      </c>
      <c r="Y54" s="803">
        <v>1393815</v>
      </c>
      <c r="Z54" s="803">
        <v>1243568</v>
      </c>
      <c r="AA54" s="803">
        <v>1344817</v>
      </c>
      <c r="AB54" s="803">
        <v>1427845</v>
      </c>
      <c r="AC54" s="551">
        <v>1464605</v>
      </c>
      <c r="AD54" s="813">
        <v>1522292</v>
      </c>
      <c r="AE54" s="813">
        <v>1672001</v>
      </c>
    </row>
    <row r="55" spans="1:31">
      <c r="A55" s="533"/>
      <c r="B55" s="804" t="s">
        <v>233</v>
      </c>
      <c r="C55" s="807">
        <v>0</v>
      </c>
      <c r="D55" s="807">
        <v>0</v>
      </c>
      <c r="E55" s="807">
        <v>0</v>
      </c>
      <c r="F55" s="807">
        <v>0</v>
      </c>
      <c r="G55" s="807">
        <v>0</v>
      </c>
      <c r="H55" s="807">
        <v>0</v>
      </c>
      <c r="I55" s="807">
        <v>0</v>
      </c>
      <c r="J55" s="807">
        <v>0</v>
      </c>
      <c r="K55" s="807">
        <v>0</v>
      </c>
      <c r="L55" s="807">
        <v>0</v>
      </c>
      <c r="M55" s="807">
        <v>0</v>
      </c>
      <c r="N55" s="807">
        <v>0</v>
      </c>
      <c r="O55" s="807">
        <v>0</v>
      </c>
      <c r="P55" s="807">
        <v>0</v>
      </c>
      <c r="Q55" s="805">
        <v>98111</v>
      </c>
      <c r="R55" s="805">
        <v>110583</v>
      </c>
      <c r="S55" s="805">
        <v>117462</v>
      </c>
      <c r="T55" s="805">
        <v>120200</v>
      </c>
      <c r="U55" s="805">
        <v>127042</v>
      </c>
      <c r="V55" s="805">
        <v>133613</v>
      </c>
      <c r="W55" s="805">
        <v>133522</v>
      </c>
      <c r="X55" s="805">
        <v>135885</v>
      </c>
      <c r="Y55" s="805">
        <v>148187</v>
      </c>
      <c r="Z55" s="805">
        <v>157093</v>
      </c>
      <c r="AA55" s="805">
        <v>152342</v>
      </c>
      <c r="AB55" s="805">
        <v>157818</v>
      </c>
      <c r="AC55" s="548">
        <v>154663</v>
      </c>
      <c r="AD55" s="814">
        <v>155409</v>
      </c>
      <c r="AE55" s="814">
        <v>156053</v>
      </c>
    </row>
    <row r="56" spans="1:31">
      <c r="A56" s="533"/>
      <c r="B56" s="533" t="s">
        <v>62</v>
      </c>
      <c r="C56" s="808">
        <f t="shared" ref="C56" si="118">C54+C55</f>
        <v>0</v>
      </c>
      <c r="D56" s="808">
        <f t="shared" ref="D56" si="119">D54+D55</f>
        <v>0</v>
      </c>
      <c r="E56" s="808">
        <f t="shared" ref="E56" si="120">E54+E55</f>
        <v>0</v>
      </c>
      <c r="F56" s="808">
        <f t="shared" ref="F56" si="121">F54+F55</f>
        <v>0</v>
      </c>
      <c r="G56" s="808">
        <f t="shared" ref="G56" si="122">G54+G55</f>
        <v>0</v>
      </c>
      <c r="H56" s="808">
        <f t="shared" ref="H56" si="123">H54+H55</f>
        <v>0</v>
      </c>
      <c r="I56" s="808">
        <f t="shared" ref="I56" si="124">I54+I55</f>
        <v>0</v>
      </c>
      <c r="J56" s="808">
        <f t="shared" ref="J56" si="125">J54+J55</f>
        <v>0</v>
      </c>
      <c r="K56" s="808">
        <f t="shared" ref="K56" si="126">K54+K55</f>
        <v>0</v>
      </c>
      <c r="L56" s="808">
        <f t="shared" ref="L56" si="127">L54+L55</f>
        <v>0</v>
      </c>
      <c r="M56" s="808">
        <f t="shared" ref="M56" si="128">M54+M55</f>
        <v>0</v>
      </c>
      <c r="N56" s="808">
        <f t="shared" ref="N56" si="129">N54+N55</f>
        <v>0</v>
      </c>
      <c r="O56" s="808">
        <f t="shared" ref="O56" si="130">O54+O55</f>
        <v>0</v>
      </c>
      <c r="P56" s="808">
        <f t="shared" ref="P56" si="131">P54+P55</f>
        <v>0</v>
      </c>
      <c r="Q56" s="540">
        <f t="shared" ref="Q56" si="132">Q54+Q55</f>
        <v>391177</v>
      </c>
      <c r="R56" s="540">
        <f t="shared" ref="R56" si="133">R54+R55</f>
        <v>526412</v>
      </c>
      <c r="S56" s="540">
        <f t="shared" ref="S56" si="134">S54+S55</f>
        <v>652777</v>
      </c>
      <c r="T56" s="540">
        <f t="shared" ref="T56" si="135">T54+T55</f>
        <v>825136</v>
      </c>
      <c r="U56" s="540">
        <f t="shared" ref="U56" si="136">U54+U55</f>
        <v>928177</v>
      </c>
      <c r="V56" s="540">
        <f t="shared" ref="V56" si="137">V54+V55</f>
        <v>1101864</v>
      </c>
      <c r="W56" s="540">
        <f t="shared" ref="W56" si="138">W54+W55</f>
        <v>1338503</v>
      </c>
      <c r="X56" s="540">
        <f t="shared" ref="X56" si="139">X54+X55</f>
        <v>1381594</v>
      </c>
      <c r="Y56" s="540">
        <f t="shared" ref="Y56" si="140">Y54+Y55</f>
        <v>1542002</v>
      </c>
      <c r="Z56" s="540">
        <f t="shared" ref="Z56" si="141">Z54+Z55</f>
        <v>1400661</v>
      </c>
      <c r="AA56" s="540">
        <f t="shared" ref="AA56:AB56" si="142">AA54+AA55</f>
        <v>1497159</v>
      </c>
      <c r="AB56" s="540">
        <f t="shared" si="142"/>
        <v>1585663</v>
      </c>
      <c r="AC56" s="810">
        <f t="shared" ref="AC56:AE56" si="143">AC54+AC55</f>
        <v>1619268</v>
      </c>
      <c r="AD56" s="810">
        <f t="shared" si="143"/>
        <v>1677701</v>
      </c>
      <c r="AE56" s="810">
        <f t="shared" si="143"/>
        <v>1828054</v>
      </c>
    </row>
    <row r="57" spans="1:31">
      <c r="A57" s="530" t="s">
        <v>170</v>
      </c>
      <c r="B57" s="530" t="s">
        <v>232</v>
      </c>
      <c r="C57" s="532">
        <f t="shared" ref="C57:G57" si="144">C39</f>
        <v>106892</v>
      </c>
      <c r="D57" s="532">
        <f t="shared" si="144"/>
        <v>120445</v>
      </c>
      <c r="E57" s="532">
        <f t="shared" si="144"/>
        <v>135742</v>
      </c>
      <c r="F57" s="532">
        <f t="shared" si="144"/>
        <v>149825</v>
      </c>
      <c r="G57" s="532">
        <f t="shared" si="144"/>
        <v>163699</v>
      </c>
      <c r="H57" s="532">
        <f t="shared" ref="H57:AB57" si="145">H39</f>
        <v>174709</v>
      </c>
      <c r="I57" s="532">
        <v>184245</v>
      </c>
      <c r="J57" s="532">
        <v>188941</v>
      </c>
      <c r="K57" s="532">
        <f t="shared" si="145"/>
        <v>189536</v>
      </c>
      <c r="L57" s="532">
        <f t="shared" si="145"/>
        <v>207867</v>
      </c>
      <c r="M57" s="532">
        <f t="shared" si="145"/>
        <v>221784</v>
      </c>
      <c r="N57" s="532">
        <f t="shared" si="145"/>
        <v>241347</v>
      </c>
      <c r="O57" s="532">
        <f t="shared" si="145"/>
        <v>219099</v>
      </c>
      <c r="P57" s="532">
        <f t="shared" si="145"/>
        <v>225778</v>
      </c>
      <c r="Q57" s="532">
        <f t="shared" si="145"/>
        <v>241977</v>
      </c>
      <c r="R57" s="532">
        <f t="shared" si="145"/>
        <v>247750</v>
      </c>
      <c r="S57" s="532">
        <f t="shared" si="145"/>
        <v>268782</v>
      </c>
      <c r="T57" s="532">
        <f t="shared" si="145"/>
        <v>293588</v>
      </c>
      <c r="U57" s="532">
        <f t="shared" si="145"/>
        <v>285096</v>
      </c>
      <c r="V57" s="532">
        <f t="shared" si="145"/>
        <v>288335</v>
      </c>
      <c r="W57" s="532">
        <f t="shared" si="145"/>
        <v>295327</v>
      </c>
      <c r="X57" s="532">
        <f t="shared" si="145"/>
        <v>293904</v>
      </c>
      <c r="Y57" s="532">
        <f t="shared" si="145"/>
        <v>285095</v>
      </c>
      <c r="Z57" s="532">
        <f t="shared" si="145"/>
        <v>292998</v>
      </c>
      <c r="AA57" s="532">
        <f t="shared" si="145"/>
        <v>277297</v>
      </c>
      <c r="AB57" s="532">
        <f t="shared" si="145"/>
        <v>281996</v>
      </c>
      <c r="AC57" s="551">
        <v>273585</v>
      </c>
      <c r="AD57" s="813">
        <v>275889</v>
      </c>
      <c r="AE57" s="813">
        <v>270066</v>
      </c>
    </row>
    <row r="58" spans="1:31">
      <c r="A58" s="533"/>
      <c r="B58" s="804" t="s">
        <v>233</v>
      </c>
      <c r="C58" s="805">
        <f t="shared" ref="C58:G58" si="146">C41-C57</f>
        <v>87834</v>
      </c>
      <c r="D58" s="805">
        <f t="shared" si="146"/>
        <v>94812</v>
      </c>
      <c r="E58" s="805">
        <f t="shared" si="146"/>
        <v>101852</v>
      </c>
      <c r="F58" s="805">
        <f t="shared" si="146"/>
        <v>120362</v>
      </c>
      <c r="G58" s="805">
        <f t="shared" si="146"/>
        <v>132227</v>
      </c>
      <c r="H58" s="805">
        <f t="shared" ref="H58:AB58" si="147">H41-H57</f>
        <v>151799</v>
      </c>
      <c r="I58" s="805">
        <v>150200</v>
      </c>
      <c r="J58" s="805">
        <v>153500</v>
      </c>
      <c r="K58" s="805">
        <f t="shared" si="147"/>
        <v>167407</v>
      </c>
      <c r="L58" s="805">
        <f t="shared" si="147"/>
        <v>182866</v>
      </c>
      <c r="M58" s="805">
        <f t="shared" si="147"/>
        <v>204183</v>
      </c>
      <c r="N58" s="805">
        <f t="shared" si="147"/>
        <v>214807</v>
      </c>
      <c r="O58" s="805">
        <f t="shared" si="147"/>
        <v>237402</v>
      </c>
      <c r="P58" s="805">
        <f t="shared" si="147"/>
        <v>246774</v>
      </c>
      <c r="Q58" s="805">
        <f t="shared" si="147"/>
        <v>248249</v>
      </c>
      <c r="R58" s="805">
        <f t="shared" si="147"/>
        <v>255832</v>
      </c>
      <c r="S58" s="805">
        <f t="shared" si="147"/>
        <v>274033</v>
      </c>
      <c r="T58" s="805">
        <f t="shared" si="147"/>
        <v>278024</v>
      </c>
      <c r="U58" s="805">
        <f t="shared" si="147"/>
        <v>293706</v>
      </c>
      <c r="V58" s="805">
        <f t="shared" si="147"/>
        <v>301075</v>
      </c>
      <c r="W58" s="805">
        <f t="shared" si="147"/>
        <v>310244</v>
      </c>
      <c r="X58" s="805">
        <f t="shared" si="147"/>
        <v>313052</v>
      </c>
      <c r="Y58" s="805">
        <f t="shared" si="147"/>
        <v>312046</v>
      </c>
      <c r="Z58" s="805">
        <f t="shared" si="147"/>
        <v>328455</v>
      </c>
      <c r="AA58" s="805">
        <f t="shared" si="147"/>
        <v>319878</v>
      </c>
      <c r="AB58" s="805">
        <f t="shared" si="147"/>
        <v>309477</v>
      </c>
      <c r="AC58" s="548">
        <v>320755</v>
      </c>
      <c r="AD58" s="814">
        <v>322201</v>
      </c>
      <c r="AE58" s="814">
        <v>333121</v>
      </c>
    </row>
    <row r="59" spans="1:31">
      <c r="A59" s="809"/>
      <c r="B59" s="538" t="s">
        <v>62</v>
      </c>
      <c r="C59" s="810">
        <f t="shared" ref="C59" si="148">C57+C58</f>
        <v>194726</v>
      </c>
      <c r="D59" s="810">
        <f t="shared" ref="D59" si="149">D57+D58</f>
        <v>215257</v>
      </c>
      <c r="E59" s="810">
        <f t="shared" ref="E59" si="150">E57+E58</f>
        <v>237594</v>
      </c>
      <c r="F59" s="810">
        <f t="shared" ref="F59" si="151">F57+F58</f>
        <v>270187</v>
      </c>
      <c r="G59" s="810">
        <f t="shared" ref="G59" si="152">G57+G58</f>
        <v>295926</v>
      </c>
      <c r="H59" s="810">
        <f t="shared" ref="H59" si="153">H57+H58</f>
        <v>326508</v>
      </c>
      <c r="I59" s="810">
        <f t="shared" ref="I59" si="154">I57+I58</f>
        <v>334445</v>
      </c>
      <c r="J59" s="810">
        <f t="shared" ref="J59" si="155">J57+J58</f>
        <v>342441</v>
      </c>
      <c r="K59" s="810">
        <f t="shared" ref="K59" si="156">K57+K58</f>
        <v>356943</v>
      </c>
      <c r="L59" s="810">
        <f t="shared" ref="L59" si="157">L57+L58</f>
        <v>390733</v>
      </c>
      <c r="M59" s="810">
        <f t="shared" ref="M59" si="158">M57+M58</f>
        <v>425967</v>
      </c>
      <c r="N59" s="810">
        <f t="shared" ref="N59" si="159">N57+N58</f>
        <v>456154</v>
      </c>
      <c r="O59" s="810">
        <f t="shared" ref="O59" si="160">O57+O58</f>
        <v>456501</v>
      </c>
      <c r="P59" s="810">
        <f t="shared" ref="P59" si="161">P57+P58</f>
        <v>472552</v>
      </c>
      <c r="Q59" s="810">
        <f t="shared" ref="Q59" si="162">Q57+Q58</f>
        <v>490226</v>
      </c>
      <c r="R59" s="810">
        <f t="shared" ref="R59" si="163">R57+R58</f>
        <v>503582</v>
      </c>
      <c r="S59" s="810">
        <f t="shared" ref="S59" si="164">S57+S58</f>
        <v>542815</v>
      </c>
      <c r="T59" s="810">
        <f t="shared" ref="T59" si="165">T57+T58</f>
        <v>571612</v>
      </c>
      <c r="U59" s="810">
        <f t="shared" ref="U59" si="166">U57+U58</f>
        <v>578802</v>
      </c>
      <c r="V59" s="810">
        <f t="shared" ref="V59" si="167">V57+V58</f>
        <v>589410</v>
      </c>
      <c r="W59" s="810">
        <f t="shared" ref="W59" si="168">W57+W58</f>
        <v>605571</v>
      </c>
      <c r="X59" s="810">
        <f t="shared" ref="X59" si="169">X57+X58</f>
        <v>606956</v>
      </c>
      <c r="Y59" s="810">
        <f t="shared" ref="Y59" si="170">Y57+Y58</f>
        <v>597141</v>
      </c>
      <c r="Z59" s="810">
        <f t="shared" ref="Z59" si="171">Z57+Z58</f>
        <v>621453</v>
      </c>
      <c r="AA59" s="810">
        <f t="shared" ref="AA59:AB59" si="172">AA57+AA58</f>
        <v>597175</v>
      </c>
      <c r="AB59" s="810">
        <f t="shared" si="172"/>
        <v>591473</v>
      </c>
      <c r="AC59" s="810">
        <f t="shared" ref="AC59:AE59" si="173">AC57+AC58</f>
        <v>594340</v>
      </c>
      <c r="AD59" s="810">
        <f t="shared" si="173"/>
        <v>598090</v>
      </c>
      <c r="AE59" s="810">
        <f t="shared" si="173"/>
        <v>603187</v>
      </c>
    </row>
    <row r="60" spans="1:31">
      <c r="AC60" s="123"/>
    </row>
    <row r="61" spans="1:31">
      <c r="AC61" s="123"/>
    </row>
    <row r="62" spans="1:31">
      <c r="A62" s="530" t="s">
        <v>94</v>
      </c>
      <c r="B62" s="530" t="s">
        <v>61</v>
      </c>
      <c r="C62" s="530"/>
      <c r="D62" s="530"/>
      <c r="E62" s="530"/>
      <c r="F62" s="530"/>
      <c r="G62" s="530">
        <v>2000</v>
      </c>
      <c r="H62" s="530">
        <f>G62+1</f>
        <v>2001</v>
      </c>
      <c r="I62" s="530">
        <f t="shared" ref="I62:AD62" si="174">H62+1</f>
        <v>2002</v>
      </c>
      <c r="J62" s="530">
        <f t="shared" si="174"/>
        <v>2003</v>
      </c>
      <c r="K62" s="530">
        <f t="shared" si="174"/>
        <v>2004</v>
      </c>
      <c r="L62" s="530">
        <f t="shared" si="174"/>
        <v>2005</v>
      </c>
      <c r="M62" s="530">
        <f t="shared" si="174"/>
        <v>2006</v>
      </c>
      <c r="N62" s="530">
        <f t="shared" si="174"/>
        <v>2007</v>
      </c>
      <c r="O62" s="530">
        <f t="shared" si="174"/>
        <v>2008</v>
      </c>
      <c r="P62" s="530">
        <f t="shared" si="174"/>
        <v>2009</v>
      </c>
      <c r="Q62" s="530">
        <f t="shared" si="174"/>
        <v>2010</v>
      </c>
      <c r="R62" s="530">
        <f t="shared" si="174"/>
        <v>2011</v>
      </c>
      <c r="S62" s="530">
        <f t="shared" si="174"/>
        <v>2012</v>
      </c>
      <c r="T62" s="530">
        <f t="shared" si="174"/>
        <v>2013</v>
      </c>
      <c r="U62" s="530">
        <f t="shared" si="174"/>
        <v>2014</v>
      </c>
      <c r="V62" s="530">
        <f t="shared" si="174"/>
        <v>2015</v>
      </c>
      <c r="W62" s="530">
        <f t="shared" si="174"/>
        <v>2016</v>
      </c>
      <c r="X62" s="530">
        <f t="shared" si="174"/>
        <v>2017</v>
      </c>
      <c r="Y62" s="530">
        <f t="shared" si="174"/>
        <v>2018</v>
      </c>
      <c r="Z62" s="530">
        <f t="shared" si="174"/>
        <v>2019</v>
      </c>
      <c r="AA62" s="530">
        <f t="shared" si="174"/>
        <v>2020</v>
      </c>
      <c r="AB62" s="530">
        <f t="shared" si="174"/>
        <v>2021</v>
      </c>
      <c r="AC62" s="547">
        <f t="shared" si="174"/>
        <v>2022</v>
      </c>
      <c r="AD62" s="530">
        <f t="shared" si="174"/>
        <v>2023</v>
      </c>
      <c r="AE62" s="530">
        <v>2024</v>
      </c>
    </row>
    <row r="63" spans="1:31">
      <c r="A63" s="530" t="s">
        <v>186</v>
      </c>
      <c r="B63" s="530" t="s">
        <v>66</v>
      </c>
      <c r="C63" s="544">
        <v>0.49280125195618202</v>
      </c>
      <c r="D63" s="544">
        <v>0.50079556677274195</v>
      </c>
      <c r="E63" s="544">
        <v>0.50359886875356596</v>
      </c>
      <c r="F63" s="544">
        <v>0.50410873021204206</v>
      </c>
      <c r="G63" s="544">
        <v>0.494345093288584</v>
      </c>
      <c r="H63" s="544">
        <v>0.48840718018632101</v>
      </c>
      <c r="I63" s="544">
        <v>0.50299784456387697</v>
      </c>
      <c r="J63" s="544">
        <v>0.499310734560026</v>
      </c>
      <c r="K63" s="544">
        <v>0.49450212078368</v>
      </c>
      <c r="L63" s="544">
        <v>0.494772977926899</v>
      </c>
      <c r="M63" s="544">
        <v>0.48568622673134998</v>
      </c>
      <c r="N63" s="544">
        <v>0.48777918395916298</v>
      </c>
      <c r="O63" s="544">
        <v>0.493283052835438</v>
      </c>
      <c r="P63" s="544">
        <v>0.50985565845609504</v>
      </c>
      <c r="Q63" s="544">
        <v>0.49289551606043902</v>
      </c>
      <c r="R63" s="544">
        <v>0.50349415307051304</v>
      </c>
      <c r="S63" s="544">
        <v>0.49136665454496498</v>
      </c>
      <c r="T63" s="544">
        <v>0.49652056888191598</v>
      </c>
      <c r="U63" s="544">
        <v>0.49466709654496299</v>
      </c>
      <c r="V63" s="544">
        <v>0.47554086313131899</v>
      </c>
      <c r="W63" s="544">
        <v>0.477254899499853</v>
      </c>
      <c r="X63" s="544">
        <v>0.47116342725428301</v>
      </c>
      <c r="Y63" s="544">
        <v>0.46763831018850199</v>
      </c>
      <c r="Z63" s="544">
        <v>0.45476279664191399</v>
      </c>
      <c r="AA63" s="544">
        <v>0.45190309117211802</v>
      </c>
      <c r="AB63" s="544">
        <v>0.44419406150583202</v>
      </c>
      <c r="AC63" s="785">
        <v>0.43498582325812002</v>
      </c>
      <c r="AD63" s="815">
        <v>0.43029983690879398</v>
      </c>
      <c r="AE63" s="815">
        <v>0.433073711257427</v>
      </c>
    </row>
    <row r="64" spans="1:31">
      <c r="A64" s="533"/>
      <c r="B64" s="791" t="s">
        <v>55</v>
      </c>
      <c r="C64" s="811">
        <v>0.17773082942096999</v>
      </c>
      <c r="D64" s="811">
        <v>0.176341490178865</v>
      </c>
      <c r="E64" s="811">
        <v>0.16765994635075901</v>
      </c>
      <c r="F64" s="811">
        <v>0.163498354268825</v>
      </c>
      <c r="G64" s="811">
        <v>0.16975642693304499</v>
      </c>
      <c r="H64" s="811">
        <v>0.18036809815950899</v>
      </c>
      <c r="I64" s="811">
        <v>0.14976986719124999</v>
      </c>
      <c r="J64" s="811">
        <v>0.15863379883723899</v>
      </c>
      <c r="K64" s="811">
        <v>0.16646334073924501</v>
      </c>
      <c r="L64" s="811">
        <v>0.16689966913649301</v>
      </c>
      <c r="M64" s="811">
        <v>0.16373154937273399</v>
      </c>
      <c r="N64" s="811">
        <v>0.162133499247025</v>
      </c>
      <c r="O64" s="811">
        <v>0.15755162161424899</v>
      </c>
      <c r="P64" s="811">
        <v>0.14815447964204501</v>
      </c>
      <c r="Q64" s="811">
        <v>0.14456713985731401</v>
      </c>
      <c r="R64" s="811">
        <v>0.144023527764162</v>
      </c>
      <c r="S64" s="811">
        <v>0.15286812935202801</v>
      </c>
      <c r="T64" s="811">
        <v>0.152533661551779</v>
      </c>
      <c r="U64" s="811">
        <v>0.14487337232943601</v>
      </c>
      <c r="V64" s="811">
        <v>0.133894089562685</v>
      </c>
      <c r="W64" s="811">
        <v>0.131833100098523</v>
      </c>
      <c r="X64" s="811">
        <v>0.13070098562973501</v>
      </c>
      <c r="Y64" s="811">
        <v>0.12947541566130399</v>
      </c>
      <c r="Z64" s="811">
        <v>0.121664499922879</v>
      </c>
      <c r="AA64" s="811">
        <v>0.121684763630922</v>
      </c>
      <c r="AB64" s="811">
        <v>0.114957582184518</v>
      </c>
      <c r="AC64" s="786">
        <v>0.111523702789384</v>
      </c>
      <c r="AD64" s="816">
        <v>0.107991469075398</v>
      </c>
      <c r="AE64" s="816">
        <v>0.10569897221776101</v>
      </c>
    </row>
    <row r="65" spans="1:31">
      <c r="A65" s="533"/>
      <c r="B65" s="791" t="s">
        <v>56</v>
      </c>
      <c r="C65" s="817">
        <v>0</v>
      </c>
      <c r="D65" s="817">
        <v>0</v>
      </c>
      <c r="E65" s="817">
        <v>0</v>
      </c>
      <c r="F65" s="817">
        <v>0</v>
      </c>
      <c r="G65" s="817">
        <v>0</v>
      </c>
      <c r="H65" s="817">
        <v>0</v>
      </c>
      <c r="I65" s="817">
        <v>0</v>
      </c>
      <c r="J65" s="817">
        <v>0</v>
      </c>
      <c r="K65" s="817">
        <v>0</v>
      </c>
      <c r="L65" s="817">
        <v>0</v>
      </c>
      <c r="M65" s="817">
        <v>0</v>
      </c>
      <c r="N65" s="811">
        <v>3.4976208825005801E-2</v>
      </c>
      <c r="O65" s="811">
        <v>2.9650036823872801E-2</v>
      </c>
      <c r="P65" s="811">
        <v>3.1164989371348699E-2</v>
      </c>
      <c r="Q65" s="811">
        <v>3.1233232424268498E-2</v>
      </c>
      <c r="R65" s="811">
        <v>3.4234297318115003E-2</v>
      </c>
      <c r="S65" s="811">
        <v>3.84594663757458E-2</v>
      </c>
      <c r="T65" s="811">
        <v>4.2848737734075402E-2</v>
      </c>
      <c r="U65" s="811">
        <v>4.0406366585296803E-2</v>
      </c>
      <c r="V65" s="811">
        <v>4.00632413043207E-2</v>
      </c>
      <c r="W65" s="811">
        <v>4.2823166178233202E-2</v>
      </c>
      <c r="X65" s="811">
        <v>3.8758898879911602E-2</v>
      </c>
      <c r="Y65" s="811">
        <v>4.1626308881769401E-2</v>
      </c>
      <c r="Z65" s="811">
        <v>4.5936804530330701E-2</v>
      </c>
      <c r="AA65" s="811">
        <v>5.0350022447995503E-2</v>
      </c>
      <c r="AB65" s="811">
        <v>4.9809119830328701E-2</v>
      </c>
      <c r="AC65" s="786">
        <v>5.3654707246406801E-2</v>
      </c>
      <c r="AD65" s="816">
        <v>6.3103751097729296E-2</v>
      </c>
      <c r="AE65" s="816">
        <v>6.5777059579251604E-2</v>
      </c>
    </row>
    <row r="66" spans="1:31">
      <c r="A66" s="533"/>
      <c r="B66" s="791" t="s">
        <v>57</v>
      </c>
      <c r="C66" s="817">
        <v>0</v>
      </c>
      <c r="D66" s="817">
        <v>0</v>
      </c>
      <c r="E66" s="817">
        <v>0</v>
      </c>
      <c r="F66" s="817">
        <v>0</v>
      </c>
      <c r="G66" s="817">
        <v>0</v>
      </c>
      <c r="H66" s="817">
        <v>0</v>
      </c>
      <c r="I66" s="817">
        <v>0</v>
      </c>
      <c r="J66" s="817">
        <v>0</v>
      </c>
      <c r="K66" s="817">
        <v>0</v>
      </c>
      <c r="L66" s="817">
        <v>0</v>
      </c>
      <c r="M66" s="817">
        <v>0</v>
      </c>
      <c r="N66" s="817">
        <v>0</v>
      </c>
      <c r="O66" s="811">
        <v>1.0249311257194299E-2</v>
      </c>
      <c r="P66" s="811">
        <v>1.2122608553462901E-2</v>
      </c>
      <c r="Q66" s="811">
        <v>1.3573042043971599E-2</v>
      </c>
      <c r="R66" s="811">
        <v>1.78418878229816E-2</v>
      </c>
      <c r="S66" s="811">
        <v>2.5125594300106399E-2</v>
      </c>
      <c r="T66" s="811">
        <v>2.7429684382798299E-2</v>
      </c>
      <c r="U66" s="811">
        <v>3.0424855738546301E-2</v>
      </c>
      <c r="V66" s="811">
        <v>3.5751334191548703E-2</v>
      </c>
      <c r="W66" s="811">
        <v>4.48689387711559E-2</v>
      </c>
      <c r="X66" s="811">
        <v>5.1868614716016198E-2</v>
      </c>
      <c r="Y66" s="811">
        <v>5.4332563430975298E-2</v>
      </c>
      <c r="Z66" s="811">
        <v>6.7354516008196905E-2</v>
      </c>
      <c r="AA66" s="811">
        <v>7.4471917834793802E-2</v>
      </c>
      <c r="AB66" s="811">
        <v>8.8361611876988294E-2</v>
      </c>
      <c r="AC66" s="786">
        <v>9.8447014104437902E-2</v>
      </c>
      <c r="AD66" s="816">
        <v>0.104052189185799</v>
      </c>
      <c r="AE66" s="816">
        <v>0.100775855146941</v>
      </c>
    </row>
    <row r="67" spans="1:31">
      <c r="A67" s="533"/>
      <c r="B67" s="791" t="s">
        <v>58</v>
      </c>
      <c r="C67" s="811">
        <v>0.29167449139280099</v>
      </c>
      <c r="D67" s="811">
        <v>0.28115055415340701</v>
      </c>
      <c r="E67" s="811">
        <v>0.28526345175816598</v>
      </c>
      <c r="F67" s="811">
        <v>0.28428606614272001</v>
      </c>
      <c r="G67" s="811">
        <v>0.28287442035964999</v>
      </c>
      <c r="H67" s="811">
        <v>0.27675528289025197</v>
      </c>
      <c r="I67" s="811">
        <v>0.28348220588650502</v>
      </c>
      <c r="J67" s="811">
        <v>0.27307754878372498</v>
      </c>
      <c r="K67" s="811">
        <v>0.26359927287416701</v>
      </c>
      <c r="L67" s="811">
        <v>0.25401929260450201</v>
      </c>
      <c r="M67" s="811">
        <v>0.25709412311986402</v>
      </c>
      <c r="N67" s="811">
        <v>0.25122490967837702</v>
      </c>
      <c r="O67" s="811">
        <v>0.25390742205613598</v>
      </c>
      <c r="P67" s="811">
        <v>0.24502385872069701</v>
      </c>
      <c r="Q67" s="811">
        <v>0.26178284457575102</v>
      </c>
      <c r="R67" s="811">
        <v>0.24503186051397</v>
      </c>
      <c r="S67" s="811">
        <v>0.237194768812208</v>
      </c>
      <c r="T67" s="811">
        <v>0.22881063644171501</v>
      </c>
      <c r="U67" s="811">
        <v>0.240102381218705</v>
      </c>
      <c r="V67" s="811">
        <v>0.26678831660646701</v>
      </c>
      <c r="W67" s="811">
        <v>0.25149197065634199</v>
      </c>
      <c r="X67" s="811">
        <v>0.25488913166140398</v>
      </c>
      <c r="Y67" s="811">
        <v>0.25096715401677</v>
      </c>
      <c r="Z67" s="811">
        <v>0.25437388449419401</v>
      </c>
      <c r="AA67" s="811">
        <v>0.24526513576880199</v>
      </c>
      <c r="AB67" s="811">
        <v>0.24672852598091199</v>
      </c>
      <c r="AC67" s="786">
        <v>0.24775986820019899</v>
      </c>
      <c r="AD67" s="816">
        <v>0.24165098481997199</v>
      </c>
      <c r="AE67" s="816">
        <v>0.23981752850489799</v>
      </c>
    </row>
    <row r="68" spans="1:31">
      <c r="A68" s="533"/>
      <c r="B68" s="795" t="s">
        <v>59</v>
      </c>
      <c r="C68" s="818">
        <v>3.7793427230047E-2</v>
      </c>
      <c r="D68" s="818">
        <v>4.17123888949852E-2</v>
      </c>
      <c r="E68" s="818">
        <v>4.3477733137509599E-2</v>
      </c>
      <c r="F68" s="818">
        <v>4.8106849376413401E-2</v>
      </c>
      <c r="G68" s="818">
        <v>5.3024059418721299E-2</v>
      </c>
      <c r="H68" s="818">
        <v>5.4469438763917299E-2</v>
      </c>
      <c r="I68" s="818">
        <v>6.3750082358367099E-2</v>
      </c>
      <c r="J68" s="818">
        <v>6.8977917819009998E-2</v>
      </c>
      <c r="K68" s="818">
        <v>7.5435265602908502E-2</v>
      </c>
      <c r="L68" s="818">
        <v>8.4308060332106194E-2</v>
      </c>
      <c r="M68" s="818">
        <v>9.3488100776052394E-2</v>
      </c>
      <c r="N68" s="818">
        <v>6.3886198290429103E-2</v>
      </c>
      <c r="O68" s="818">
        <v>5.5358555413109301E-2</v>
      </c>
      <c r="P68" s="818">
        <v>5.3678405256351203E-2</v>
      </c>
      <c r="Q68" s="818">
        <v>5.5948225038254903E-2</v>
      </c>
      <c r="R68" s="818">
        <v>5.53742735102584E-2</v>
      </c>
      <c r="S68" s="818">
        <v>5.4985386614947403E-2</v>
      </c>
      <c r="T68" s="818">
        <v>5.18567110077163E-2</v>
      </c>
      <c r="U68" s="818">
        <v>4.9525927583053103E-2</v>
      </c>
      <c r="V68" s="818">
        <v>4.7962155203659498E-2</v>
      </c>
      <c r="W68" s="818">
        <v>5.1727924795893401E-2</v>
      </c>
      <c r="X68" s="818">
        <v>5.2618941858650403E-2</v>
      </c>
      <c r="Y68" s="818">
        <v>5.5960247820679598E-2</v>
      </c>
      <c r="Z68" s="818">
        <v>5.5907498402485503E-2</v>
      </c>
      <c r="AA68" s="818">
        <v>5.6325069145368799E-2</v>
      </c>
      <c r="AB68" s="818">
        <v>5.5949098621421001E-2</v>
      </c>
      <c r="AC68" s="786">
        <v>5.3628884401452297E-2</v>
      </c>
      <c r="AD68" s="816">
        <v>5.29017689123071E-2</v>
      </c>
      <c r="AE68" s="816">
        <v>5.4856873293720902E-2</v>
      </c>
    </row>
    <row r="69" spans="1:31">
      <c r="A69" s="538"/>
      <c r="B69" s="538" t="s">
        <v>62</v>
      </c>
      <c r="C69" s="569">
        <v>1</v>
      </c>
      <c r="D69" s="569">
        <v>1</v>
      </c>
      <c r="E69" s="569">
        <v>1</v>
      </c>
      <c r="F69" s="569">
        <v>1</v>
      </c>
      <c r="G69" s="569">
        <v>1</v>
      </c>
      <c r="H69" s="569">
        <v>1</v>
      </c>
      <c r="I69" s="569">
        <v>1</v>
      </c>
      <c r="J69" s="569">
        <v>1</v>
      </c>
      <c r="K69" s="569">
        <v>1</v>
      </c>
      <c r="L69" s="569">
        <v>1</v>
      </c>
      <c r="M69" s="569">
        <v>1</v>
      </c>
      <c r="N69" s="569">
        <v>1</v>
      </c>
      <c r="O69" s="569">
        <v>1</v>
      </c>
      <c r="P69" s="569">
        <v>1</v>
      </c>
      <c r="Q69" s="569">
        <v>1</v>
      </c>
      <c r="R69" s="569">
        <v>1</v>
      </c>
      <c r="S69" s="569">
        <v>1</v>
      </c>
      <c r="T69" s="569">
        <v>1</v>
      </c>
      <c r="U69" s="569">
        <v>1</v>
      </c>
      <c r="V69" s="569">
        <v>1</v>
      </c>
      <c r="W69" s="569">
        <v>1</v>
      </c>
      <c r="X69" s="569">
        <v>1</v>
      </c>
      <c r="Y69" s="569">
        <v>1</v>
      </c>
      <c r="Z69" s="569">
        <v>1</v>
      </c>
      <c r="AA69" s="569">
        <v>1</v>
      </c>
      <c r="AB69" s="569">
        <v>1</v>
      </c>
      <c r="AC69" s="822">
        <v>1</v>
      </c>
      <c r="AD69" s="822">
        <v>1</v>
      </c>
      <c r="AE69" s="822">
        <v>1</v>
      </c>
    </row>
    <row r="70" spans="1:31">
      <c r="A70" s="530" t="s">
        <v>129</v>
      </c>
      <c r="B70" s="530" t="s">
        <v>66</v>
      </c>
      <c r="C70" s="544">
        <v>4.0281071773303E-2</v>
      </c>
      <c r="D70" s="544">
        <v>3.0123293432214301E-2</v>
      </c>
      <c r="E70" s="544">
        <v>3.9834586242610097E-2</v>
      </c>
      <c r="F70" s="544">
        <v>4.6798387792582399E-2</v>
      </c>
      <c r="G70" s="544">
        <v>4.62568528034977E-2</v>
      </c>
      <c r="H70" s="544">
        <v>4.9711390675698797E-2</v>
      </c>
      <c r="I70" s="544">
        <v>3.2987051234550299E-2</v>
      </c>
      <c r="J70" s="544">
        <v>4.4588130489092E-2</v>
      </c>
      <c r="K70" s="544">
        <v>5.0855509937813299E-2</v>
      </c>
      <c r="L70" s="544">
        <v>5.2596949503369399E-2</v>
      </c>
      <c r="M70" s="544">
        <v>5.8303195211831402E-2</v>
      </c>
      <c r="N70" s="544">
        <v>6.2103353343881097E-2</v>
      </c>
      <c r="O70" s="544">
        <v>6.3403767755663698E-2</v>
      </c>
      <c r="P70" s="544">
        <v>6.0961686307358702E-2</v>
      </c>
      <c r="Q70" s="544">
        <v>6.1297511883412002E-2</v>
      </c>
      <c r="R70" s="544">
        <v>6.1361314614284498E-2</v>
      </c>
      <c r="S70" s="544">
        <v>6.0966288988202902E-2</v>
      </c>
      <c r="T70" s="544">
        <v>6.2733683274671506E-2</v>
      </c>
      <c r="U70" s="544">
        <v>6.4879489798735507E-2</v>
      </c>
      <c r="V70" s="544">
        <v>6.5210638771841203E-2</v>
      </c>
      <c r="W70" s="544">
        <v>6.4601844959341195E-2</v>
      </c>
      <c r="X70" s="544">
        <v>6.4553706837813501E-2</v>
      </c>
      <c r="Y70" s="544">
        <v>6.6601396192839196E-2</v>
      </c>
      <c r="Z70" s="544">
        <v>6.6220950809984094E-2</v>
      </c>
      <c r="AA70" s="544">
        <v>6.6807177126376197E-2</v>
      </c>
      <c r="AB70" s="544">
        <v>7.2251037344398306E-2</v>
      </c>
      <c r="AC70" s="785">
        <v>7.4572583152005004E-2</v>
      </c>
      <c r="AD70" s="815">
        <v>7.2541173413120205E-2</v>
      </c>
      <c r="AE70" s="815">
        <v>6.9123853285753906E-2</v>
      </c>
    </row>
    <row r="71" spans="1:31">
      <c r="A71" s="533"/>
      <c r="B71" s="791" t="s">
        <v>55</v>
      </c>
      <c r="C71" s="811">
        <v>0.90936825696462797</v>
      </c>
      <c r="D71" s="811">
        <v>0.89958816711286205</v>
      </c>
      <c r="E71" s="811">
        <v>0.89045179066091196</v>
      </c>
      <c r="F71" s="811">
        <v>0.88789735119744595</v>
      </c>
      <c r="G71" s="811">
        <v>0.886690396346697</v>
      </c>
      <c r="H71" s="811">
        <v>0.88066716001593903</v>
      </c>
      <c r="I71" s="811">
        <v>0.87748073835513596</v>
      </c>
      <c r="J71" s="811">
        <v>0.87803927454416897</v>
      </c>
      <c r="K71" s="811">
        <v>0.87079306326684502</v>
      </c>
      <c r="L71" s="811">
        <v>0.86157563723722597</v>
      </c>
      <c r="M71" s="811">
        <v>0.84923435305402395</v>
      </c>
      <c r="N71" s="811">
        <v>0.84154825620566698</v>
      </c>
      <c r="O71" s="811">
        <v>0.84426678124408605</v>
      </c>
      <c r="P71" s="811">
        <v>0.84715544641935103</v>
      </c>
      <c r="Q71" s="811">
        <v>0.84179536735558502</v>
      </c>
      <c r="R71" s="811">
        <v>0.839380053121625</v>
      </c>
      <c r="S71" s="811">
        <v>0.83727056325044602</v>
      </c>
      <c r="T71" s="811">
        <v>0.82734840273295296</v>
      </c>
      <c r="U71" s="811">
        <v>0.81585268214571705</v>
      </c>
      <c r="V71" s="811">
        <v>0.81211780836531</v>
      </c>
      <c r="W71" s="811">
        <v>0.81739802312323895</v>
      </c>
      <c r="X71" s="811">
        <v>0.81729093598007996</v>
      </c>
      <c r="Y71" s="811">
        <v>0.80885424805543904</v>
      </c>
      <c r="Z71" s="811">
        <v>0.79674252928054401</v>
      </c>
      <c r="AA71" s="811">
        <v>0.78811115116891794</v>
      </c>
      <c r="AB71" s="811">
        <v>0.76919778699861696</v>
      </c>
      <c r="AC71" s="786">
        <v>0.75575242634614703</v>
      </c>
      <c r="AD71" s="816">
        <v>0.76278183338719796</v>
      </c>
      <c r="AE71" s="816">
        <v>0.77290251095794404</v>
      </c>
    </row>
    <row r="72" spans="1:31">
      <c r="A72" s="533"/>
      <c r="B72" s="791" t="s">
        <v>56</v>
      </c>
      <c r="C72" s="817">
        <v>0</v>
      </c>
      <c r="D72" s="817">
        <v>0</v>
      </c>
      <c r="E72" s="817">
        <v>0</v>
      </c>
      <c r="F72" s="817">
        <v>0</v>
      </c>
      <c r="G72" s="817">
        <v>0</v>
      </c>
      <c r="H72" s="817">
        <v>0</v>
      </c>
      <c r="I72" s="817">
        <v>0</v>
      </c>
      <c r="J72" s="817">
        <v>0</v>
      </c>
      <c r="K72" s="817">
        <v>0</v>
      </c>
      <c r="L72" s="817">
        <v>0</v>
      </c>
      <c r="M72" s="817">
        <v>0</v>
      </c>
      <c r="N72" s="811">
        <v>1.6016008438243599E-2</v>
      </c>
      <c r="O72" s="811">
        <v>1.43196198484918E-2</v>
      </c>
      <c r="P72" s="811">
        <v>1.37178854605331E-2</v>
      </c>
      <c r="Q72" s="811">
        <v>1.41382132223634E-2</v>
      </c>
      <c r="R72" s="811">
        <v>1.4614284463384E-2</v>
      </c>
      <c r="S72" s="811">
        <v>1.66513028156688E-2</v>
      </c>
      <c r="T72" s="811">
        <v>1.8676393574395E-2</v>
      </c>
      <c r="U72" s="811">
        <v>1.7430035982809199E-2</v>
      </c>
      <c r="V72" s="811">
        <v>1.63842357422322E-2</v>
      </c>
      <c r="W72" s="811">
        <v>1.6382887169774599E-2</v>
      </c>
      <c r="X72" s="811">
        <v>1.30997648196584E-2</v>
      </c>
      <c r="Y72" s="811">
        <v>1.6168793272251201E-2</v>
      </c>
      <c r="Z72" s="811">
        <v>1.8294049076368099E-2</v>
      </c>
      <c r="AA72" s="811">
        <v>2.0386727308023E-2</v>
      </c>
      <c r="AB72" s="811">
        <v>2.0525587828492401E-2</v>
      </c>
      <c r="AC72" s="786">
        <v>2.46917417884157E-2</v>
      </c>
      <c r="AD72" s="816">
        <v>2.6388301186473999E-2</v>
      </c>
      <c r="AE72" s="816">
        <v>2.6563034658063301E-2</v>
      </c>
    </row>
    <row r="73" spans="1:31">
      <c r="A73" s="533"/>
      <c r="B73" s="791" t="s">
        <v>57</v>
      </c>
      <c r="C73" s="817">
        <v>0</v>
      </c>
      <c r="D73" s="817">
        <v>0</v>
      </c>
      <c r="E73" s="817">
        <v>0</v>
      </c>
      <c r="F73" s="817">
        <v>0</v>
      </c>
      <c r="G73" s="817">
        <v>0</v>
      </c>
      <c r="H73" s="817">
        <v>0</v>
      </c>
      <c r="I73" s="817">
        <v>0</v>
      </c>
      <c r="J73" s="817">
        <v>0</v>
      </c>
      <c r="K73" s="817">
        <v>0</v>
      </c>
      <c r="L73" s="817">
        <v>0</v>
      </c>
      <c r="M73" s="817">
        <v>0</v>
      </c>
      <c r="N73" s="817">
        <v>0</v>
      </c>
      <c r="O73" s="811">
        <v>1.9744144531229999E-3</v>
      </c>
      <c r="P73" s="811">
        <v>2.5559673662348399E-3</v>
      </c>
      <c r="Q73" s="811">
        <v>3.0847538290994102E-3</v>
      </c>
      <c r="R73" s="811">
        <v>4.0891976299582602E-3</v>
      </c>
      <c r="S73" s="811">
        <v>5.8985519084236698E-3</v>
      </c>
      <c r="T73" s="811">
        <v>6.28432936706086E-3</v>
      </c>
      <c r="U73" s="811">
        <v>7.7640656586571901E-3</v>
      </c>
      <c r="V73" s="811">
        <v>8.9106146127804608E-3</v>
      </c>
      <c r="W73" s="811">
        <v>1.19667945009281E-2</v>
      </c>
      <c r="X73" s="811">
        <v>1.48675422869326E-2</v>
      </c>
      <c r="Y73" s="811">
        <v>1.69820166025124E-2</v>
      </c>
      <c r="Z73" s="811">
        <v>2.58045452626725E-2</v>
      </c>
      <c r="AA73" s="811">
        <v>2.9139743198646699E-2</v>
      </c>
      <c r="AB73" s="811">
        <v>3.2396265560165997E-2</v>
      </c>
      <c r="AC73" s="786">
        <v>3.3993023175491299E-2</v>
      </c>
      <c r="AD73" s="816">
        <v>3.2025801894493403E-2</v>
      </c>
      <c r="AE73" s="816">
        <v>3.2543057796027397E-2</v>
      </c>
    </row>
    <row r="74" spans="1:31">
      <c r="A74" s="533"/>
      <c r="B74" s="791" t="s">
        <v>58</v>
      </c>
      <c r="C74" s="811">
        <v>4.0281071773303E-2</v>
      </c>
      <c r="D74" s="811">
        <v>5.0207198613205301E-2</v>
      </c>
      <c r="E74" s="811">
        <v>4.9795091106408902E-2</v>
      </c>
      <c r="F74" s="811">
        <v>5.0316155353687199E-2</v>
      </c>
      <c r="G74" s="811">
        <v>5.1881015874469201E-2</v>
      </c>
      <c r="H74" s="811">
        <v>5.32498434564809E-2</v>
      </c>
      <c r="I74" s="811">
        <v>5.3946855910546203E-2</v>
      </c>
      <c r="J74" s="811">
        <v>5.2487097305200799E-2</v>
      </c>
      <c r="K74" s="811">
        <v>5.4351294432980903E-2</v>
      </c>
      <c r="L74" s="811">
        <v>5.5753281601955598E-2</v>
      </c>
      <c r="M74" s="811">
        <v>6.1078023069732798E-2</v>
      </c>
      <c r="N74" s="811">
        <v>6.5673961810891496E-2</v>
      </c>
      <c r="O74" s="811">
        <v>6.4224735423348195E-2</v>
      </c>
      <c r="P74" s="811">
        <v>6.4163099978198301E-2</v>
      </c>
      <c r="Q74" s="811">
        <v>6.7275492022588604E-2</v>
      </c>
      <c r="R74" s="811">
        <v>6.8340095151922006E-2</v>
      </c>
      <c r="S74" s="811">
        <v>6.6867758083524895E-2</v>
      </c>
      <c r="T74" s="811">
        <v>7.1493380749978699E-2</v>
      </c>
      <c r="U74" s="811">
        <v>7.9751157247637205E-2</v>
      </c>
      <c r="V74" s="811">
        <v>8.3147956990596794E-2</v>
      </c>
      <c r="W74" s="811">
        <v>7.5315423973164194E-2</v>
      </c>
      <c r="X74" s="811">
        <v>7.5198050734899297E-2</v>
      </c>
      <c r="Y74" s="811">
        <v>7.3735437721443906E-2</v>
      </c>
      <c r="Z74" s="811">
        <v>7.4250979806409101E-2</v>
      </c>
      <c r="AA74" s="811">
        <v>7.7827310796195107E-2</v>
      </c>
      <c r="AB74" s="811">
        <v>8.6441908713692894E-2</v>
      </c>
      <c r="AC74" s="786">
        <v>9.2819396953683603E-2</v>
      </c>
      <c r="AD74" s="816">
        <v>8.8787304295095806E-2</v>
      </c>
      <c r="AE74" s="816">
        <v>8.2214726825373494E-2</v>
      </c>
    </row>
    <row r="75" spans="1:31">
      <c r="A75" s="533"/>
      <c r="B75" s="795" t="s">
        <v>59</v>
      </c>
      <c r="C75" s="818">
        <v>1.0069599488766E-2</v>
      </c>
      <c r="D75" s="818">
        <v>2.0081340841718701E-2</v>
      </c>
      <c r="E75" s="818">
        <v>1.99185319900692E-2</v>
      </c>
      <c r="F75" s="818">
        <v>1.4988105656284299E-2</v>
      </c>
      <c r="G75" s="818">
        <v>1.51717349753356E-2</v>
      </c>
      <c r="H75" s="818">
        <v>1.63716058518814E-2</v>
      </c>
      <c r="I75" s="818">
        <v>3.5585354499767199E-2</v>
      </c>
      <c r="J75" s="818">
        <v>2.48854976615379E-2</v>
      </c>
      <c r="K75" s="818">
        <v>2.4000132362360899E-2</v>
      </c>
      <c r="L75" s="818">
        <v>3.0074131657448998E-2</v>
      </c>
      <c r="M75" s="818">
        <v>3.1384428664412198E-2</v>
      </c>
      <c r="N75" s="818">
        <v>1.46584202013167E-2</v>
      </c>
      <c r="O75" s="818">
        <v>1.18106812752876E-2</v>
      </c>
      <c r="P75" s="818">
        <v>1.14459144683244E-2</v>
      </c>
      <c r="Q75" s="818">
        <v>1.24086616869512E-2</v>
      </c>
      <c r="R75" s="818">
        <v>1.2215055018826099E-2</v>
      </c>
      <c r="S75" s="818">
        <v>1.23455349537334E-2</v>
      </c>
      <c r="T75" s="818">
        <v>1.34638103009414E-2</v>
      </c>
      <c r="U75" s="818">
        <v>1.43225691664443E-2</v>
      </c>
      <c r="V75" s="818">
        <v>1.42287455172392E-2</v>
      </c>
      <c r="W75" s="818">
        <v>1.4335026273552799E-2</v>
      </c>
      <c r="X75" s="818">
        <v>1.49899993406159E-2</v>
      </c>
      <c r="Y75" s="818">
        <v>1.7658108155513799E-2</v>
      </c>
      <c r="Z75" s="818">
        <v>1.86869457640217E-2</v>
      </c>
      <c r="AA75" s="818">
        <v>1.77278904018414E-2</v>
      </c>
      <c r="AB75" s="818">
        <v>1.9187413554633499E-2</v>
      </c>
      <c r="AC75" s="786">
        <v>1.8170828584257202E-2</v>
      </c>
      <c r="AD75" s="816">
        <v>1.74755858236182E-2</v>
      </c>
      <c r="AE75" s="816">
        <v>1.6652816476837601E-2</v>
      </c>
    </row>
    <row r="76" spans="1:31">
      <c r="A76" s="538"/>
      <c r="B76" s="538" t="s">
        <v>62</v>
      </c>
      <c r="C76" s="569">
        <v>1</v>
      </c>
      <c r="D76" s="569">
        <v>1</v>
      </c>
      <c r="E76" s="569">
        <v>1</v>
      </c>
      <c r="F76" s="569">
        <v>1</v>
      </c>
      <c r="G76" s="569">
        <v>1</v>
      </c>
      <c r="H76" s="569">
        <v>1</v>
      </c>
      <c r="I76" s="569">
        <v>1</v>
      </c>
      <c r="J76" s="569">
        <v>1</v>
      </c>
      <c r="K76" s="569">
        <v>1</v>
      </c>
      <c r="L76" s="569">
        <v>1</v>
      </c>
      <c r="M76" s="569">
        <v>1</v>
      </c>
      <c r="N76" s="569">
        <v>1</v>
      </c>
      <c r="O76" s="569">
        <v>1</v>
      </c>
      <c r="P76" s="569">
        <v>1</v>
      </c>
      <c r="Q76" s="569">
        <v>1</v>
      </c>
      <c r="R76" s="569">
        <v>1</v>
      </c>
      <c r="S76" s="569">
        <v>1</v>
      </c>
      <c r="T76" s="569">
        <v>1</v>
      </c>
      <c r="U76" s="569">
        <v>1</v>
      </c>
      <c r="V76" s="569">
        <v>1</v>
      </c>
      <c r="W76" s="569">
        <v>1</v>
      </c>
      <c r="X76" s="569">
        <v>1</v>
      </c>
      <c r="Y76" s="569">
        <v>1</v>
      </c>
      <c r="Z76" s="569">
        <v>1</v>
      </c>
      <c r="AA76" s="569">
        <v>1</v>
      </c>
      <c r="AB76" s="569">
        <v>1</v>
      </c>
      <c r="AC76" s="823">
        <v>1</v>
      </c>
      <c r="AD76" s="824">
        <v>1</v>
      </c>
      <c r="AE76" s="824">
        <v>1</v>
      </c>
    </row>
    <row r="77" spans="1:31">
      <c r="A77" s="530" t="s">
        <v>146</v>
      </c>
      <c r="B77" s="530" t="s">
        <v>66</v>
      </c>
      <c r="C77" s="819"/>
      <c r="D77" s="819"/>
      <c r="E77" s="819"/>
      <c r="F77" s="819"/>
      <c r="G77" s="819"/>
      <c r="H77" s="819"/>
      <c r="I77" s="819"/>
      <c r="J77" s="819"/>
      <c r="K77" s="819"/>
      <c r="L77" s="819"/>
      <c r="M77" s="819"/>
      <c r="N77" s="544">
        <v>6.4284016257994195E-2</v>
      </c>
      <c r="O77" s="544">
        <v>6.4653757794552E-2</v>
      </c>
      <c r="P77" s="544">
        <v>5.6701503763996498E-2</v>
      </c>
      <c r="Q77" s="544">
        <v>5.7906773034843997E-2</v>
      </c>
      <c r="R77" s="544">
        <v>5.9064183675750601E-2</v>
      </c>
      <c r="S77" s="544">
        <v>5.3960776010375001E-2</v>
      </c>
      <c r="T77" s="544">
        <v>5.7363787886934303E-2</v>
      </c>
      <c r="U77" s="544">
        <v>5.8485344188081302E-2</v>
      </c>
      <c r="V77" s="544">
        <v>5.62673729725683E-2</v>
      </c>
      <c r="W77" s="544">
        <v>5.6706411913997001E-2</v>
      </c>
      <c r="X77" s="544">
        <v>5.7121230618972001E-2</v>
      </c>
      <c r="Y77" s="544">
        <v>6.0492780677359102E-2</v>
      </c>
      <c r="Z77" s="544">
        <v>5.5905925333942202E-2</v>
      </c>
      <c r="AA77" s="544">
        <v>5.0494136947155301E-2</v>
      </c>
      <c r="AB77" s="544">
        <v>5.2323969108984097E-2</v>
      </c>
      <c r="AC77" s="785">
        <v>5.4428467426662103E-2</v>
      </c>
      <c r="AD77" s="815">
        <v>5.34749907525379E-2</v>
      </c>
      <c r="AE77" s="815">
        <v>5.0567524213689603E-2</v>
      </c>
    </row>
    <row r="78" spans="1:31">
      <c r="A78" s="533"/>
      <c r="B78" s="791" t="s">
        <v>55</v>
      </c>
      <c r="C78" s="817"/>
      <c r="D78" s="817"/>
      <c r="E78" s="817"/>
      <c r="F78" s="817"/>
      <c r="G78" s="817"/>
      <c r="H78" s="817"/>
      <c r="I78" s="817"/>
      <c r="J78" s="817"/>
      <c r="K78" s="817"/>
      <c r="L78" s="817"/>
      <c r="M78" s="817"/>
      <c r="N78" s="811">
        <v>0.10494639616394801</v>
      </c>
      <c r="O78" s="811">
        <v>0.10286464438089001</v>
      </c>
      <c r="P78" s="811">
        <v>8.6642246044898896E-2</v>
      </c>
      <c r="Q78" s="811">
        <v>8.4338128523641795E-2</v>
      </c>
      <c r="R78" s="811">
        <v>8.5142295052648004E-2</v>
      </c>
      <c r="S78" s="811">
        <v>8.4715348172458502E-2</v>
      </c>
      <c r="T78" s="811">
        <v>7.9667039772421802E-2</v>
      </c>
      <c r="U78" s="811">
        <v>7.4434595705019702E-2</v>
      </c>
      <c r="V78" s="811">
        <v>7.1518152124065204E-2</v>
      </c>
      <c r="W78" s="811">
        <v>7.0741751664032904E-2</v>
      </c>
      <c r="X78" s="811">
        <v>7.3465999267488702E-2</v>
      </c>
      <c r="Y78" s="811">
        <v>7.4298068497847494E-2</v>
      </c>
      <c r="Z78" s="811">
        <v>6.8455303116794194E-2</v>
      </c>
      <c r="AA78" s="811">
        <v>6.1854215268192202E-2</v>
      </c>
      <c r="AB78" s="811">
        <v>5.9517306868124897E-2</v>
      </c>
      <c r="AC78" s="786">
        <v>5.8329440776323203E-2</v>
      </c>
      <c r="AD78" s="816">
        <v>5.8328880851588501E-2</v>
      </c>
      <c r="AE78" s="816">
        <v>5.6293528802615303E-2</v>
      </c>
    </row>
    <row r="79" spans="1:31">
      <c r="A79" s="533"/>
      <c r="B79" s="791" t="s">
        <v>56</v>
      </c>
      <c r="C79" s="817"/>
      <c r="D79" s="817"/>
      <c r="E79" s="817"/>
      <c r="F79" s="817"/>
      <c r="G79" s="817"/>
      <c r="H79" s="817"/>
      <c r="I79" s="817"/>
      <c r="J79" s="817"/>
      <c r="K79" s="817"/>
      <c r="L79" s="817"/>
      <c r="M79" s="817"/>
      <c r="N79" s="811">
        <v>0.74622685816001699</v>
      </c>
      <c r="O79" s="811">
        <v>0.74495991373247705</v>
      </c>
      <c r="P79" s="811">
        <v>0.77858160625722395</v>
      </c>
      <c r="Q79" s="811">
        <v>0.77486316952869205</v>
      </c>
      <c r="R79" s="811">
        <v>0.77146721513044603</v>
      </c>
      <c r="S79" s="811">
        <v>0.78414101580075701</v>
      </c>
      <c r="T79" s="811">
        <v>0.78194819858350195</v>
      </c>
      <c r="U79" s="811">
        <v>0.78021512943906601</v>
      </c>
      <c r="V79" s="811">
        <v>0.78276881896543704</v>
      </c>
      <c r="W79" s="811">
        <v>0.78256476559881205</v>
      </c>
      <c r="X79" s="811">
        <v>0.77661335612257398</v>
      </c>
      <c r="Y79" s="811">
        <v>0.77420092193988299</v>
      </c>
      <c r="Z79" s="811">
        <v>0.78366480191802701</v>
      </c>
      <c r="AA79" s="811">
        <v>0.79589784749447701</v>
      </c>
      <c r="AB79" s="811">
        <v>0.78254859284531797</v>
      </c>
      <c r="AC79" s="786">
        <v>0.77324277352051296</v>
      </c>
      <c r="AD79" s="816">
        <v>0.78559039907936401</v>
      </c>
      <c r="AE79" s="816">
        <v>0.79508619464354602</v>
      </c>
    </row>
    <row r="80" spans="1:31">
      <c r="A80" s="533"/>
      <c r="B80" s="791" t="s">
        <v>57</v>
      </c>
      <c r="C80" s="817"/>
      <c r="D80" s="817"/>
      <c r="E80" s="817"/>
      <c r="F80" s="817"/>
      <c r="G80" s="817"/>
      <c r="H80" s="817"/>
      <c r="I80" s="817"/>
      <c r="J80" s="817"/>
      <c r="K80" s="817"/>
      <c r="L80" s="817"/>
      <c r="M80" s="817"/>
      <c r="N80" s="811">
        <v>0</v>
      </c>
      <c r="O80" s="811">
        <v>2.8189319705565199E-3</v>
      </c>
      <c r="P80" s="811">
        <v>2.6051381151275402E-3</v>
      </c>
      <c r="Q80" s="811">
        <v>3.0393707268034898E-3</v>
      </c>
      <c r="R80" s="811">
        <v>4.2029017907044301E-3</v>
      </c>
      <c r="S80" s="811">
        <v>5.1981049678426804E-3</v>
      </c>
      <c r="T80" s="811">
        <v>5.6063620233736903E-3</v>
      </c>
      <c r="U80" s="811">
        <v>7.4753200311947201E-3</v>
      </c>
      <c r="V80" s="811">
        <v>9.1298773011876805E-3</v>
      </c>
      <c r="W80" s="811">
        <v>1.35469041804338E-2</v>
      </c>
      <c r="X80" s="811">
        <v>1.4723476986936899E-2</v>
      </c>
      <c r="Y80" s="811">
        <v>1.4952950588593901E-2</v>
      </c>
      <c r="Z80" s="811">
        <v>1.7001940860828901E-2</v>
      </c>
      <c r="AA80" s="811">
        <v>1.8883484227748399E-2</v>
      </c>
      <c r="AB80" s="811">
        <v>2.6470810679081299E-2</v>
      </c>
      <c r="AC80" s="786">
        <v>2.6595632761443101E-2</v>
      </c>
      <c r="AD80" s="816">
        <v>2.24199580781719E-2</v>
      </c>
      <c r="AE80" s="816">
        <v>2.29365063250015E-2</v>
      </c>
    </row>
    <row r="81" spans="1:31">
      <c r="A81" s="533"/>
      <c r="B81" s="791" t="s">
        <v>58</v>
      </c>
      <c r="C81" s="817"/>
      <c r="D81" s="817"/>
      <c r="E81" s="817"/>
      <c r="F81" s="817"/>
      <c r="G81" s="817"/>
      <c r="H81" s="817"/>
      <c r="I81" s="817"/>
      <c r="J81" s="817"/>
      <c r="K81" s="817"/>
      <c r="L81" s="817"/>
      <c r="M81" s="817"/>
      <c r="N81" s="811">
        <v>7.0174929987418005E-2</v>
      </c>
      <c r="O81" s="811">
        <v>7.2606545079469301E-2</v>
      </c>
      <c r="P81" s="811">
        <v>6.5605449997859597E-2</v>
      </c>
      <c r="Q81" s="811">
        <v>6.7700954139011504E-2</v>
      </c>
      <c r="R81" s="811">
        <v>6.7844447922022794E-2</v>
      </c>
      <c r="S81" s="811">
        <v>6.0058756583648697E-2</v>
      </c>
      <c r="T81" s="811">
        <v>6.3498037528899404E-2</v>
      </c>
      <c r="U81" s="811">
        <v>6.6488501702394801E-2</v>
      </c>
      <c r="V81" s="811">
        <v>6.8588729678886601E-2</v>
      </c>
      <c r="W81" s="811">
        <v>6.5368960398410197E-2</v>
      </c>
      <c r="X81" s="811">
        <v>6.5911366133561203E-2</v>
      </c>
      <c r="Y81" s="811">
        <v>6.1969027391519702E-2</v>
      </c>
      <c r="Z81" s="811">
        <v>5.9874414887544199E-2</v>
      </c>
      <c r="AA81" s="811">
        <v>5.8767237463562598E-2</v>
      </c>
      <c r="AB81" s="811">
        <v>6.5160211430348197E-2</v>
      </c>
      <c r="AC81" s="786">
        <v>7.4413065525411007E-2</v>
      </c>
      <c r="AD81" s="816">
        <v>6.7925691504664806E-2</v>
      </c>
      <c r="AE81" s="816">
        <v>6.3262198217222704E-2</v>
      </c>
    </row>
    <row r="82" spans="1:31">
      <c r="A82" s="533"/>
      <c r="B82" s="795" t="s">
        <v>59</v>
      </c>
      <c r="C82" s="820"/>
      <c r="D82" s="820"/>
      <c r="E82" s="820"/>
      <c r="F82" s="820"/>
      <c r="G82" s="820"/>
      <c r="H82" s="820"/>
      <c r="I82" s="820"/>
      <c r="J82" s="820"/>
      <c r="K82" s="820"/>
      <c r="L82" s="820"/>
      <c r="M82" s="820"/>
      <c r="N82" s="818">
        <v>1.4367799430622301E-2</v>
      </c>
      <c r="O82" s="818">
        <v>1.20962070420554E-2</v>
      </c>
      <c r="P82" s="818">
        <v>9.8640558208937003E-3</v>
      </c>
      <c r="Q82" s="818">
        <v>1.21516040470074E-2</v>
      </c>
      <c r="R82" s="818">
        <v>1.22789564284277E-2</v>
      </c>
      <c r="S82" s="818">
        <v>1.1925998464918101E-2</v>
      </c>
      <c r="T82" s="818">
        <v>1.19165742048693E-2</v>
      </c>
      <c r="U82" s="818">
        <v>1.29011089342438E-2</v>
      </c>
      <c r="V82" s="818">
        <v>1.1727048957855601E-2</v>
      </c>
      <c r="W82" s="818">
        <v>1.1071206244313601E-2</v>
      </c>
      <c r="X82" s="818">
        <v>1.21645708704676E-2</v>
      </c>
      <c r="Y82" s="818">
        <v>1.4086250904796401E-2</v>
      </c>
      <c r="Z82" s="818">
        <v>1.5097613882863299E-2</v>
      </c>
      <c r="AA82" s="818">
        <v>1.41030785988649E-2</v>
      </c>
      <c r="AB82" s="818">
        <v>1.3979109068143401E-2</v>
      </c>
      <c r="AC82" s="786">
        <v>1.29906199896479E-2</v>
      </c>
      <c r="AD82" s="816">
        <v>1.22600797336731E-2</v>
      </c>
      <c r="AE82" s="816">
        <v>1.18540477979248E-2</v>
      </c>
    </row>
    <row r="83" spans="1:31">
      <c r="A83" s="538"/>
      <c r="B83" s="538" t="s">
        <v>62</v>
      </c>
      <c r="C83" s="821"/>
      <c r="D83" s="821"/>
      <c r="E83" s="821"/>
      <c r="F83" s="821"/>
      <c r="G83" s="821"/>
      <c r="H83" s="821"/>
      <c r="I83" s="821"/>
      <c r="J83" s="821"/>
      <c r="K83" s="821"/>
      <c r="L83" s="821"/>
      <c r="M83" s="821"/>
      <c r="N83" s="569">
        <v>1</v>
      </c>
      <c r="O83" s="569">
        <v>1</v>
      </c>
      <c r="P83" s="569">
        <v>1</v>
      </c>
      <c r="Q83" s="569">
        <v>1</v>
      </c>
      <c r="R83" s="569">
        <v>1</v>
      </c>
      <c r="S83" s="569">
        <v>1</v>
      </c>
      <c r="T83" s="569">
        <v>1</v>
      </c>
      <c r="U83" s="569">
        <v>1</v>
      </c>
      <c r="V83" s="569">
        <v>1</v>
      </c>
      <c r="W83" s="569">
        <v>1</v>
      </c>
      <c r="X83" s="569">
        <v>1</v>
      </c>
      <c r="Y83" s="569">
        <v>1</v>
      </c>
      <c r="Z83" s="569">
        <v>1</v>
      </c>
      <c r="AA83" s="569">
        <v>1</v>
      </c>
      <c r="AB83" s="569">
        <v>1</v>
      </c>
      <c r="AC83" s="823">
        <v>1</v>
      </c>
      <c r="AD83" s="824">
        <v>1</v>
      </c>
      <c r="AE83" s="824">
        <v>1</v>
      </c>
    </row>
    <row r="84" spans="1:31">
      <c r="A84" s="530" t="s">
        <v>156</v>
      </c>
      <c r="B84" s="530" t="s">
        <v>66</v>
      </c>
      <c r="C84" s="819"/>
      <c r="D84" s="819"/>
      <c r="E84" s="819"/>
      <c r="F84" s="819"/>
      <c r="G84" s="819"/>
      <c r="H84" s="819"/>
      <c r="I84" s="819"/>
      <c r="J84" s="819"/>
      <c r="K84" s="819"/>
      <c r="L84" s="819"/>
      <c r="M84" s="819"/>
      <c r="N84" s="819"/>
      <c r="O84" s="819"/>
      <c r="P84" s="819"/>
      <c r="Q84" s="544">
        <v>7.0901407802605995E-2</v>
      </c>
      <c r="R84" s="544">
        <v>5.7367613200306998E-2</v>
      </c>
      <c r="S84" s="544">
        <v>4.8684313325990297E-2</v>
      </c>
      <c r="T84" s="544">
        <v>4.0341228597467603E-2</v>
      </c>
      <c r="U84" s="544">
        <v>3.7651223850623299E-2</v>
      </c>
      <c r="V84" s="544">
        <v>3.20956125256837E-2</v>
      </c>
      <c r="W84" s="544">
        <v>2.7244615813337699E-2</v>
      </c>
      <c r="X84" s="544">
        <v>2.6648928701195899E-2</v>
      </c>
      <c r="Y84" s="544">
        <v>2.5817087137370801E-2</v>
      </c>
      <c r="Z84" s="544">
        <v>2.9811638933332201E-2</v>
      </c>
      <c r="AA84" s="544">
        <v>2.7065261605480801E-2</v>
      </c>
      <c r="AB84" s="544">
        <v>2.6832939912200801E-2</v>
      </c>
      <c r="AC84" s="785">
        <v>2.5465827769090701E-2</v>
      </c>
      <c r="AD84" s="815">
        <v>2.4904914522909601E-2</v>
      </c>
      <c r="AE84" s="815">
        <v>2.37881375495472E-2</v>
      </c>
    </row>
    <row r="85" spans="1:31">
      <c r="A85" s="533"/>
      <c r="B85" s="791" t="s">
        <v>55</v>
      </c>
      <c r="C85" s="817"/>
      <c r="D85" s="817"/>
      <c r="E85" s="817"/>
      <c r="F85" s="817"/>
      <c r="G85" s="817"/>
      <c r="H85" s="817"/>
      <c r="I85" s="817"/>
      <c r="J85" s="817"/>
      <c r="K85" s="817"/>
      <c r="L85" s="817"/>
      <c r="M85" s="817"/>
      <c r="N85" s="817"/>
      <c r="O85" s="817"/>
      <c r="P85" s="817"/>
      <c r="Q85" s="811">
        <v>8.6615521873729798E-2</v>
      </c>
      <c r="R85" s="811">
        <v>7.4525276779404695E-2</v>
      </c>
      <c r="S85" s="811">
        <v>6.4766375040787305E-2</v>
      </c>
      <c r="T85" s="811">
        <v>4.9922679412848302E-2</v>
      </c>
      <c r="U85" s="811">
        <v>4.3590823732973301E-2</v>
      </c>
      <c r="V85" s="811">
        <v>3.6372909905396697E-2</v>
      </c>
      <c r="W85" s="811">
        <v>2.9291678838224498E-2</v>
      </c>
      <c r="X85" s="811">
        <v>2.9609277399872899E-2</v>
      </c>
      <c r="Y85" s="811">
        <v>2.93670176822079E-2</v>
      </c>
      <c r="Z85" s="811">
        <v>3.48885276308828E-2</v>
      </c>
      <c r="AA85" s="811">
        <v>3.19685484307278E-2</v>
      </c>
      <c r="AB85" s="811">
        <v>2.9646904796290299E-2</v>
      </c>
      <c r="AC85" s="786">
        <v>2.79502837084411E-2</v>
      </c>
      <c r="AD85" s="816">
        <v>2.755914194484E-2</v>
      </c>
      <c r="AE85" s="816">
        <v>2.4726293643404399E-2</v>
      </c>
    </row>
    <row r="86" spans="1:31">
      <c r="A86" s="533"/>
      <c r="B86" s="791" t="s">
        <v>56</v>
      </c>
      <c r="C86" s="817"/>
      <c r="D86" s="817"/>
      <c r="E86" s="817"/>
      <c r="F86" s="817"/>
      <c r="G86" s="817"/>
      <c r="H86" s="817"/>
      <c r="I86" s="817"/>
      <c r="J86" s="817"/>
      <c r="K86" s="817"/>
      <c r="L86" s="817"/>
      <c r="M86" s="817"/>
      <c r="N86" s="817"/>
      <c r="O86" s="817"/>
      <c r="P86" s="817"/>
      <c r="Q86" s="811">
        <v>1.8349749601842599E-2</v>
      </c>
      <c r="R86" s="811">
        <v>1.54422771517367E-2</v>
      </c>
      <c r="S86" s="811">
        <v>1.37642717191323E-2</v>
      </c>
      <c r="T86" s="811">
        <v>1.3168738244362099E-2</v>
      </c>
      <c r="U86" s="811">
        <v>1.2420044883680601E-2</v>
      </c>
      <c r="V86" s="811">
        <v>1.1713786819426E-2</v>
      </c>
      <c r="W86" s="811">
        <v>1.02831297352341E-2</v>
      </c>
      <c r="X86" s="811">
        <v>9.5397055864458007E-3</v>
      </c>
      <c r="Y86" s="811">
        <v>8.9980428040949394E-3</v>
      </c>
      <c r="Z86" s="811">
        <v>1.14367430805884E-2</v>
      </c>
      <c r="AA86" s="811">
        <v>1.11711581735808E-2</v>
      </c>
      <c r="AB86" s="811">
        <v>1.11568473250621E-2</v>
      </c>
      <c r="AC86" s="786">
        <v>1.1277935462196499E-2</v>
      </c>
      <c r="AD86" s="816">
        <v>1.19306121889419E-2</v>
      </c>
      <c r="AE86" s="816">
        <v>1.1509506830761001E-2</v>
      </c>
    </row>
    <row r="87" spans="1:31">
      <c r="A87" s="533"/>
      <c r="B87" s="791" t="s">
        <v>57</v>
      </c>
      <c r="C87" s="817"/>
      <c r="D87" s="817"/>
      <c r="E87" s="817"/>
      <c r="F87" s="817"/>
      <c r="G87" s="817"/>
      <c r="H87" s="817"/>
      <c r="I87" s="817"/>
      <c r="J87" s="817"/>
      <c r="K87" s="817"/>
      <c r="L87" s="817"/>
      <c r="M87" s="817"/>
      <c r="N87" s="817"/>
      <c r="O87" s="817"/>
      <c r="P87" s="817"/>
      <c r="Q87" s="811">
        <v>0.74919026425377799</v>
      </c>
      <c r="R87" s="811">
        <v>0.78993070066791804</v>
      </c>
      <c r="S87" s="811">
        <v>0.82005799836697701</v>
      </c>
      <c r="T87" s="811">
        <v>0.85432704426906603</v>
      </c>
      <c r="U87" s="811">
        <v>0.86312739919217996</v>
      </c>
      <c r="V87" s="811">
        <v>0.87873911843929897</v>
      </c>
      <c r="W87" s="811">
        <v>0.90024527401134002</v>
      </c>
      <c r="X87" s="811">
        <v>0.901646214445054</v>
      </c>
      <c r="Y87" s="811">
        <v>0.90389960583708695</v>
      </c>
      <c r="Z87" s="811">
        <v>0.88784366809670601</v>
      </c>
      <c r="AA87" s="811">
        <v>0.89824594448552197</v>
      </c>
      <c r="AB87" s="811">
        <v>0.90047191616377498</v>
      </c>
      <c r="AC87" s="786">
        <v>0.90448585410197702</v>
      </c>
      <c r="AD87" s="816">
        <v>0.907367880212267</v>
      </c>
      <c r="AE87" s="816">
        <v>0.91463435981650398</v>
      </c>
    </row>
    <row r="88" spans="1:31">
      <c r="A88" s="533"/>
      <c r="B88" s="791" t="s">
        <v>58</v>
      </c>
      <c r="C88" s="817"/>
      <c r="D88" s="817"/>
      <c r="E88" s="817"/>
      <c r="F88" s="817"/>
      <c r="G88" s="817"/>
      <c r="H88" s="817"/>
      <c r="I88" s="817"/>
      <c r="J88" s="817"/>
      <c r="K88" s="817"/>
      <c r="L88" s="817"/>
      <c r="M88" s="817"/>
      <c r="N88" s="817"/>
      <c r="O88" s="817"/>
      <c r="P88" s="817"/>
      <c r="Q88" s="811">
        <v>6.4881115198490699E-2</v>
      </c>
      <c r="R88" s="811">
        <v>5.4058418121167399E-2</v>
      </c>
      <c r="S88" s="811">
        <v>4.5206862374133898E-2</v>
      </c>
      <c r="T88" s="811">
        <v>3.6347947489868297E-2</v>
      </c>
      <c r="U88" s="811">
        <v>3.6591081226964299E-2</v>
      </c>
      <c r="V88" s="811">
        <v>3.3775493164310701E-2</v>
      </c>
      <c r="W88" s="811">
        <v>2.6817272729310299E-2</v>
      </c>
      <c r="X88" s="811">
        <v>2.67661845665224E-2</v>
      </c>
      <c r="Y88" s="811">
        <v>2.5200356419771201E-2</v>
      </c>
      <c r="Z88" s="811">
        <v>2.8165273395918101E-2</v>
      </c>
      <c r="AA88" s="811">
        <v>2.53012539082355E-2</v>
      </c>
      <c r="AB88" s="811">
        <v>2.6655096322484698E-2</v>
      </c>
      <c r="AC88" s="786">
        <v>2.66107895666437E-2</v>
      </c>
      <c r="AD88" s="816">
        <v>2.4068651088602799E-2</v>
      </c>
      <c r="AE88" s="816">
        <v>2.1653627299850001E-2</v>
      </c>
    </row>
    <row r="89" spans="1:31" ht="15.6">
      <c r="A89" s="533"/>
      <c r="B89" s="795" t="s">
        <v>59</v>
      </c>
      <c r="C89" s="820"/>
      <c r="D89" s="820"/>
      <c r="E89" s="820"/>
      <c r="F89" s="820"/>
      <c r="G89" s="820"/>
      <c r="H89" s="820"/>
      <c r="I89" s="820"/>
      <c r="J89" s="820"/>
      <c r="K89" s="820"/>
      <c r="L89" s="820"/>
      <c r="M89" s="820"/>
      <c r="N89" s="820"/>
      <c r="O89" s="820"/>
      <c r="P89" s="820"/>
      <c r="Q89" s="818">
        <v>1.0061941269553201E-2</v>
      </c>
      <c r="R89" s="818">
        <v>8.6757140794662697E-3</v>
      </c>
      <c r="S89" s="818">
        <v>7.5201791729794399E-3</v>
      </c>
      <c r="T89" s="818">
        <v>5.8923619863877003E-3</v>
      </c>
      <c r="U89" s="818">
        <v>6.61942711357855E-3</v>
      </c>
      <c r="V89" s="818">
        <v>7.3030791458836997E-3</v>
      </c>
      <c r="W89" s="818">
        <v>6.1180288725538904E-3</v>
      </c>
      <c r="X89" s="818">
        <v>5.7896893009089503E-3</v>
      </c>
      <c r="Y89" s="818">
        <v>6.7178901194680698E-3</v>
      </c>
      <c r="Z89" s="818">
        <v>7.8541488625727407E-3</v>
      </c>
      <c r="AA89" s="818">
        <v>6.2478333964528796E-3</v>
      </c>
      <c r="AB89" s="818">
        <v>5.2362954801871498E-3</v>
      </c>
      <c r="AC89" s="786">
        <v>4.2093093916510402E-3</v>
      </c>
      <c r="AD89" s="816">
        <v>4.16880004243903E-3</v>
      </c>
      <c r="AE89" s="825">
        <v>3.6880748599330201E-3</v>
      </c>
    </row>
    <row r="90" spans="1:31" ht="15.6">
      <c r="A90" s="538"/>
      <c r="B90" s="538" t="s">
        <v>62</v>
      </c>
      <c r="C90" s="821"/>
      <c r="D90" s="821"/>
      <c r="E90" s="821"/>
      <c r="F90" s="821"/>
      <c r="G90" s="821"/>
      <c r="H90" s="821"/>
      <c r="I90" s="821"/>
      <c r="J90" s="821"/>
      <c r="K90" s="821"/>
      <c r="L90" s="821"/>
      <c r="M90" s="821"/>
      <c r="N90" s="821"/>
      <c r="O90" s="821"/>
      <c r="P90" s="821"/>
      <c r="Q90" s="569">
        <v>1</v>
      </c>
      <c r="R90" s="569">
        <v>1</v>
      </c>
      <c r="S90" s="569">
        <v>1</v>
      </c>
      <c r="T90" s="569">
        <v>1</v>
      </c>
      <c r="U90" s="569">
        <v>1</v>
      </c>
      <c r="V90" s="569">
        <v>1</v>
      </c>
      <c r="W90" s="569">
        <v>1</v>
      </c>
      <c r="X90" s="569">
        <v>1</v>
      </c>
      <c r="Y90" s="569">
        <v>1</v>
      </c>
      <c r="Z90" s="569">
        <v>1</v>
      </c>
      <c r="AA90" s="569">
        <v>1</v>
      </c>
      <c r="AB90" s="569">
        <v>1</v>
      </c>
      <c r="AC90" s="823">
        <v>1</v>
      </c>
      <c r="AD90" s="824">
        <v>1</v>
      </c>
      <c r="AE90" s="825">
        <v>1</v>
      </c>
    </row>
    <row r="91" spans="1:31">
      <c r="A91" s="530" t="s">
        <v>170</v>
      </c>
      <c r="B91" s="530" t="s">
        <v>66</v>
      </c>
      <c r="C91" s="544">
        <v>0.160379199490566</v>
      </c>
      <c r="D91" s="544">
        <v>0.15446187580427101</v>
      </c>
      <c r="E91" s="544">
        <v>0.150715085397779</v>
      </c>
      <c r="F91" s="544">
        <v>0.16529292675073201</v>
      </c>
      <c r="G91" s="544">
        <v>0.15122023749180499</v>
      </c>
      <c r="H91" s="544">
        <v>0.154994670880959</v>
      </c>
      <c r="I91" s="544">
        <v>0.157338276846716</v>
      </c>
      <c r="J91" s="544">
        <v>0.14531554340747699</v>
      </c>
      <c r="K91" s="544">
        <v>0.14696744298109199</v>
      </c>
      <c r="L91" s="544">
        <v>0.138183874922262</v>
      </c>
      <c r="M91" s="544">
        <v>0.13843091131472601</v>
      </c>
      <c r="N91" s="544">
        <v>0.14193890659733299</v>
      </c>
      <c r="O91" s="544">
        <v>0.142030356998123</v>
      </c>
      <c r="P91" s="544">
        <v>0.15413965023955001</v>
      </c>
      <c r="Q91" s="544">
        <v>0.16079114530849001</v>
      </c>
      <c r="R91" s="544">
        <v>0.15948544626297201</v>
      </c>
      <c r="S91" s="544">
        <v>0.156950342197618</v>
      </c>
      <c r="T91" s="544">
        <v>0.15275046710006099</v>
      </c>
      <c r="U91" s="544">
        <v>0.158394407759476</v>
      </c>
      <c r="V91" s="544">
        <v>0.15812931575643399</v>
      </c>
      <c r="W91" s="544">
        <v>0.16062360978316301</v>
      </c>
      <c r="X91" s="544">
        <v>0.15980565312806899</v>
      </c>
      <c r="Y91" s="544">
        <v>0.16026198167601999</v>
      </c>
      <c r="Z91" s="544">
        <v>0.15569318999184201</v>
      </c>
      <c r="AA91" s="544">
        <v>0.15530790806715</v>
      </c>
      <c r="AB91" s="544">
        <v>0.14932887891755001</v>
      </c>
      <c r="AC91" s="785">
        <v>0.15100111047548501</v>
      </c>
      <c r="AD91" s="815">
        <v>0.14829875102409301</v>
      </c>
      <c r="AE91" s="815">
        <v>0.14588344907963899</v>
      </c>
    </row>
    <row r="92" spans="1:31">
      <c r="A92" s="533"/>
      <c r="B92" s="791" t="s">
        <v>55</v>
      </c>
      <c r="C92" s="811">
        <v>0.200471431652681</v>
      </c>
      <c r="D92" s="811">
        <v>0.193968140408907</v>
      </c>
      <c r="E92" s="811">
        <v>0.18574964014242801</v>
      </c>
      <c r="F92" s="811">
        <v>0.17699223130646599</v>
      </c>
      <c r="G92" s="811">
        <v>0.172438379865237</v>
      </c>
      <c r="H92" s="811">
        <v>0.18546253078025701</v>
      </c>
      <c r="I92" s="811">
        <v>0.175631269715499</v>
      </c>
      <c r="J92" s="811">
        <v>0.17623473824687999</v>
      </c>
      <c r="K92" s="811">
        <v>0.18157520948722899</v>
      </c>
      <c r="L92" s="811">
        <v>0.18425369753770501</v>
      </c>
      <c r="M92" s="811">
        <v>0.18038721309397199</v>
      </c>
      <c r="N92" s="811">
        <v>0.172735523529334</v>
      </c>
      <c r="O92" s="811">
        <v>0.16960094282378399</v>
      </c>
      <c r="P92" s="811">
        <v>0.17398296907007099</v>
      </c>
      <c r="Q92" s="811">
        <v>0.17138421870729001</v>
      </c>
      <c r="R92" s="811">
        <v>0.169156165232276</v>
      </c>
      <c r="S92" s="811">
        <v>0.16338163094240199</v>
      </c>
      <c r="T92" s="811">
        <v>0.14770333722875001</v>
      </c>
      <c r="U92" s="811">
        <v>0.149776607544549</v>
      </c>
      <c r="V92" s="811">
        <v>0.14651770414482301</v>
      </c>
      <c r="W92" s="811">
        <v>0.142049404611515</v>
      </c>
      <c r="X92" s="811">
        <v>0.141876841154878</v>
      </c>
      <c r="Y92" s="811">
        <v>0.142884176434042</v>
      </c>
      <c r="Z92" s="811">
        <v>0.13882787596165799</v>
      </c>
      <c r="AA92" s="811">
        <v>0.13401264286013301</v>
      </c>
      <c r="AB92" s="811">
        <v>0.12830509592153799</v>
      </c>
      <c r="AC92" s="786">
        <v>0.12786956960662199</v>
      </c>
      <c r="AD92" s="816">
        <v>0.12244979852530601</v>
      </c>
      <c r="AE92" s="816">
        <v>0.119946219000078</v>
      </c>
    </row>
    <row r="93" spans="1:31">
      <c r="A93" s="533"/>
      <c r="B93" s="791" t="s">
        <v>56</v>
      </c>
      <c r="C93" s="817">
        <v>0</v>
      </c>
      <c r="D93" s="817">
        <v>0</v>
      </c>
      <c r="E93" s="817">
        <v>0</v>
      </c>
      <c r="F93" s="817">
        <v>0</v>
      </c>
      <c r="G93" s="817">
        <v>0</v>
      </c>
      <c r="H93" s="817">
        <v>0</v>
      </c>
      <c r="I93" s="817">
        <v>0</v>
      </c>
      <c r="J93" s="817">
        <v>0</v>
      </c>
      <c r="K93" s="817">
        <v>0</v>
      </c>
      <c r="L93" s="817">
        <v>0</v>
      </c>
      <c r="M93" s="817">
        <v>0</v>
      </c>
      <c r="N93" s="811">
        <v>5.0368954344366203E-2</v>
      </c>
      <c r="O93" s="811">
        <v>4.9042608888041898E-2</v>
      </c>
      <c r="P93" s="811">
        <v>5.0834617142663699E-2</v>
      </c>
      <c r="Q93" s="811">
        <v>5.31183576554487E-2</v>
      </c>
      <c r="R93" s="811">
        <v>5.4189784384668198E-2</v>
      </c>
      <c r="S93" s="811">
        <v>5.43113215368035E-2</v>
      </c>
      <c r="T93" s="811">
        <v>5.7799696297488497E-2</v>
      </c>
      <c r="U93" s="811">
        <v>6.3482849057190496E-2</v>
      </c>
      <c r="V93" s="811">
        <v>6.4819056344480097E-2</v>
      </c>
      <c r="W93" s="811">
        <v>6.1662464021559803E-2</v>
      </c>
      <c r="X93" s="811">
        <v>5.8595680741272797E-2</v>
      </c>
      <c r="Y93" s="811">
        <v>5.6872664914986597E-2</v>
      </c>
      <c r="Z93" s="811">
        <v>5.9888680238087202E-2</v>
      </c>
      <c r="AA93" s="811">
        <v>6.4158747435843794E-2</v>
      </c>
      <c r="AB93" s="811">
        <v>6.2711231112831903E-2</v>
      </c>
      <c r="AC93" s="786">
        <v>7.03587172325605E-2</v>
      </c>
      <c r="AD93" s="816">
        <v>7.2318547375813003E-2</v>
      </c>
      <c r="AE93" s="816">
        <v>7.3662064998085197E-2</v>
      </c>
    </row>
    <row r="94" spans="1:31">
      <c r="A94" s="533"/>
      <c r="B94" s="791" t="s">
        <v>57</v>
      </c>
      <c r="C94" s="817">
        <v>0</v>
      </c>
      <c r="D94" s="817">
        <v>0</v>
      </c>
      <c r="E94" s="817">
        <v>0</v>
      </c>
      <c r="F94" s="817">
        <v>0</v>
      </c>
      <c r="G94" s="817">
        <v>0</v>
      </c>
      <c r="H94" s="817">
        <v>0</v>
      </c>
      <c r="I94" s="817">
        <v>0</v>
      </c>
      <c r="J94" s="817">
        <v>0</v>
      </c>
      <c r="K94" s="817">
        <v>0</v>
      </c>
      <c r="L94" s="817">
        <v>0</v>
      </c>
      <c r="M94" s="817">
        <v>0</v>
      </c>
      <c r="N94" s="817">
        <v>0</v>
      </c>
      <c r="O94" s="811">
        <v>1.27820092398483E-2</v>
      </c>
      <c r="P94" s="811">
        <v>1.4677749750292001E-2</v>
      </c>
      <c r="Q94" s="811">
        <v>1.6649463716734699E-2</v>
      </c>
      <c r="R94" s="811">
        <v>2.09399859407207E-2</v>
      </c>
      <c r="S94" s="811">
        <v>2.4452161417794299E-2</v>
      </c>
      <c r="T94" s="811">
        <v>2.5720243801739599E-2</v>
      </c>
      <c r="U94" s="811">
        <v>3.1167825957754101E-2</v>
      </c>
      <c r="V94" s="811">
        <v>3.6283741368487103E-2</v>
      </c>
      <c r="W94" s="811">
        <v>4.2977619469888699E-2</v>
      </c>
      <c r="X94" s="811">
        <v>4.8889870105905502E-2</v>
      </c>
      <c r="Y94" s="811">
        <v>5.4618590919062703E-2</v>
      </c>
      <c r="Z94" s="811">
        <v>6.4214027448576197E-2</v>
      </c>
      <c r="AA94" s="811">
        <v>7.0523715828693406E-2</v>
      </c>
      <c r="AB94" s="811">
        <v>7.5852997516370105E-2</v>
      </c>
      <c r="AC94" s="786">
        <v>8.18521385065787E-2</v>
      </c>
      <c r="AD94" s="816">
        <v>8.3132973298332996E-2</v>
      </c>
      <c r="AE94" s="816">
        <v>8.9272481005061494E-2</v>
      </c>
    </row>
    <row r="95" spans="1:31">
      <c r="A95" s="533"/>
      <c r="B95" s="791" t="s">
        <v>58</v>
      </c>
      <c r="C95" s="811">
        <v>0.54893542721567701</v>
      </c>
      <c r="D95" s="811">
        <v>0.55954045629178195</v>
      </c>
      <c r="E95" s="811">
        <v>0.57131914105575099</v>
      </c>
      <c r="F95" s="811">
        <v>0.554523348643717</v>
      </c>
      <c r="G95" s="811">
        <v>0.55317545602616902</v>
      </c>
      <c r="H95" s="811">
        <v>0.53508336702316595</v>
      </c>
      <c r="I95" s="811">
        <v>0.55089775598379398</v>
      </c>
      <c r="J95" s="811">
        <v>0.55174760031655101</v>
      </c>
      <c r="K95" s="811">
        <v>0.53099794645083398</v>
      </c>
      <c r="L95" s="811">
        <v>0.53199243473164504</v>
      </c>
      <c r="M95" s="811">
        <v>0.520660051130721</v>
      </c>
      <c r="N95" s="811">
        <v>0.52909105258311895</v>
      </c>
      <c r="O95" s="811">
        <v>0.479952946433852</v>
      </c>
      <c r="P95" s="811">
        <v>0.477784455467335</v>
      </c>
      <c r="Q95" s="811">
        <v>0.49360295047590302</v>
      </c>
      <c r="R95" s="811">
        <v>0.491975487606785</v>
      </c>
      <c r="S95" s="811">
        <v>0.49516317714138303</v>
      </c>
      <c r="T95" s="811">
        <v>0.51361412986431398</v>
      </c>
      <c r="U95" s="811">
        <v>0.49256222335098998</v>
      </c>
      <c r="V95" s="811">
        <v>0.48919258241292102</v>
      </c>
      <c r="W95" s="811">
        <v>0.487683525135781</v>
      </c>
      <c r="X95" s="811">
        <v>0.48422620420590601</v>
      </c>
      <c r="Y95" s="811">
        <v>0.47743330302223402</v>
      </c>
      <c r="Z95" s="811">
        <v>0.47147250073617802</v>
      </c>
      <c r="AA95" s="811">
        <v>0.46434797170008801</v>
      </c>
      <c r="AB95" s="811">
        <v>0.47676901566090102</v>
      </c>
      <c r="AC95" s="786">
        <v>0.46031732678265003</v>
      </c>
      <c r="AD95" s="816">
        <v>0.46128341888344598</v>
      </c>
      <c r="AE95" s="816">
        <v>0.44773179793331103</v>
      </c>
    </row>
    <row r="96" spans="1:31">
      <c r="A96" s="533"/>
      <c r="B96" s="795" t="s">
        <v>59</v>
      </c>
      <c r="C96" s="818">
        <v>9.0213941641075199E-2</v>
      </c>
      <c r="D96" s="818">
        <v>9.20295274950408E-2</v>
      </c>
      <c r="E96" s="818">
        <v>9.2216133404042194E-2</v>
      </c>
      <c r="F96" s="818">
        <v>0.103191493299085</v>
      </c>
      <c r="G96" s="818">
        <v>0.123165926616789</v>
      </c>
      <c r="H96" s="818">
        <v>0.124459431315619</v>
      </c>
      <c r="I96" s="818">
        <v>0.116132697453991</v>
      </c>
      <c r="J96" s="818">
        <v>0.12670211802909101</v>
      </c>
      <c r="K96" s="818">
        <v>0.14045940108084501</v>
      </c>
      <c r="L96" s="818">
        <v>0.145569992808388</v>
      </c>
      <c r="M96" s="818">
        <v>0.16052182446058</v>
      </c>
      <c r="N96" s="818">
        <v>0.10586556294584699</v>
      </c>
      <c r="O96" s="818">
        <v>0.14659113561635101</v>
      </c>
      <c r="P96" s="818">
        <v>0.128580558330089</v>
      </c>
      <c r="Q96" s="818">
        <v>0.104453864136133</v>
      </c>
      <c r="R96" s="818">
        <v>0.104253130572578</v>
      </c>
      <c r="S96" s="818">
        <v>0.10574136676399901</v>
      </c>
      <c r="T96" s="818">
        <v>0.102412125707648</v>
      </c>
      <c r="U96" s="818">
        <v>0.10461608633004001</v>
      </c>
      <c r="V96" s="818">
        <v>0.10505759997285399</v>
      </c>
      <c r="W96" s="818">
        <v>0.10500337697809201</v>
      </c>
      <c r="X96" s="818">
        <v>0.106605750663969</v>
      </c>
      <c r="Y96" s="818">
        <v>0.107929283033655</v>
      </c>
      <c r="Z96" s="818">
        <v>0.10990372562365899</v>
      </c>
      <c r="AA96" s="818">
        <v>0.111649014108092</v>
      </c>
      <c r="AB96" s="818">
        <v>0.107032780870809</v>
      </c>
      <c r="AC96" s="786">
        <v>0.108601137396103</v>
      </c>
      <c r="AD96" s="816">
        <v>0.112516510893009</v>
      </c>
      <c r="AE96" s="816">
        <v>0.123503987983826</v>
      </c>
    </row>
    <row r="97" spans="1:114">
      <c r="A97" s="538"/>
      <c r="B97" s="538" t="s">
        <v>62</v>
      </c>
      <c r="C97" s="569">
        <v>1</v>
      </c>
      <c r="D97" s="569">
        <v>1</v>
      </c>
      <c r="E97" s="569">
        <v>1</v>
      </c>
      <c r="F97" s="569">
        <v>1</v>
      </c>
      <c r="G97" s="569">
        <v>1</v>
      </c>
      <c r="H97" s="569">
        <v>1</v>
      </c>
      <c r="I97" s="569">
        <v>1</v>
      </c>
      <c r="J97" s="569">
        <v>1</v>
      </c>
      <c r="K97" s="569">
        <v>1</v>
      </c>
      <c r="L97" s="569">
        <v>1</v>
      </c>
      <c r="M97" s="569">
        <v>1</v>
      </c>
      <c r="N97" s="569">
        <v>1</v>
      </c>
      <c r="O97" s="569">
        <v>1</v>
      </c>
      <c r="P97" s="569">
        <v>1</v>
      </c>
      <c r="Q97" s="569">
        <v>1</v>
      </c>
      <c r="R97" s="569">
        <v>1</v>
      </c>
      <c r="S97" s="569">
        <v>1</v>
      </c>
      <c r="T97" s="569">
        <v>1</v>
      </c>
      <c r="U97" s="569">
        <v>1</v>
      </c>
      <c r="V97" s="569">
        <v>1</v>
      </c>
      <c r="W97" s="569">
        <v>1</v>
      </c>
      <c r="X97" s="569">
        <v>1</v>
      </c>
      <c r="Y97" s="569">
        <v>1</v>
      </c>
      <c r="Z97" s="569">
        <v>1</v>
      </c>
      <c r="AA97" s="569">
        <v>1</v>
      </c>
      <c r="AB97" s="569">
        <v>1</v>
      </c>
      <c r="AC97" s="823">
        <v>1</v>
      </c>
      <c r="AD97" s="824">
        <v>1</v>
      </c>
      <c r="AE97" s="824">
        <v>1</v>
      </c>
    </row>
    <row r="98" spans="1:114">
      <c r="AC98" s="123"/>
    </row>
    <row r="99" spans="1:114">
      <c r="AC99" s="123"/>
    </row>
    <row r="100" spans="1:114">
      <c r="AC100" s="123"/>
    </row>
    <row r="101" spans="1:114" s="790" customFormat="1">
      <c r="AC101" s="123"/>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row>
    <row r="102" spans="1:114" s="561" customFormat="1">
      <c r="AC102" s="123"/>
      <c r="AD102"/>
      <c r="AE102"/>
      <c r="AF102" s="558" t="s">
        <v>186</v>
      </c>
      <c r="AG102" s="559"/>
      <c r="AH102" s="559"/>
      <c r="AI102" s="559"/>
      <c r="AJ102" s="559"/>
      <c r="AK102" s="559"/>
      <c r="AL102" s="559"/>
      <c r="AM102" s="559"/>
      <c r="AN102" s="559"/>
      <c r="AO102" s="559"/>
      <c r="AP102" s="559"/>
      <c r="AQ102" s="559"/>
      <c r="AR102" s="559"/>
      <c r="AS102" s="559"/>
      <c r="AT102" s="559"/>
      <c r="AU102" s="559"/>
      <c r="AV102" s="559" t="s">
        <v>129</v>
      </c>
      <c r="AW102" s="559"/>
      <c r="AX102" s="559"/>
      <c r="AY102" s="559"/>
      <c r="AZ102" s="559"/>
      <c r="BA102" s="559"/>
      <c r="BB102" s="559"/>
      <c r="BC102" s="559"/>
      <c r="BD102" s="559"/>
      <c r="BE102" s="559"/>
      <c r="BF102" s="559"/>
      <c r="BG102" s="559"/>
      <c r="BH102" s="559"/>
      <c r="BI102" s="559"/>
      <c r="BJ102" s="559"/>
      <c r="BK102" s="559"/>
      <c r="BL102" s="559" t="s">
        <v>146</v>
      </c>
      <c r="BM102" s="559"/>
      <c r="BN102" s="559"/>
      <c r="BO102" s="559"/>
      <c r="BP102" s="559"/>
      <c r="BQ102" s="559"/>
      <c r="BR102" s="559"/>
      <c r="BS102" s="559"/>
      <c r="BT102" s="559"/>
      <c r="BU102" s="559"/>
      <c r="BV102" s="559"/>
      <c r="BW102" s="559"/>
      <c r="BX102" s="559"/>
      <c r="BY102" s="559"/>
      <c r="BZ102" s="559"/>
      <c r="CA102" s="559"/>
      <c r="CB102" s="559" t="s">
        <v>156</v>
      </c>
      <c r="CC102" s="559"/>
      <c r="CD102" s="559"/>
      <c r="CE102" s="559"/>
      <c r="CF102" s="559"/>
      <c r="CG102" s="559"/>
      <c r="CH102" s="559"/>
      <c r="CI102" s="559"/>
      <c r="CJ102" s="559"/>
      <c r="CK102" s="559"/>
      <c r="CL102" s="559"/>
      <c r="CM102" s="559"/>
      <c r="CN102" s="559"/>
      <c r="CO102" s="559"/>
      <c r="CP102" s="559"/>
      <c r="CQ102" s="559"/>
      <c r="CR102" s="559" t="s">
        <v>170</v>
      </c>
      <c r="CS102" s="559"/>
      <c r="CT102" s="559"/>
      <c r="CU102" s="559"/>
      <c r="CV102" s="559"/>
      <c r="CW102" s="559"/>
      <c r="CX102" s="559"/>
      <c r="CY102" s="559"/>
      <c r="CZ102" s="559"/>
      <c r="DA102" s="559"/>
      <c r="DB102" s="559"/>
      <c r="DC102" s="559"/>
      <c r="DD102" s="559"/>
      <c r="DE102" s="559"/>
      <c r="DF102" s="567"/>
      <c r="DJ102" s="827"/>
    </row>
    <row r="103" spans="1:114" s="561" customFormat="1">
      <c r="AC103" s="123"/>
      <c r="AD103"/>
      <c r="AE103"/>
      <c r="AF103" s="560">
        <f t="shared" ref="AF103:AQ103" si="175">Q44</f>
        <v>2010</v>
      </c>
      <c r="AG103" s="561">
        <f t="shared" si="175"/>
        <v>2011</v>
      </c>
      <c r="AH103" s="561">
        <f t="shared" si="175"/>
        <v>2012</v>
      </c>
      <c r="AI103" s="561">
        <f t="shared" si="175"/>
        <v>2013</v>
      </c>
      <c r="AJ103" s="561">
        <f t="shared" si="175"/>
        <v>2014</v>
      </c>
      <c r="AK103" s="561">
        <f t="shared" si="175"/>
        <v>2015</v>
      </c>
      <c r="AL103" s="561">
        <f t="shared" si="175"/>
        <v>2016</v>
      </c>
      <c r="AM103" s="561">
        <f t="shared" si="175"/>
        <v>2017</v>
      </c>
      <c r="AN103" s="561">
        <f t="shared" si="175"/>
        <v>2018</v>
      </c>
      <c r="AO103" s="561">
        <f t="shared" si="175"/>
        <v>2019</v>
      </c>
      <c r="AP103" s="561">
        <f t="shared" si="175"/>
        <v>2020</v>
      </c>
      <c r="AQ103" s="561">
        <f t="shared" si="175"/>
        <v>2021</v>
      </c>
      <c r="AR103" s="561">
        <f t="shared" ref="AR103" si="176">AC44</f>
        <v>2022</v>
      </c>
      <c r="AS103" s="561">
        <f t="shared" ref="AS103" si="177">AD44</f>
        <v>2023</v>
      </c>
      <c r="AT103" s="561">
        <f t="shared" ref="AT103" si="178">AE44</f>
        <v>2024</v>
      </c>
      <c r="AV103" s="561">
        <f t="shared" ref="AV103:BG103" si="179">Q44</f>
        <v>2010</v>
      </c>
      <c r="AW103" s="561">
        <f t="shared" si="179"/>
        <v>2011</v>
      </c>
      <c r="AX103" s="561">
        <f t="shared" si="179"/>
        <v>2012</v>
      </c>
      <c r="AY103" s="561">
        <f t="shared" si="179"/>
        <v>2013</v>
      </c>
      <c r="AZ103" s="561">
        <f t="shared" si="179"/>
        <v>2014</v>
      </c>
      <c r="BA103" s="561">
        <f t="shared" si="179"/>
        <v>2015</v>
      </c>
      <c r="BB103" s="561">
        <f t="shared" si="179"/>
        <v>2016</v>
      </c>
      <c r="BC103" s="561">
        <f t="shared" si="179"/>
        <v>2017</v>
      </c>
      <c r="BD103" s="561">
        <f t="shared" si="179"/>
        <v>2018</v>
      </c>
      <c r="BE103" s="561">
        <f t="shared" si="179"/>
        <v>2019</v>
      </c>
      <c r="BF103" s="561">
        <f t="shared" si="179"/>
        <v>2020</v>
      </c>
      <c r="BG103" s="561">
        <f t="shared" si="179"/>
        <v>2021</v>
      </c>
      <c r="BH103" s="561">
        <f t="shared" ref="BH103" si="180">AC44</f>
        <v>2022</v>
      </c>
      <c r="BI103" s="561">
        <f t="shared" ref="BI103" si="181">AD44</f>
        <v>2023</v>
      </c>
      <c r="BJ103" s="561">
        <f t="shared" ref="BJ103" si="182">AE44</f>
        <v>2024</v>
      </c>
      <c r="BL103" s="561">
        <f t="shared" ref="BL103:BW103" si="183">AV103</f>
        <v>2010</v>
      </c>
      <c r="BM103" s="561">
        <f t="shared" si="183"/>
        <v>2011</v>
      </c>
      <c r="BN103" s="561">
        <f t="shared" si="183"/>
        <v>2012</v>
      </c>
      <c r="BO103" s="561">
        <f t="shared" si="183"/>
        <v>2013</v>
      </c>
      <c r="BP103" s="561">
        <f t="shared" si="183"/>
        <v>2014</v>
      </c>
      <c r="BQ103" s="561">
        <f t="shared" si="183"/>
        <v>2015</v>
      </c>
      <c r="BR103" s="561">
        <f t="shared" si="183"/>
        <v>2016</v>
      </c>
      <c r="BS103" s="561">
        <f t="shared" si="183"/>
        <v>2017</v>
      </c>
      <c r="BT103" s="561">
        <f t="shared" si="183"/>
        <v>2018</v>
      </c>
      <c r="BU103" s="561">
        <f t="shared" si="183"/>
        <v>2019</v>
      </c>
      <c r="BV103" s="561">
        <f t="shared" si="183"/>
        <v>2020</v>
      </c>
      <c r="BW103" s="561">
        <f t="shared" si="183"/>
        <v>2021</v>
      </c>
      <c r="BX103" s="561">
        <f t="shared" ref="BX103:BZ103" si="184">BH103</f>
        <v>2022</v>
      </c>
      <c r="BY103" s="561">
        <f t="shared" si="184"/>
        <v>2023</v>
      </c>
      <c r="BZ103" s="561">
        <f t="shared" si="184"/>
        <v>2024</v>
      </c>
      <c r="CB103" s="561">
        <f t="shared" ref="CB103:CL103" si="185">BL103</f>
        <v>2010</v>
      </c>
      <c r="CC103" s="561">
        <f t="shared" si="185"/>
        <v>2011</v>
      </c>
      <c r="CD103" s="561">
        <f t="shared" si="185"/>
        <v>2012</v>
      </c>
      <c r="CE103" s="561">
        <f t="shared" si="185"/>
        <v>2013</v>
      </c>
      <c r="CF103" s="561">
        <f t="shared" si="185"/>
        <v>2014</v>
      </c>
      <c r="CG103" s="561">
        <f t="shared" si="185"/>
        <v>2015</v>
      </c>
      <c r="CH103" s="561">
        <f t="shared" si="185"/>
        <v>2016</v>
      </c>
      <c r="CI103" s="561">
        <f t="shared" si="185"/>
        <v>2017</v>
      </c>
      <c r="CJ103" s="561">
        <f t="shared" si="185"/>
        <v>2018</v>
      </c>
      <c r="CK103" s="561">
        <f t="shared" si="185"/>
        <v>2019</v>
      </c>
      <c r="CL103" s="561">
        <f t="shared" si="185"/>
        <v>2020</v>
      </c>
      <c r="CM103" s="561">
        <f t="shared" ref="CM103:CP103" si="186">BW103</f>
        <v>2021</v>
      </c>
      <c r="CN103" s="561">
        <f t="shared" si="186"/>
        <v>2022</v>
      </c>
      <c r="CO103" s="561">
        <f t="shared" si="186"/>
        <v>2023</v>
      </c>
      <c r="CP103" s="561">
        <f t="shared" si="186"/>
        <v>2024</v>
      </c>
      <c r="CR103" s="561">
        <f t="shared" ref="CR103:DF103" si="187">CB103</f>
        <v>2010</v>
      </c>
      <c r="CS103" s="561">
        <f t="shared" si="187"/>
        <v>2011</v>
      </c>
      <c r="CT103" s="561">
        <f t="shared" si="187"/>
        <v>2012</v>
      </c>
      <c r="CU103" s="561">
        <f t="shared" si="187"/>
        <v>2013</v>
      </c>
      <c r="CV103" s="561">
        <f t="shared" si="187"/>
        <v>2014</v>
      </c>
      <c r="CW103" s="561">
        <f t="shared" si="187"/>
        <v>2015</v>
      </c>
      <c r="CX103" s="561">
        <f t="shared" si="187"/>
        <v>2016</v>
      </c>
      <c r="CY103" s="561">
        <f t="shared" si="187"/>
        <v>2017</v>
      </c>
      <c r="CZ103" s="561">
        <f t="shared" si="187"/>
        <v>2018</v>
      </c>
      <c r="DA103" s="561">
        <f t="shared" si="187"/>
        <v>2019</v>
      </c>
      <c r="DB103" s="561">
        <f t="shared" si="187"/>
        <v>2020</v>
      </c>
      <c r="DC103" s="561">
        <f t="shared" si="187"/>
        <v>2021</v>
      </c>
      <c r="DD103" s="561">
        <f t="shared" si="187"/>
        <v>2022</v>
      </c>
      <c r="DE103" s="561">
        <f t="shared" si="187"/>
        <v>2023</v>
      </c>
      <c r="DF103" s="561">
        <f t="shared" si="187"/>
        <v>2024</v>
      </c>
      <c r="DH103" s="561">
        <v>2024</v>
      </c>
      <c r="DJ103" s="828"/>
    </row>
    <row r="104" spans="1:114" s="561" customFormat="1">
      <c r="AC104" s="123"/>
      <c r="AD104"/>
      <c r="AE104"/>
      <c r="AF104" s="710">
        <f t="shared" ref="AF104:AQ106" si="188">Q45/1000</f>
        <v>74.408000000000001</v>
      </c>
      <c r="AG104" s="713">
        <f t="shared" si="188"/>
        <v>71.903999999999996</v>
      </c>
      <c r="AH104" s="713">
        <f t="shared" si="188"/>
        <v>72.965000000000003</v>
      </c>
      <c r="AI104" s="713">
        <f t="shared" si="188"/>
        <v>73.42</v>
      </c>
      <c r="AJ104" s="713">
        <f t="shared" si="188"/>
        <v>75.180000000000007</v>
      </c>
      <c r="AK104" s="713">
        <f t="shared" si="188"/>
        <v>76.096999999999994</v>
      </c>
      <c r="AL104" s="713">
        <f t="shared" si="188"/>
        <v>76.052000000000007</v>
      </c>
      <c r="AM104" s="713">
        <f t="shared" si="188"/>
        <v>78.492999999999995</v>
      </c>
      <c r="AN104" s="713">
        <f t="shared" si="188"/>
        <v>81.593999999999994</v>
      </c>
      <c r="AO104" s="713">
        <f t="shared" si="188"/>
        <v>82.554000000000002</v>
      </c>
      <c r="AP104" s="713">
        <f t="shared" si="188"/>
        <v>81.531000000000006</v>
      </c>
      <c r="AQ104" s="713">
        <f t="shared" si="188"/>
        <v>83.894000000000005</v>
      </c>
      <c r="AR104" s="713">
        <f t="shared" ref="AR104:AR106" si="189">AC45/1000</f>
        <v>84.224999999999994</v>
      </c>
      <c r="AS104" s="713">
        <f t="shared" ref="AS104:AS106" si="190">AD45/1000</f>
        <v>85.748000000000005</v>
      </c>
      <c r="AT104" s="713">
        <f>AE45/1000</f>
        <v>86.296000000000006</v>
      </c>
      <c r="AV104" s="713">
        <f t="shared" ref="AV104:BJ106" si="191">Q48/1000</f>
        <v>290.08100000000002</v>
      </c>
      <c r="AW104" s="713">
        <f t="shared" si="191"/>
        <v>287.58</v>
      </c>
      <c r="AX104" s="713">
        <f t="shared" si="191"/>
        <v>287.01299999999998</v>
      </c>
      <c r="AY104" s="713">
        <f t="shared" si="191"/>
        <v>271.73099999999999</v>
      </c>
      <c r="AZ104" s="713">
        <f t="shared" si="191"/>
        <v>265.959</v>
      </c>
      <c r="BA104" s="713">
        <f t="shared" si="191"/>
        <v>258.839</v>
      </c>
      <c r="BB104" s="713">
        <f t="shared" si="191"/>
        <v>260.24400000000003</v>
      </c>
      <c r="BC104" s="713">
        <f t="shared" si="191"/>
        <v>260.29000000000002</v>
      </c>
      <c r="BD104" s="713">
        <f t="shared" si="191"/>
        <v>253.63</v>
      </c>
      <c r="BE104" s="713">
        <f t="shared" si="191"/>
        <v>245.37200000000001</v>
      </c>
      <c r="BF104" s="713">
        <f t="shared" si="191"/>
        <v>227.34800000000001</v>
      </c>
      <c r="BG104" s="713">
        <f t="shared" si="191"/>
        <v>222.452</v>
      </c>
      <c r="BH104" s="713">
        <f t="shared" si="191"/>
        <v>218.81299999999999</v>
      </c>
      <c r="BI104" s="713">
        <f t="shared" si="191"/>
        <v>228.93600000000001</v>
      </c>
      <c r="BJ104" s="713">
        <f t="shared" si="191"/>
        <v>237.16900000000001</v>
      </c>
      <c r="BL104" s="713">
        <f t="shared" ref="BL104:BZ106" si="192">Q51/1000</f>
        <v>131.80500000000001</v>
      </c>
      <c r="BM104" s="713">
        <f t="shared" si="192"/>
        <v>138.03399999999999</v>
      </c>
      <c r="BN104" s="713">
        <f t="shared" si="192"/>
        <v>148.136</v>
      </c>
      <c r="BO104" s="713">
        <f t="shared" si="192"/>
        <v>159.97800000000001</v>
      </c>
      <c r="BP104" s="713">
        <f t="shared" si="192"/>
        <v>164.07300000000001</v>
      </c>
      <c r="BQ104" s="713">
        <f t="shared" si="192"/>
        <v>167.273</v>
      </c>
      <c r="BR104" s="713">
        <f t="shared" si="192"/>
        <v>163.423</v>
      </c>
      <c r="BS104" s="713">
        <f t="shared" si="192"/>
        <v>159.03100000000001</v>
      </c>
      <c r="BT104" s="713">
        <f t="shared" si="192"/>
        <v>162.57599999999999</v>
      </c>
      <c r="BU104" s="713">
        <f t="shared" si="192"/>
        <v>171.60300000000001</v>
      </c>
      <c r="BV104" s="713">
        <f t="shared" si="192"/>
        <v>180.477</v>
      </c>
      <c r="BW104" s="713">
        <f t="shared" si="192"/>
        <v>186.245</v>
      </c>
      <c r="BX104" s="713">
        <f t="shared" si="192"/>
        <v>183.74799999999999</v>
      </c>
      <c r="BY104" s="713">
        <f t="shared" si="192"/>
        <v>191.142</v>
      </c>
      <c r="BZ104" s="713">
        <f t="shared" si="192"/>
        <v>195.786</v>
      </c>
      <c r="CB104" s="713">
        <f t="shared" ref="CB104:CP104" si="193">Q54/1000</f>
        <v>293.06599999999997</v>
      </c>
      <c r="CC104" s="713">
        <f t="shared" si="193"/>
        <v>415.82900000000001</v>
      </c>
      <c r="CD104" s="713">
        <f t="shared" si="193"/>
        <v>535.31500000000005</v>
      </c>
      <c r="CE104" s="713">
        <f t="shared" si="193"/>
        <v>704.93600000000004</v>
      </c>
      <c r="CF104" s="713">
        <f t="shared" si="193"/>
        <v>801.13499999999999</v>
      </c>
      <c r="CG104" s="713">
        <f t="shared" si="193"/>
        <v>968.25099999999998</v>
      </c>
      <c r="CH104" s="713">
        <f t="shared" si="193"/>
        <v>1204.981</v>
      </c>
      <c r="CI104" s="713">
        <f t="shared" si="193"/>
        <v>1245.7090000000001</v>
      </c>
      <c r="CJ104" s="713">
        <f t="shared" si="193"/>
        <v>1393.8150000000001</v>
      </c>
      <c r="CK104" s="713">
        <f t="shared" si="193"/>
        <v>1243.568</v>
      </c>
      <c r="CL104" s="713">
        <f t="shared" si="193"/>
        <v>1344.817</v>
      </c>
      <c r="CM104" s="713">
        <f t="shared" si="193"/>
        <v>1427.845</v>
      </c>
      <c r="CN104" s="713">
        <f t="shared" si="193"/>
        <v>1464.605</v>
      </c>
      <c r="CO104" s="713">
        <f t="shared" si="193"/>
        <v>1522.2919999999999</v>
      </c>
      <c r="CP104" s="713">
        <f t="shared" si="193"/>
        <v>1672.001</v>
      </c>
      <c r="CR104" s="713">
        <f t="shared" ref="CR104:DF106" si="194">Q57/1000</f>
        <v>241.977</v>
      </c>
      <c r="CS104" s="713">
        <f t="shared" si="194"/>
        <v>247.75</v>
      </c>
      <c r="CT104" s="713">
        <f t="shared" si="194"/>
        <v>268.78199999999998</v>
      </c>
      <c r="CU104" s="713">
        <f t="shared" si="194"/>
        <v>293.58800000000002</v>
      </c>
      <c r="CV104" s="713">
        <f t="shared" si="194"/>
        <v>285.096</v>
      </c>
      <c r="CW104" s="713">
        <f t="shared" si="194"/>
        <v>288.33499999999998</v>
      </c>
      <c r="CX104" s="713">
        <f t="shared" si="194"/>
        <v>295.327</v>
      </c>
      <c r="CY104" s="713">
        <f t="shared" si="194"/>
        <v>293.904</v>
      </c>
      <c r="CZ104" s="713">
        <f t="shared" si="194"/>
        <v>285.09500000000003</v>
      </c>
      <c r="DA104" s="713">
        <f t="shared" si="194"/>
        <v>292.99799999999999</v>
      </c>
      <c r="DB104" s="713">
        <f t="shared" si="194"/>
        <v>277.29700000000003</v>
      </c>
      <c r="DC104" s="713">
        <f t="shared" si="194"/>
        <v>281.99599999999998</v>
      </c>
      <c r="DD104" s="713">
        <f t="shared" si="194"/>
        <v>273.58499999999998</v>
      </c>
      <c r="DE104" s="713">
        <f t="shared" si="194"/>
        <v>275.88900000000001</v>
      </c>
      <c r="DF104" s="713">
        <f t="shared" si="194"/>
        <v>270.06599999999997</v>
      </c>
      <c r="DJ104" s="828"/>
    </row>
    <row r="105" spans="1:114" s="561" customFormat="1">
      <c r="AC105" s="123"/>
      <c r="AD105"/>
      <c r="AE105"/>
      <c r="AF105" s="710">
        <f t="shared" si="188"/>
        <v>76.552999999999997</v>
      </c>
      <c r="AG105" s="713">
        <f t="shared" si="188"/>
        <v>70.906000000000006</v>
      </c>
      <c r="AH105" s="713">
        <f t="shared" si="188"/>
        <v>75.528999999999996</v>
      </c>
      <c r="AI105" s="713">
        <f t="shared" si="188"/>
        <v>74.448999999999998</v>
      </c>
      <c r="AJ105" s="713">
        <f t="shared" si="188"/>
        <v>76.801000000000002</v>
      </c>
      <c r="AK105" s="713">
        <f t="shared" si="188"/>
        <v>83.924999999999997</v>
      </c>
      <c r="AL105" s="713">
        <f t="shared" si="188"/>
        <v>83.301000000000002</v>
      </c>
      <c r="AM105" s="713">
        <f t="shared" si="188"/>
        <v>88.100999999999999</v>
      </c>
      <c r="AN105" s="713">
        <f t="shared" si="188"/>
        <v>92.887</v>
      </c>
      <c r="AO105" s="713">
        <f t="shared" si="188"/>
        <v>98.977999999999994</v>
      </c>
      <c r="AP105" s="713">
        <f t="shared" si="188"/>
        <v>98.885999999999996</v>
      </c>
      <c r="AQ105" s="713">
        <f t="shared" si="188"/>
        <v>104.91500000000001</v>
      </c>
      <c r="AR105" s="713">
        <f t="shared" si="189"/>
        <v>109.402</v>
      </c>
      <c r="AS105" s="713">
        <f t="shared" si="190"/>
        <v>113.527</v>
      </c>
      <c r="AT105" s="713">
        <f>AE46/1000</f>
        <v>112.968</v>
      </c>
      <c r="AV105" s="713">
        <f t="shared" si="191"/>
        <v>54.517000000000003</v>
      </c>
      <c r="AW105" s="713">
        <f t="shared" si="191"/>
        <v>55.03</v>
      </c>
      <c r="AX105" s="713">
        <f t="shared" si="191"/>
        <v>55.783000000000001</v>
      </c>
      <c r="AY105" s="713">
        <f t="shared" si="191"/>
        <v>56.704999999999998</v>
      </c>
      <c r="AZ105" s="713">
        <f t="shared" si="191"/>
        <v>60.03</v>
      </c>
      <c r="BA105" s="713">
        <f t="shared" si="191"/>
        <v>59.881999999999998</v>
      </c>
      <c r="BB105" s="713">
        <f t="shared" si="191"/>
        <v>58.137</v>
      </c>
      <c r="BC105" s="713">
        <f t="shared" si="191"/>
        <v>58.189</v>
      </c>
      <c r="BD105" s="713">
        <f t="shared" si="191"/>
        <v>59.936999999999998</v>
      </c>
      <c r="BE105" s="713">
        <f t="shared" si="191"/>
        <v>62.597000000000001</v>
      </c>
      <c r="BF105" s="713">
        <f t="shared" si="191"/>
        <v>61.124000000000002</v>
      </c>
      <c r="BG105" s="713">
        <f t="shared" si="191"/>
        <v>66.748000000000005</v>
      </c>
      <c r="BH105" s="713">
        <f t="shared" si="191"/>
        <v>70.716999999999999</v>
      </c>
      <c r="BI105" s="713">
        <f t="shared" si="191"/>
        <v>71.197000000000003</v>
      </c>
      <c r="BJ105" s="713">
        <f t="shared" si="191"/>
        <v>69.686000000000007</v>
      </c>
      <c r="BL105" s="713">
        <f t="shared" si="192"/>
        <v>38.295999999999999</v>
      </c>
      <c r="BM105" s="713">
        <f t="shared" si="192"/>
        <v>40.89</v>
      </c>
      <c r="BN105" s="713">
        <f t="shared" si="192"/>
        <v>40.779000000000003</v>
      </c>
      <c r="BO105" s="713">
        <f t="shared" si="192"/>
        <v>44.610999999999997</v>
      </c>
      <c r="BP105" s="713">
        <f t="shared" si="192"/>
        <v>46.219000000000001</v>
      </c>
      <c r="BQ105" s="713">
        <f t="shared" si="192"/>
        <v>46.420999999999999</v>
      </c>
      <c r="BR105" s="713">
        <f t="shared" si="192"/>
        <v>45.406999999999996</v>
      </c>
      <c r="BS105" s="713">
        <f t="shared" si="192"/>
        <v>45.744</v>
      </c>
      <c r="BT105" s="713">
        <f t="shared" si="192"/>
        <v>47.415999999999997</v>
      </c>
      <c r="BU105" s="713">
        <f t="shared" si="192"/>
        <v>47.372</v>
      </c>
      <c r="BV105" s="713">
        <f t="shared" si="192"/>
        <v>46.281999999999996</v>
      </c>
      <c r="BW105" s="713">
        <f t="shared" si="192"/>
        <v>51.753</v>
      </c>
      <c r="BX105" s="713">
        <f t="shared" si="192"/>
        <v>53.884999999999998</v>
      </c>
      <c r="BY105" s="713">
        <f t="shared" si="192"/>
        <v>52.167999999999999</v>
      </c>
      <c r="BZ105" s="713">
        <f t="shared" si="192"/>
        <v>50.459000000000003</v>
      </c>
      <c r="CB105" s="713">
        <f t="shared" ref="CB105:CO106" si="195">Q55/1000</f>
        <v>98.111000000000004</v>
      </c>
      <c r="CC105" s="713">
        <f t="shared" si="195"/>
        <v>110.583</v>
      </c>
      <c r="CD105" s="713">
        <f t="shared" si="195"/>
        <v>117.462</v>
      </c>
      <c r="CE105" s="713">
        <f t="shared" si="195"/>
        <v>120.2</v>
      </c>
      <c r="CF105" s="713">
        <f t="shared" si="195"/>
        <v>127.042</v>
      </c>
      <c r="CG105" s="713">
        <f t="shared" si="195"/>
        <v>133.613</v>
      </c>
      <c r="CH105" s="713">
        <f t="shared" si="195"/>
        <v>133.52199999999999</v>
      </c>
      <c r="CI105" s="713">
        <f t="shared" si="195"/>
        <v>135.88499999999999</v>
      </c>
      <c r="CJ105" s="713">
        <f t="shared" si="195"/>
        <v>148.18700000000001</v>
      </c>
      <c r="CK105" s="713">
        <f t="shared" si="195"/>
        <v>157.09299999999999</v>
      </c>
      <c r="CL105" s="713">
        <f t="shared" si="195"/>
        <v>152.34200000000001</v>
      </c>
      <c r="CM105" s="713">
        <f t="shared" si="195"/>
        <v>157.81800000000001</v>
      </c>
      <c r="CN105" s="713">
        <f t="shared" si="195"/>
        <v>154.66300000000001</v>
      </c>
      <c r="CO105" s="713">
        <f t="shared" si="195"/>
        <v>155.40899999999999</v>
      </c>
      <c r="CP105" s="713">
        <f t="shared" ref="CP105:CP106" si="196">AE55/1000</f>
        <v>156.053</v>
      </c>
      <c r="CR105" s="713">
        <f t="shared" si="194"/>
        <v>248.249</v>
      </c>
      <c r="CS105" s="713">
        <f t="shared" si="194"/>
        <v>255.83199999999999</v>
      </c>
      <c r="CT105" s="713">
        <f t="shared" si="194"/>
        <v>274.03300000000002</v>
      </c>
      <c r="CU105" s="713">
        <f t="shared" si="194"/>
        <v>278.024</v>
      </c>
      <c r="CV105" s="713">
        <f t="shared" si="194"/>
        <v>293.70600000000002</v>
      </c>
      <c r="CW105" s="713">
        <f t="shared" si="194"/>
        <v>301.07499999999999</v>
      </c>
      <c r="CX105" s="713">
        <f t="shared" si="194"/>
        <v>310.24400000000003</v>
      </c>
      <c r="CY105" s="713">
        <f t="shared" si="194"/>
        <v>313.05200000000002</v>
      </c>
      <c r="CZ105" s="713">
        <f t="shared" si="194"/>
        <v>312.04599999999999</v>
      </c>
      <c r="DA105" s="713">
        <f t="shared" si="194"/>
        <v>328.45499999999998</v>
      </c>
      <c r="DB105" s="713">
        <f t="shared" si="194"/>
        <v>319.87799999999999</v>
      </c>
      <c r="DC105" s="713">
        <f t="shared" si="194"/>
        <v>309.47699999999998</v>
      </c>
      <c r="DD105" s="713">
        <f t="shared" si="194"/>
        <v>320.755</v>
      </c>
      <c r="DE105" s="713">
        <f t="shared" si="194"/>
        <v>322.20100000000002</v>
      </c>
      <c r="DF105" s="713">
        <f t="shared" si="194"/>
        <v>333.12099999999998</v>
      </c>
      <c r="DJ105" s="828"/>
    </row>
    <row r="106" spans="1:114" s="561" customFormat="1">
      <c r="AC106" s="123"/>
      <c r="AD106"/>
      <c r="AE106"/>
      <c r="AF106" s="710">
        <f t="shared" si="188"/>
        <v>150.96100000000001</v>
      </c>
      <c r="AG106" s="713">
        <f t="shared" si="188"/>
        <v>142.81</v>
      </c>
      <c r="AH106" s="713">
        <f t="shared" si="188"/>
        <v>148.494</v>
      </c>
      <c r="AI106" s="713">
        <f t="shared" si="188"/>
        <v>147.869</v>
      </c>
      <c r="AJ106" s="713">
        <f t="shared" si="188"/>
        <v>151.98099999999999</v>
      </c>
      <c r="AK106" s="713">
        <f t="shared" si="188"/>
        <v>160.02199999999999</v>
      </c>
      <c r="AL106" s="713">
        <f t="shared" si="188"/>
        <v>159.35300000000001</v>
      </c>
      <c r="AM106" s="713">
        <f t="shared" si="188"/>
        <v>166.59399999999999</v>
      </c>
      <c r="AN106" s="713">
        <f t="shared" si="188"/>
        <v>174.48099999999999</v>
      </c>
      <c r="AO106" s="713">
        <f t="shared" si="188"/>
        <v>181.53200000000001</v>
      </c>
      <c r="AP106" s="713">
        <f t="shared" si="188"/>
        <v>180.417</v>
      </c>
      <c r="AQ106" s="713">
        <f t="shared" si="188"/>
        <v>188.809</v>
      </c>
      <c r="AR106" s="713">
        <f t="shared" si="189"/>
        <v>193.62700000000001</v>
      </c>
      <c r="AS106" s="713">
        <f t="shared" si="190"/>
        <v>199.27500000000001</v>
      </c>
      <c r="AT106" s="713">
        <f>AE47/1000</f>
        <v>199.26400000000001</v>
      </c>
      <c r="AV106" s="713">
        <f t="shared" si="191"/>
        <v>344.59800000000001</v>
      </c>
      <c r="AW106" s="713">
        <f t="shared" si="191"/>
        <v>342.61</v>
      </c>
      <c r="AX106" s="713">
        <f t="shared" si="191"/>
        <v>342.79599999999999</v>
      </c>
      <c r="AY106" s="713">
        <f t="shared" si="191"/>
        <v>328.43599999999998</v>
      </c>
      <c r="AZ106" s="713">
        <f t="shared" si="191"/>
        <v>325.98899999999998</v>
      </c>
      <c r="BA106" s="713">
        <f t="shared" si="191"/>
        <v>318.721</v>
      </c>
      <c r="BB106" s="713">
        <f t="shared" si="191"/>
        <v>318.38099999999997</v>
      </c>
      <c r="BC106" s="713">
        <f t="shared" si="191"/>
        <v>318.47899999999998</v>
      </c>
      <c r="BD106" s="713">
        <f t="shared" si="191"/>
        <v>313.56700000000001</v>
      </c>
      <c r="BE106" s="713">
        <f t="shared" si="191"/>
        <v>307.96899999999999</v>
      </c>
      <c r="BF106" s="713">
        <f t="shared" si="191"/>
        <v>288.47199999999998</v>
      </c>
      <c r="BG106" s="713">
        <f t="shared" si="191"/>
        <v>289.2</v>
      </c>
      <c r="BH106" s="713">
        <f t="shared" si="191"/>
        <v>289.52999999999997</v>
      </c>
      <c r="BI106" s="713">
        <f t="shared" si="191"/>
        <v>300.13299999999998</v>
      </c>
      <c r="BJ106" s="713">
        <f t="shared" si="191"/>
        <v>306.85500000000002</v>
      </c>
      <c r="BL106" s="713">
        <f t="shared" si="192"/>
        <v>170.101</v>
      </c>
      <c r="BM106" s="713">
        <f t="shared" si="192"/>
        <v>178.92400000000001</v>
      </c>
      <c r="BN106" s="713">
        <f t="shared" si="192"/>
        <v>188.91499999999999</v>
      </c>
      <c r="BO106" s="713">
        <f t="shared" si="192"/>
        <v>204.589</v>
      </c>
      <c r="BP106" s="713">
        <f t="shared" si="192"/>
        <v>210.292</v>
      </c>
      <c r="BQ106" s="713">
        <f t="shared" si="192"/>
        <v>213.69399999999999</v>
      </c>
      <c r="BR106" s="713">
        <f t="shared" si="192"/>
        <v>208.83</v>
      </c>
      <c r="BS106" s="713">
        <f t="shared" si="192"/>
        <v>204.77500000000001</v>
      </c>
      <c r="BT106" s="713">
        <f t="shared" si="192"/>
        <v>209.99199999999999</v>
      </c>
      <c r="BU106" s="713">
        <f t="shared" si="192"/>
        <v>218.97499999999999</v>
      </c>
      <c r="BV106" s="713">
        <f t="shared" si="192"/>
        <v>226.75899999999999</v>
      </c>
      <c r="BW106" s="713">
        <f t="shared" si="192"/>
        <v>237.99799999999999</v>
      </c>
      <c r="BX106" s="713">
        <f t="shared" si="192"/>
        <v>237.63300000000001</v>
      </c>
      <c r="BY106" s="713">
        <f t="shared" si="192"/>
        <v>243.31</v>
      </c>
      <c r="BZ106" s="713">
        <f t="shared" si="192"/>
        <v>246.245</v>
      </c>
      <c r="CB106" s="713">
        <f t="shared" si="195"/>
        <v>391.17700000000002</v>
      </c>
      <c r="CC106" s="713">
        <f t="shared" si="195"/>
        <v>526.41200000000003</v>
      </c>
      <c r="CD106" s="713">
        <f t="shared" si="195"/>
        <v>652.77700000000004</v>
      </c>
      <c r="CE106" s="713">
        <f t="shared" si="195"/>
        <v>825.13599999999997</v>
      </c>
      <c r="CF106" s="713">
        <f t="shared" si="195"/>
        <v>928.17700000000002</v>
      </c>
      <c r="CG106" s="713">
        <f t="shared" si="195"/>
        <v>1101.864</v>
      </c>
      <c r="CH106" s="713">
        <f t="shared" si="195"/>
        <v>1338.5029999999999</v>
      </c>
      <c r="CI106" s="713">
        <f t="shared" si="195"/>
        <v>1381.5940000000001</v>
      </c>
      <c r="CJ106" s="713">
        <f t="shared" si="195"/>
        <v>1542.002</v>
      </c>
      <c r="CK106" s="713">
        <f t="shared" si="195"/>
        <v>1400.6610000000001</v>
      </c>
      <c r="CL106" s="713">
        <f t="shared" si="195"/>
        <v>1497.1590000000001</v>
      </c>
      <c r="CM106" s="713">
        <f t="shared" si="195"/>
        <v>1585.663</v>
      </c>
      <c r="CN106" s="713">
        <f t="shared" si="195"/>
        <v>1619.268</v>
      </c>
      <c r="CO106" s="713">
        <f t="shared" si="195"/>
        <v>1677.701</v>
      </c>
      <c r="CP106" s="713">
        <f t="shared" si="196"/>
        <v>1828.0540000000001</v>
      </c>
      <c r="CR106" s="713">
        <f t="shared" si="194"/>
        <v>490.226</v>
      </c>
      <c r="CS106" s="713">
        <f t="shared" si="194"/>
        <v>503.58199999999999</v>
      </c>
      <c r="CT106" s="713">
        <f t="shared" si="194"/>
        <v>542.81500000000005</v>
      </c>
      <c r="CU106" s="713">
        <f t="shared" si="194"/>
        <v>571.61199999999997</v>
      </c>
      <c r="CV106" s="713">
        <f t="shared" si="194"/>
        <v>578.80200000000002</v>
      </c>
      <c r="CW106" s="713">
        <f t="shared" si="194"/>
        <v>589.41</v>
      </c>
      <c r="CX106" s="713">
        <f t="shared" si="194"/>
        <v>605.57100000000003</v>
      </c>
      <c r="CY106" s="713">
        <f t="shared" si="194"/>
        <v>606.95600000000002</v>
      </c>
      <c r="CZ106" s="713">
        <f t="shared" si="194"/>
        <v>597.14099999999996</v>
      </c>
      <c r="DA106" s="713">
        <f t="shared" si="194"/>
        <v>621.45299999999997</v>
      </c>
      <c r="DB106" s="713">
        <f t="shared" si="194"/>
        <v>597.17499999999995</v>
      </c>
      <c r="DC106" s="713">
        <f t="shared" si="194"/>
        <v>591.47299999999996</v>
      </c>
      <c r="DD106" s="713">
        <f t="shared" si="194"/>
        <v>594.34</v>
      </c>
      <c r="DE106" s="713">
        <f t="shared" si="194"/>
        <v>598.09</v>
      </c>
      <c r="DF106" s="713">
        <f t="shared" si="194"/>
        <v>603.18700000000001</v>
      </c>
      <c r="DJ106" s="828"/>
    </row>
    <row r="107" spans="1:114" s="561" customFormat="1">
      <c r="AC107" s="123"/>
      <c r="AD107"/>
      <c r="AE107"/>
      <c r="AF107" s="560"/>
      <c r="DF107" s="826"/>
      <c r="DJ107" s="828"/>
    </row>
    <row r="108" spans="1:114" s="561" customFormat="1">
      <c r="AC108" s="123"/>
      <c r="AD108"/>
      <c r="AE108"/>
      <c r="AF108" s="560" t="s">
        <v>186</v>
      </c>
      <c r="AV108" s="561" t="s">
        <v>129</v>
      </c>
      <c r="BL108" s="561" t="s">
        <v>146</v>
      </c>
      <c r="CB108" s="561" t="s">
        <v>156</v>
      </c>
      <c r="CR108" s="561" t="s">
        <v>170</v>
      </c>
      <c r="DF108" s="826"/>
      <c r="DJ108" s="828"/>
    </row>
    <row r="109" spans="1:114" s="561" customFormat="1">
      <c r="AC109" s="123"/>
      <c r="AD109"/>
      <c r="AE109"/>
      <c r="AF109" s="560">
        <f t="shared" ref="AF109:AQ115" si="197">Q62</f>
        <v>2010</v>
      </c>
      <c r="AG109" s="561">
        <f t="shared" si="197"/>
        <v>2011</v>
      </c>
      <c r="AH109" s="561">
        <f t="shared" si="197"/>
        <v>2012</v>
      </c>
      <c r="AI109" s="561">
        <f t="shared" si="197"/>
        <v>2013</v>
      </c>
      <c r="AJ109" s="561">
        <f t="shared" si="197"/>
        <v>2014</v>
      </c>
      <c r="AK109" s="561">
        <f t="shared" si="197"/>
        <v>2015</v>
      </c>
      <c r="AL109" s="561">
        <f t="shared" si="197"/>
        <v>2016</v>
      </c>
      <c r="AM109" s="561">
        <f t="shared" si="197"/>
        <v>2017</v>
      </c>
      <c r="AN109" s="561">
        <f t="shared" si="197"/>
        <v>2018</v>
      </c>
      <c r="AO109" s="561">
        <f t="shared" si="197"/>
        <v>2019</v>
      </c>
      <c r="AP109" s="561">
        <f t="shared" si="197"/>
        <v>2020</v>
      </c>
      <c r="AQ109" s="561">
        <f t="shared" ref="AQ109" si="198">AB62</f>
        <v>2021</v>
      </c>
      <c r="AR109" s="561">
        <f t="shared" ref="AR109" si="199">AC62</f>
        <v>2022</v>
      </c>
      <c r="AS109" s="561">
        <f t="shared" ref="AS109" si="200">AD62</f>
        <v>2023</v>
      </c>
      <c r="AT109" s="561">
        <f t="shared" ref="AT109:AT110" si="201">AE62</f>
        <v>2024</v>
      </c>
      <c r="AV109" s="561">
        <f t="shared" ref="AV109:BG109" si="202">Q62</f>
        <v>2010</v>
      </c>
      <c r="AW109" s="561">
        <f t="shared" si="202"/>
        <v>2011</v>
      </c>
      <c r="AX109" s="561">
        <f t="shared" si="202"/>
        <v>2012</v>
      </c>
      <c r="AY109" s="561">
        <f t="shared" si="202"/>
        <v>2013</v>
      </c>
      <c r="AZ109" s="561">
        <f t="shared" si="202"/>
        <v>2014</v>
      </c>
      <c r="BA109" s="561">
        <f t="shared" si="202"/>
        <v>2015</v>
      </c>
      <c r="BB109" s="561">
        <f t="shared" si="202"/>
        <v>2016</v>
      </c>
      <c r="BC109" s="561">
        <f t="shared" si="202"/>
        <v>2017</v>
      </c>
      <c r="BD109" s="561">
        <f t="shared" si="202"/>
        <v>2018</v>
      </c>
      <c r="BE109" s="561">
        <f t="shared" si="202"/>
        <v>2019</v>
      </c>
      <c r="BF109" s="561">
        <f t="shared" si="202"/>
        <v>2020</v>
      </c>
      <c r="BG109" s="561">
        <f t="shared" si="202"/>
        <v>2021</v>
      </c>
      <c r="BH109" s="561">
        <f t="shared" ref="BH109" si="203">AC62</f>
        <v>2022</v>
      </c>
      <c r="BI109" s="561">
        <f t="shared" ref="BI109" si="204">AD62</f>
        <v>2023</v>
      </c>
      <c r="BJ109" s="561">
        <f t="shared" ref="BJ109" si="205">AE62</f>
        <v>2024</v>
      </c>
      <c r="BL109" s="561">
        <f t="shared" ref="BL109:BV109" si="206">AV109</f>
        <v>2010</v>
      </c>
      <c r="BM109" s="561">
        <f t="shared" si="206"/>
        <v>2011</v>
      </c>
      <c r="BN109" s="561">
        <f t="shared" si="206"/>
        <v>2012</v>
      </c>
      <c r="BO109" s="561">
        <f t="shared" si="206"/>
        <v>2013</v>
      </c>
      <c r="BP109" s="561">
        <f t="shared" si="206"/>
        <v>2014</v>
      </c>
      <c r="BQ109" s="561">
        <f t="shared" si="206"/>
        <v>2015</v>
      </c>
      <c r="BR109" s="561">
        <f t="shared" si="206"/>
        <v>2016</v>
      </c>
      <c r="BS109" s="561">
        <f t="shared" si="206"/>
        <v>2017</v>
      </c>
      <c r="BT109" s="561">
        <f t="shared" si="206"/>
        <v>2018</v>
      </c>
      <c r="BU109" s="561">
        <f t="shared" si="206"/>
        <v>2019</v>
      </c>
      <c r="BV109" s="561">
        <f t="shared" si="206"/>
        <v>2020</v>
      </c>
      <c r="BW109" s="561">
        <f t="shared" ref="BW109:BZ109" si="207">BG109</f>
        <v>2021</v>
      </c>
      <c r="BX109" s="561">
        <f t="shared" si="207"/>
        <v>2022</v>
      </c>
      <c r="BY109" s="561">
        <f t="shared" si="207"/>
        <v>2023</v>
      </c>
      <c r="BZ109" s="561">
        <f t="shared" si="207"/>
        <v>2024</v>
      </c>
      <c r="CB109" s="561">
        <f t="shared" ref="CB109:CL109" si="208">BL109</f>
        <v>2010</v>
      </c>
      <c r="CC109" s="561">
        <f t="shared" si="208"/>
        <v>2011</v>
      </c>
      <c r="CD109" s="561">
        <f t="shared" si="208"/>
        <v>2012</v>
      </c>
      <c r="CE109" s="561">
        <f t="shared" si="208"/>
        <v>2013</v>
      </c>
      <c r="CF109" s="561">
        <f t="shared" si="208"/>
        <v>2014</v>
      </c>
      <c r="CG109" s="561">
        <f t="shared" si="208"/>
        <v>2015</v>
      </c>
      <c r="CH109" s="561">
        <f t="shared" si="208"/>
        <v>2016</v>
      </c>
      <c r="CI109" s="561">
        <f t="shared" si="208"/>
        <v>2017</v>
      </c>
      <c r="CJ109" s="561">
        <f t="shared" si="208"/>
        <v>2018</v>
      </c>
      <c r="CK109" s="561">
        <f t="shared" si="208"/>
        <v>2019</v>
      </c>
      <c r="CL109" s="561">
        <f t="shared" si="208"/>
        <v>2020</v>
      </c>
      <c r="CM109" s="561">
        <f t="shared" ref="CM109:CP109" si="209">BW109</f>
        <v>2021</v>
      </c>
      <c r="CN109" s="561">
        <f t="shared" si="209"/>
        <v>2022</v>
      </c>
      <c r="CO109" s="561">
        <f t="shared" si="209"/>
        <v>2023</v>
      </c>
      <c r="CP109" s="561">
        <f t="shared" si="209"/>
        <v>2024</v>
      </c>
      <c r="CR109" s="561">
        <f t="shared" ref="CR109:DF109" si="210">CB109</f>
        <v>2010</v>
      </c>
      <c r="CS109" s="561">
        <f t="shared" si="210"/>
        <v>2011</v>
      </c>
      <c r="CT109" s="561">
        <f t="shared" si="210"/>
        <v>2012</v>
      </c>
      <c r="CU109" s="561">
        <f t="shared" si="210"/>
        <v>2013</v>
      </c>
      <c r="CV109" s="561">
        <f t="shared" si="210"/>
        <v>2014</v>
      </c>
      <c r="CW109" s="561">
        <f t="shared" si="210"/>
        <v>2015</v>
      </c>
      <c r="CX109" s="561">
        <f t="shared" si="210"/>
        <v>2016</v>
      </c>
      <c r="CY109" s="561">
        <f t="shared" si="210"/>
        <v>2017</v>
      </c>
      <c r="CZ109" s="561">
        <f t="shared" si="210"/>
        <v>2018</v>
      </c>
      <c r="DA109" s="561">
        <f t="shared" si="210"/>
        <v>2019</v>
      </c>
      <c r="DB109" s="561">
        <f t="shared" si="210"/>
        <v>2020</v>
      </c>
      <c r="DC109" s="561">
        <f t="shared" si="210"/>
        <v>2021</v>
      </c>
      <c r="DD109" s="561">
        <f t="shared" si="210"/>
        <v>2022</v>
      </c>
      <c r="DE109" s="561">
        <f t="shared" si="210"/>
        <v>2023</v>
      </c>
      <c r="DF109" s="561">
        <f t="shared" si="210"/>
        <v>2024</v>
      </c>
      <c r="DJ109" s="828"/>
    </row>
    <row r="110" spans="1:114" s="561" customFormat="1">
      <c r="AC110" s="123"/>
      <c r="AD110"/>
      <c r="AE110"/>
      <c r="AF110" s="711">
        <f t="shared" si="197"/>
        <v>0.49289551606043902</v>
      </c>
      <c r="AG110" s="714">
        <f t="shared" si="197"/>
        <v>0.50349415307051304</v>
      </c>
      <c r="AH110" s="714">
        <f t="shared" si="197"/>
        <v>0.49136665454496498</v>
      </c>
      <c r="AI110" s="714">
        <f t="shared" si="197"/>
        <v>0.49652056888191598</v>
      </c>
      <c r="AJ110" s="714">
        <f t="shared" si="197"/>
        <v>0.49466709654496299</v>
      </c>
      <c r="AK110" s="714">
        <f t="shared" si="197"/>
        <v>0.47554086313131899</v>
      </c>
      <c r="AL110" s="714">
        <f t="shared" si="197"/>
        <v>0.477254899499853</v>
      </c>
      <c r="AM110" s="714">
        <f t="shared" si="197"/>
        <v>0.47116342725428301</v>
      </c>
      <c r="AN110" s="714">
        <f t="shared" si="197"/>
        <v>0.46763831018850199</v>
      </c>
      <c r="AO110" s="714">
        <f t="shared" si="197"/>
        <v>0.45476279664191399</v>
      </c>
      <c r="AP110" s="714">
        <f t="shared" si="197"/>
        <v>0.45190309117211802</v>
      </c>
      <c r="AQ110" s="714">
        <f t="shared" si="197"/>
        <v>0.44419406150583202</v>
      </c>
      <c r="AR110" s="714">
        <f t="shared" ref="AR110:AR115" si="211">AC63</f>
        <v>0.43498582325812002</v>
      </c>
      <c r="AS110" s="714">
        <f t="shared" ref="AS110:AS115" si="212">AD63</f>
        <v>0.43029983690879398</v>
      </c>
      <c r="AT110" s="714">
        <f t="shared" si="201"/>
        <v>0.433073711257427</v>
      </c>
      <c r="AV110" s="714">
        <f t="shared" ref="AV110:BJ115" si="213">Q70</f>
        <v>6.1297511883412002E-2</v>
      </c>
      <c r="AW110" s="714">
        <f t="shared" si="213"/>
        <v>6.1361314614284498E-2</v>
      </c>
      <c r="AX110" s="714">
        <f t="shared" si="213"/>
        <v>6.0966288988202902E-2</v>
      </c>
      <c r="AY110" s="714">
        <f t="shared" si="213"/>
        <v>6.2733683274671506E-2</v>
      </c>
      <c r="AZ110" s="714">
        <f t="shared" si="213"/>
        <v>6.4879489798735507E-2</v>
      </c>
      <c r="BA110" s="714">
        <f t="shared" si="213"/>
        <v>6.5210638771841203E-2</v>
      </c>
      <c r="BB110" s="714">
        <f t="shared" si="213"/>
        <v>6.4601844959341195E-2</v>
      </c>
      <c r="BC110" s="714">
        <f t="shared" si="213"/>
        <v>6.4553706837813501E-2</v>
      </c>
      <c r="BD110" s="714">
        <f t="shared" si="213"/>
        <v>6.6601396192839196E-2</v>
      </c>
      <c r="BE110" s="714">
        <f t="shared" si="213"/>
        <v>6.6220950809984094E-2</v>
      </c>
      <c r="BF110" s="714">
        <f t="shared" si="213"/>
        <v>6.6807177126376197E-2</v>
      </c>
      <c r="BG110" s="714">
        <f t="shared" si="213"/>
        <v>7.2251037344398306E-2</v>
      </c>
      <c r="BH110" s="714">
        <f t="shared" si="213"/>
        <v>7.4572583152005004E-2</v>
      </c>
      <c r="BI110" s="714">
        <f t="shared" si="213"/>
        <v>7.2541173413120205E-2</v>
      </c>
      <c r="BJ110" s="714">
        <f t="shared" si="213"/>
        <v>6.9123853285753906E-2</v>
      </c>
      <c r="BL110" s="714">
        <f t="shared" ref="BL110:BZ115" si="214">Q77</f>
        <v>5.7906773034843997E-2</v>
      </c>
      <c r="BM110" s="714">
        <f t="shared" si="214"/>
        <v>5.9064183675750601E-2</v>
      </c>
      <c r="BN110" s="714">
        <f t="shared" si="214"/>
        <v>5.3960776010375001E-2</v>
      </c>
      <c r="BO110" s="714">
        <f t="shared" si="214"/>
        <v>5.7363787886934303E-2</v>
      </c>
      <c r="BP110" s="714">
        <f t="shared" si="214"/>
        <v>5.8485344188081302E-2</v>
      </c>
      <c r="BQ110" s="714">
        <f t="shared" si="214"/>
        <v>5.62673729725683E-2</v>
      </c>
      <c r="BR110" s="714">
        <f t="shared" si="214"/>
        <v>5.6706411913997001E-2</v>
      </c>
      <c r="BS110" s="714">
        <f t="shared" si="214"/>
        <v>5.7121230618972001E-2</v>
      </c>
      <c r="BT110" s="714">
        <f t="shared" si="214"/>
        <v>6.0492780677359102E-2</v>
      </c>
      <c r="BU110" s="714">
        <f t="shared" si="214"/>
        <v>5.5905925333942202E-2</v>
      </c>
      <c r="BV110" s="714">
        <f t="shared" si="214"/>
        <v>5.0494136947155301E-2</v>
      </c>
      <c r="BW110" s="714">
        <f t="shared" si="214"/>
        <v>5.2323969108984097E-2</v>
      </c>
      <c r="BX110" s="714">
        <f t="shared" si="214"/>
        <v>5.4428467426662103E-2</v>
      </c>
      <c r="BY110" s="714">
        <f t="shared" si="214"/>
        <v>5.34749907525379E-2</v>
      </c>
      <c r="BZ110" s="714">
        <f t="shared" si="214"/>
        <v>5.0567524213689603E-2</v>
      </c>
      <c r="CB110" s="714">
        <f t="shared" ref="CB110:CP115" si="215">Q84</f>
        <v>7.0901407802605995E-2</v>
      </c>
      <c r="CC110" s="714">
        <f t="shared" si="215"/>
        <v>5.7367613200306998E-2</v>
      </c>
      <c r="CD110" s="714">
        <f t="shared" si="215"/>
        <v>4.8684313325990297E-2</v>
      </c>
      <c r="CE110" s="714">
        <f t="shared" si="215"/>
        <v>4.0341228597467603E-2</v>
      </c>
      <c r="CF110" s="714">
        <f t="shared" si="215"/>
        <v>3.7651223850623299E-2</v>
      </c>
      <c r="CG110" s="714">
        <f t="shared" si="215"/>
        <v>3.20956125256837E-2</v>
      </c>
      <c r="CH110" s="714">
        <f t="shared" si="215"/>
        <v>2.7244615813337699E-2</v>
      </c>
      <c r="CI110" s="714">
        <f t="shared" si="215"/>
        <v>2.6648928701195899E-2</v>
      </c>
      <c r="CJ110" s="714">
        <f t="shared" si="215"/>
        <v>2.5817087137370801E-2</v>
      </c>
      <c r="CK110" s="714">
        <f t="shared" si="215"/>
        <v>2.9811638933332201E-2</v>
      </c>
      <c r="CL110" s="714">
        <f t="shared" si="215"/>
        <v>2.7065261605480801E-2</v>
      </c>
      <c r="CM110" s="714">
        <f t="shared" si="215"/>
        <v>2.6832939912200801E-2</v>
      </c>
      <c r="CN110" s="714">
        <f t="shared" si="215"/>
        <v>2.5465827769090701E-2</v>
      </c>
      <c r="CO110" s="714">
        <f t="shared" si="215"/>
        <v>2.4904914522909601E-2</v>
      </c>
      <c r="CP110" s="714">
        <f t="shared" si="215"/>
        <v>2.37881375495472E-2</v>
      </c>
      <c r="CR110" s="714">
        <f t="shared" ref="CR110:DF115" si="216">Q91</f>
        <v>0.16079114530849001</v>
      </c>
      <c r="CS110" s="714">
        <f t="shared" si="216"/>
        <v>0.15948544626297201</v>
      </c>
      <c r="CT110" s="714">
        <f t="shared" si="216"/>
        <v>0.156950342197618</v>
      </c>
      <c r="CU110" s="714">
        <f t="shared" si="216"/>
        <v>0.15275046710006099</v>
      </c>
      <c r="CV110" s="714">
        <f t="shared" si="216"/>
        <v>0.158394407759476</v>
      </c>
      <c r="CW110" s="714">
        <f t="shared" si="216"/>
        <v>0.15812931575643399</v>
      </c>
      <c r="CX110" s="714">
        <f t="shared" si="216"/>
        <v>0.16062360978316301</v>
      </c>
      <c r="CY110" s="714">
        <f t="shared" si="216"/>
        <v>0.15980565312806899</v>
      </c>
      <c r="CZ110" s="714">
        <f t="shared" si="216"/>
        <v>0.16026198167601999</v>
      </c>
      <c r="DA110" s="714">
        <f t="shared" si="216"/>
        <v>0.15569318999184201</v>
      </c>
      <c r="DB110" s="714">
        <f t="shared" si="216"/>
        <v>0.15530790806715</v>
      </c>
      <c r="DC110" s="714">
        <f t="shared" si="216"/>
        <v>0.14932887891755001</v>
      </c>
      <c r="DD110" s="714">
        <f t="shared" si="216"/>
        <v>0.15100111047548501</v>
      </c>
      <c r="DE110" s="714">
        <f t="shared" si="216"/>
        <v>0.14829875102409301</v>
      </c>
      <c r="DF110" s="714">
        <f t="shared" si="216"/>
        <v>0.14588344907963899</v>
      </c>
      <c r="DJ110" s="828"/>
    </row>
    <row r="111" spans="1:114" s="561" customFormat="1">
      <c r="AC111" s="123"/>
      <c r="AD111"/>
      <c r="AE111"/>
      <c r="AF111" s="711">
        <f t="shared" si="197"/>
        <v>0.14456713985731401</v>
      </c>
      <c r="AG111" s="714">
        <f t="shared" si="197"/>
        <v>0.144023527764162</v>
      </c>
      <c r="AH111" s="714">
        <f t="shared" si="197"/>
        <v>0.15286812935202801</v>
      </c>
      <c r="AI111" s="714">
        <f t="shared" si="197"/>
        <v>0.152533661551779</v>
      </c>
      <c r="AJ111" s="714">
        <f t="shared" si="197"/>
        <v>0.14487337232943601</v>
      </c>
      <c r="AK111" s="714">
        <f t="shared" si="197"/>
        <v>0.133894089562685</v>
      </c>
      <c r="AL111" s="714">
        <f t="shared" si="197"/>
        <v>0.131833100098523</v>
      </c>
      <c r="AM111" s="714">
        <f t="shared" si="197"/>
        <v>0.13070098562973501</v>
      </c>
      <c r="AN111" s="714">
        <f t="shared" si="197"/>
        <v>0.12947541566130399</v>
      </c>
      <c r="AO111" s="714">
        <f t="shared" si="197"/>
        <v>0.121664499922879</v>
      </c>
      <c r="AP111" s="714">
        <f t="shared" si="197"/>
        <v>0.121684763630922</v>
      </c>
      <c r="AQ111" s="714">
        <f t="shared" si="197"/>
        <v>0.114957582184518</v>
      </c>
      <c r="AR111" s="714">
        <f t="shared" si="211"/>
        <v>0.111523702789384</v>
      </c>
      <c r="AS111" s="714">
        <f t="shared" si="212"/>
        <v>0.107991469075398</v>
      </c>
      <c r="AT111" s="714">
        <f t="shared" ref="AT111:AT115" si="217">AE64</f>
        <v>0.10569897221776101</v>
      </c>
      <c r="AV111" s="714">
        <f t="shared" si="213"/>
        <v>0.84179536735558502</v>
      </c>
      <c r="AW111" s="714">
        <f t="shared" si="213"/>
        <v>0.839380053121625</v>
      </c>
      <c r="AX111" s="714">
        <f t="shared" si="213"/>
        <v>0.83727056325044602</v>
      </c>
      <c r="AY111" s="714">
        <f t="shared" si="213"/>
        <v>0.82734840273295296</v>
      </c>
      <c r="AZ111" s="714">
        <f t="shared" si="213"/>
        <v>0.81585268214571705</v>
      </c>
      <c r="BA111" s="714">
        <f t="shared" si="213"/>
        <v>0.81211780836531</v>
      </c>
      <c r="BB111" s="714">
        <f t="shared" si="213"/>
        <v>0.81739802312323895</v>
      </c>
      <c r="BC111" s="714">
        <f t="shared" si="213"/>
        <v>0.81729093598007996</v>
      </c>
      <c r="BD111" s="714">
        <f t="shared" si="213"/>
        <v>0.80885424805543904</v>
      </c>
      <c r="BE111" s="714">
        <f t="shared" si="213"/>
        <v>0.79674252928054401</v>
      </c>
      <c r="BF111" s="714">
        <f t="shared" si="213"/>
        <v>0.78811115116891794</v>
      </c>
      <c r="BG111" s="714">
        <f t="shared" si="213"/>
        <v>0.76919778699861696</v>
      </c>
      <c r="BH111" s="714">
        <f t="shared" si="213"/>
        <v>0.75575242634614703</v>
      </c>
      <c r="BI111" s="714">
        <f t="shared" si="213"/>
        <v>0.76278183338719796</v>
      </c>
      <c r="BJ111" s="714">
        <f t="shared" si="213"/>
        <v>0.77290251095794404</v>
      </c>
      <c r="BL111" s="714">
        <f t="shared" si="214"/>
        <v>8.4338128523641795E-2</v>
      </c>
      <c r="BM111" s="714">
        <f t="shared" si="214"/>
        <v>8.5142295052648004E-2</v>
      </c>
      <c r="BN111" s="714">
        <f t="shared" si="214"/>
        <v>8.4715348172458502E-2</v>
      </c>
      <c r="BO111" s="714">
        <f t="shared" si="214"/>
        <v>7.9667039772421802E-2</v>
      </c>
      <c r="BP111" s="714">
        <f t="shared" si="214"/>
        <v>7.4434595705019702E-2</v>
      </c>
      <c r="BQ111" s="714">
        <f t="shared" si="214"/>
        <v>7.1518152124065204E-2</v>
      </c>
      <c r="BR111" s="714">
        <f t="shared" si="214"/>
        <v>7.0741751664032904E-2</v>
      </c>
      <c r="BS111" s="714">
        <f t="shared" si="214"/>
        <v>7.3465999267488702E-2</v>
      </c>
      <c r="BT111" s="714">
        <f t="shared" si="214"/>
        <v>7.4298068497847494E-2</v>
      </c>
      <c r="BU111" s="714">
        <f t="shared" si="214"/>
        <v>6.8455303116794194E-2</v>
      </c>
      <c r="BV111" s="714">
        <f t="shared" si="214"/>
        <v>6.1854215268192202E-2</v>
      </c>
      <c r="BW111" s="714">
        <f t="shared" si="214"/>
        <v>5.9517306868124897E-2</v>
      </c>
      <c r="BX111" s="714">
        <f t="shared" si="214"/>
        <v>5.8329440776323203E-2</v>
      </c>
      <c r="BY111" s="714">
        <f t="shared" si="214"/>
        <v>5.8328880851588501E-2</v>
      </c>
      <c r="BZ111" s="714">
        <f t="shared" si="214"/>
        <v>5.6293528802615303E-2</v>
      </c>
      <c r="CB111" s="714">
        <f t="shared" si="215"/>
        <v>8.6615521873729798E-2</v>
      </c>
      <c r="CC111" s="714">
        <f t="shared" si="215"/>
        <v>7.4525276779404695E-2</v>
      </c>
      <c r="CD111" s="714">
        <f t="shared" si="215"/>
        <v>6.4766375040787305E-2</v>
      </c>
      <c r="CE111" s="714">
        <f t="shared" si="215"/>
        <v>4.9922679412848302E-2</v>
      </c>
      <c r="CF111" s="714">
        <f t="shared" si="215"/>
        <v>4.3590823732973301E-2</v>
      </c>
      <c r="CG111" s="714">
        <f t="shared" si="215"/>
        <v>3.6372909905396697E-2</v>
      </c>
      <c r="CH111" s="714">
        <f t="shared" si="215"/>
        <v>2.9291678838224498E-2</v>
      </c>
      <c r="CI111" s="714">
        <f t="shared" si="215"/>
        <v>2.9609277399872899E-2</v>
      </c>
      <c r="CJ111" s="714">
        <f t="shared" si="215"/>
        <v>2.93670176822079E-2</v>
      </c>
      <c r="CK111" s="714">
        <f t="shared" si="215"/>
        <v>3.48885276308828E-2</v>
      </c>
      <c r="CL111" s="714">
        <f t="shared" si="215"/>
        <v>3.19685484307278E-2</v>
      </c>
      <c r="CM111" s="714">
        <f t="shared" si="215"/>
        <v>2.9646904796290299E-2</v>
      </c>
      <c r="CN111" s="714">
        <f t="shared" si="215"/>
        <v>2.79502837084411E-2</v>
      </c>
      <c r="CO111" s="714">
        <f t="shared" si="215"/>
        <v>2.755914194484E-2</v>
      </c>
      <c r="CP111" s="714">
        <f t="shared" si="215"/>
        <v>2.4726293643404399E-2</v>
      </c>
      <c r="CR111" s="714">
        <f t="shared" si="216"/>
        <v>0.17138421870729001</v>
      </c>
      <c r="CS111" s="714">
        <f t="shared" si="216"/>
        <v>0.169156165232276</v>
      </c>
      <c r="CT111" s="714">
        <f t="shared" si="216"/>
        <v>0.16338163094240199</v>
      </c>
      <c r="CU111" s="714">
        <f t="shared" si="216"/>
        <v>0.14770333722875001</v>
      </c>
      <c r="CV111" s="714">
        <f t="shared" si="216"/>
        <v>0.149776607544549</v>
      </c>
      <c r="CW111" s="714">
        <f t="shared" si="216"/>
        <v>0.14651770414482301</v>
      </c>
      <c r="CX111" s="714">
        <f t="shared" si="216"/>
        <v>0.142049404611515</v>
      </c>
      <c r="CY111" s="714">
        <f t="shared" si="216"/>
        <v>0.141876841154878</v>
      </c>
      <c r="CZ111" s="714">
        <f t="shared" si="216"/>
        <v>0.142884176434042</v>
      </c>
      <c r="DA111" s="714">
        <f t="shared" si="216"/>
        <v>0.13882787596165799</v>
      </c>
      <c r="DB111" s="714">
        <f t="shared" si="216"/>
        <v>0.13401264286013301</v>
      </c>
      <c r="DC111" s="714">
        <f t="shared" si="216"/>
        <v>0.12830509592153799</v>
      </c>
      <c r="DD111" s="714">
        <f t="shared" si="216"/>
        <v>0.12786956960662199</v>
      </c>
      <c r="DE111" s="714">
        <f t="shared" si="216"/>
        <v>0.12244979852530601</v>
      </c>
      <c r="DF111" s="714">
        <f t="shared" si="216"/>
        <v>0.119946219000078</v>
      </c>
      <c r="DJ111" s="828"/>
    </row>
    <row r="112" spans="1:114" s="561" customFormat="1">
      <c r="AC112" s="123"/>
      <c r="AD112"/>
      <c r="AE112"/>
      <c r="AF112" s="711">
        <f t="shared" si="197"/>
        <v>3.1233232424268498E-2</v>
      </c>
      <c r="AG112" s="714">
        <f t="shared" si="197"/>
        <v>3.4234297318115003E-2</v>
      </c>
      <c r="AH112" s="714">
        <f t="shared" si="197"/>
        <v>3.84594663757458E-2</v>
      </c>
      <c r="AI112" s="714">
        <f t="shared" si="197"/>
        <v>4.2848737734075402E-2</v>
      </c>
      <c r="AJ112" s="714">
        <f t="shared" si="197"/>
        <v>4.0406366585296803E-2</v>
      </c>
      <c r="AK112" s="714">
        <f t="shared" si="197"/>
        <v>4.00632413043207E-2</v>
      </c>
      <c r="AL112" s="714">
        <f t="shared" si="197"/>
        <v>4.2823166178233202E-2</v>
      </c>
      <c r="AM112" s="714">
        <f t="shared" si="197"/>
        <v>3.8758898879911602E-2</v>
      </c>
      <c r="AN112" s="714">
        <f t="shared" si="197"/>
        <v>4.1626308881769401E-2</v>
      </c>
      <c r="AO112" s="714">
        <f t="shared" si="197"/>
        <v>4.5936804530330701E-2</v>
      </c>
      <c r="AP112" s="714">
        <f t="shared" si="197"/>
        <v>5.0350022447995503E-2</v>
      </c>
      <c r="AQ112" s="714">
        <f t="shared" si="197"/>
        <v>4.9809119830328701E-2</v>
      </c>
      <c r="AR112" s="714">
        <f t="shared" si="211"/>
        <v>5.3654707246406801E-2</v>
      </c>
      <c r="AS112" s="714">
        <f t="shared" si="212"/>
        <v>6.3103751097729296E-2</v>
      </c>
      <c r="AT112" s="714">
        <f t="shared" si="217"/>
        <v>6.5777059579251604E-2</v>
      </c>
      <c r="AV112" s="714">
        <f t="shared" si="213"/>
        <v>1.41382132223634E-2</v>
      </c>
      <c r="AW112" s="714">
        <f t="shared" si="213"/>
        <v>1.4614284463384E-2</v>
      </c>
      <c r="AX112" s="714">
        <f t="shared" si="213"/>
        <v>1.66513028156688E-2</v>
      </c>
      <c r="AY112" s="714">
        <f t="shared" si="213"/>
        <v>1.8676393574395E-2</v>
      </c>
      <c r="AZ112" s="714">
        <f t="shared" si="213"/>
        <v>1.7430035982809199E-2</v>
      </c>
      <c r="BA112" s="714">
        <f t="shared" si="213"/>
        <v>1.63842357422322E-2</v>
      </c>
      <c r="BB112" s="714">
        <f t="shared" si="213"/>
        <v>1.6382887169774599E-2</v>
      </c>
      <c r="BC112" s="714">
        <f t="shared" si="213"/>
        <v>1.30997648196584E-2</v>
      </c>
      <c r="BD112" s="714">
        <f t="shared" si="213"/>
        <v>1.6168793272251201E-2</v>
      </c>
      <c r="BE112" s="714">
        <f t="shared" si="213"/>
        <v>1.8294049076368099E-2</v>
      </c>
      <c r="BF112" s="714">
        <f t="shared" si="213"/>
        <v>2.0386727308023E-2</v>
      </c>
      <c r="BG112" s="714">
        <f t="shared" si="213"/>
        <v>2.0525587828492401E-2</v>
      </c>
      <c r="BH112" s="714">
        <f t="shared" si="213"/>
        <v>2.46917417884157E-2</v>
      </c>
      <c r="BI112" s="714">
        <f t="shared" si="213"/>
        <v>2.6388301186473999E-2</v>
      </c>
      <c r="BJ112" s="714">
        <f t="shared" si="213"/>
        <v>2.6563034658063301E-2</v>
      </c>
      <c r="BL112" s="714">
        <f t="shared" si="214"/>
        <v>0.77486316952869205</v>
      </c>
      <c r="BM112" s="714">
        <f t="shared" si="214"/>
        <v>0.77146721513044603</v>
      </c>
      <c r="BN112" s="714">
        <f t="shared" si="214"/>
        <v>0.78414101580075701</v>
      </c>
      <c r="BO112" s="714">
        <f t="shared" si="214"/>
        <v>0.78194819858350195</v>
      </c>
      <c r="BP112" s="714">
        <f t="shared" si="214"/>
        <v>0.78021512943906601</v>
      </c>
      <c r="BQ112" s="714">
        <f t="shared" si="214"/>
        <v>0.78276881896543704</v>
      </c>
      <c r="BR112" s="714">
        <f t="shared" si="214"/>
        <v>0.78256476559881205</v>
      </c>
      <c r="BS112" s="714">
        <f t="shared" si="214"/>
        <v>0.77661335612257398</v>
      </c>
      <c r="BT112" s="714">
        <f t="shared" si="214"/>
        <v>0.77420092193988299</v>
      </c>
      <c r="BU112" s="714">
        <f t="shared" si="214"/>
        <v>0.78366480191802701</v>
      </c>
      <c r="BV112" s="714">
        <f t="shared" si="214"/>
        <v>0.79589784749447701</v>
      </c>
      <c r="BW112" s="714">
        <f t="shared" si="214"/>
        <v>0.78254859284531797</v>
      </c>
      <c r="BX112" s="714">
        <f t="shared" si="214"/>
        <v>0.77324277352051296</v>
      </c>
      <c r="BY112" s="714">
        <f t="shared" si="214"/>
        <v>0.78559039907936401</v>
      </c>
      <c r="BZ112" s="714">
        <f t="shared" si="214"/>
        <v>0.79508619464354602</v>
      </c>
      <c r="CB112" s="714">
        <f t="shared" si="215"/>
        <v>1.8349749601842599E-2</v>
      </c>
      <c r="CC112" s="714">
        <f t="shared" si="215"/>
        <v>1.54422771517367E-2</v>
      </c>
      <c r="CD112" s="714">
        <f t="shared" si="215"/>
        <v>1.37642717191323E-2</v>
      </c>
      <c r="CE112" s="714">
        <f t="shared" si="215"/>
        <v>1.3168738244362099E-2</v>
      </c>
      <c r="CF112" s="714">
        <f t="shared" si="215"/>
        <v>1.2420044883680601E-2</v>
      </c>
      <c r="CG112" s="714">
        <f t="shared" si="215"/>
        <v>1.1713786819426E-2</v>
      </c>
      <c r="CH112" s="714">
        <f t="shared" si="215"/>
        <v>1.02831297352341E-2</v>
      </c>
      <c r="CI112" s="714">
        <f t="shared" si="215"/>
        <v>9.5397055864458007E-3</v>
      </c>
      <c r="CJ112" s="714">
        <f t="shared" si="215"/>
        <v>8.9980428040949394E-3</v>
      </c>
      <c r="CK112" s="714">
        <f t="shared" si="215"/>
        <v>1.14367430805884E-2</v>
      </c>
      <c r="CL112" s="714">
        <f t="shared" si="215"/>
        <v>1.11711581735808E-2</v>
      </c>
      <c r="CM112" s="714">
        <f t="shared" si="215"/>
        <v>1.11568473250621E-2</v>
      </c>
      <c r="CN112" s="714">
        <f t="shared" si="215"/>
        <v>1.1277935462196499E-2</v>
      </c>
      <c r="CO112" s="714">
        <f t="shared" si="215"/>
        <v>1.19306121889419E-2</v>
      </c>
      <c r="CP112" s="714">
        <f t="shared" si="215"/>
        <v>1.1509506830761001E-2</v>
      </c>
      <c r="CR112" s="714">
        <f t="shared" si="216"/>
        <v>5.31183576554487E-2</v>
      </c>
      <c r="CS112" s="714">
        <f t="shared" si="216"/>
        <v>5.4189784384668198E-2</v>
      </c>
      <c r="CT112" s="714">
        <f t="shared" si="216"/>
        <v>5.43113215368035E-2</v>
      </c>
      <c r="CU112" s="714">
        <f t="shared" si="216"/>
        <v>5.7799696297488497E-2</v>
      </c>
      <c r="CV112" s="714">
        <f t="shared" si="216"/>
        <v>6.3482849057190496E-2</v>
      </c>
      <c r="CW112" s="714">
        <f t="shared" si="216"/>
        <v>6.4819056344480097E-2</v>
      </c>
      <c r="CX112" s="714">
        <f t="shared" si="216"/>
        <v>6.1662464021559803E-2</v>
      </c>
      <c r="CY112" s="714">
        <f t="shared" si="216"/>
        <v>5.8595680741272797E-2</v>
      </c>
      <c r="CZ112" s="714">
        <f t="shared" si="216"/>
        <v>5.6872664914986597E-2</v>
      </c>
      <c r="DA112" s="714">
        <f t="shared" si="216"/>
        <v>5.9888680238087202E-2</v>
      </c>
      <c r="DB112" s="714">
        <f t="shared" si="216"/>
        <v>6.4158747435843794E-2</v>
      </c>
      <c r="DC112" s="714">
        <f t="shared" si="216"/>
        <v>6.2711231112831903E-2</v>
      </c>
      <c r="DD112" s="714">
        <f t="shared" si="216"/>
        <v>7.03587172325605E-2</v>
      </c>
      <c r="DE112" s="714">
        <f t="shared" si="216"/>
        <v>7.2318547375813003E-2</v>
      </c>
      <c r="DF112" s="714">
        <f t="shared" si="216"/>
        <v>7.3662064998085197E-2</v>
      </c>
      <c r="DJ112" s="828"/>
    </row>
    <row r="113" spans="29:114" s="561" customFormat="1">
      <c r="AC113" s="123"/>
      <c r="AD113"/>
      <c r="AE113"/>
      <c r="AF113" s="711">
        <f t="shared" si="197"/>
        <v>1.3573042043971599E-2</v>
      </c>
      <c r="AG113" s="714">
        <f t="shared" si="197"/>
        <v>1.78418878229816E-2</v>
      </c>
      <c r="AH113" s="714">
        <f t="shared" si="197"/>
        <v>2.5125594300106399E-2</v>
      </c>
      <c r="AI113" s="714">
        <f t="shared" si="197"/>
        <v>2.7429684382798299E-2</v>
      </c>
      <c r="AJ113" s="714">
        <f t="shared" si="197"/>
        <v>3.0424855738546301E-2</v>
      </c>
      <c r="AK113" s="714">
        <f t="shared" si="197"/>
        <v>3.5751334191548703E-2</v>
      </c>
      <c r="AL113" s="714">
        <f t="shared" si="197"/>
        <v>4.48689387711559E-2</v>
      </c>
      <c r="AM113" s="714">
        <f t="shared" si="197"/>
        <v>5.1868614716016198E-2</v>
      </c>
      <c r="AN113" s="714">
        <f t="shared" si="197"/>
        <v>5.4332563430975298E-2</v>
      </c>
      <c r="AO113" s="714">
        <f t="shared" si="197"/>
        <v>6.7354516008196905E-2</v>
      </c>
      <c r="AP113" s="714">
        <f t="shared" si="197"/>
        <v>7.4471917834793802E-2</v>
      </c>
      <c r="AQ113" s="714">
        <f t="shared" si="197"/>
        <v>8.8361611876988294E-2</v>
      </c>
      <c r="AR113" s="714">
        <f t="shared" si="211"/>
        <v>9.8447014104437902E-2</v>
      </c>
      <c r="AS113" s="714">
        <f t="shared" si="212"/>
        <v>0.104052189185799</v>
      </c>
      <c r="AT113" s="714">
        <f t="shared" si="217"/>
        <v>0.100775855146941</v>
      </c>
      <c r="AV113" s="714">
        <f t="shared" si="213"/>
        <v>3.0847538290994102E-3</v>
      </c>
      <c r="AW113" s="714">
        <f t="shared" si="213"/>
        <v>4.0891976299582602E-3</v>
      </c>
      <c r="AX113" s="714">
        <f t="shared" si="213"/>
        <v>5.8985519084236698E-3</v>
      </c>
      <c r="AY113" s="714">
        <f t="shared" si="213"/>
        <v>6.28432936706086E-3</v>
      </c>
      <c r="AZ113" s="714">
        <f t="shared" si="213"/>
        <v>7.7640656586571901E-3</v>
      </c>
      <c r="BA113" s="714">
        <f t="shared" si="213"/>
        <v>8.9106146127804608E-3</v>
      </c>
      <c r="BB113" s="714">
        <f t="shared" si="213"/>
        <v>1.19667945009281E-2</v>
      </c>
      <c r="BC113" s="714">
        <f t="shared" si="213"/>
        <v>1.48675422869326E-2</v>
      </c>
      <c r="BD113" s="714">
        <f t="shared" si="213"/>
        <v>1.69820166025124E-2</v>
      </c>
      <c r="BE113" s="714">
        <f t="shared" si="213"/>
        <v>2.58045452626725E-2</v>
      </c>
      <c r="BF113" s="714">
        <f t="shared" si="213"/>
        <v>2.9139743198646699E-2</v>
      </c>
      <c r="BG113" s="714">
        <f t="shared" si="213"/>
        <v>3.2396265560165997E-2</v>
      </c>
      <c r="BH113" s="714">
        <f t="shared" si="213"/>
        <v>3.3993023175491299E-2</v>
      </c>
      <c r="BI113" s="714">
        <f t="shared" si="213"/>
        <v>3.2025801894493403E-2</v>
      </c>
      <c r="BJ113" s="714">
        <f t="shared" si="213"/>
        <v>3.2543057796027397E-2</v>
      </c>
      <c r="BL113" s="714">
        <f t="shared" si="214"/>
        <v>3.0393707268034898E-3</v>
      </c>
      <c r="BM113" s="714">
        <f t="shared" si="214"/>
        <v>4.2029017907044301E-3</v>
      </c>
      <c r="BN113" s="714">
        <f t="shared" si="214"/>
        <v>5.1981049678426804E-3</v>
      </c>
      <c r="BO113" s="714">
        <f t="shared" si="214"/>
        <v>5.6063620233736903E-3</v>
      </c>
      <c r="BP113" s="714">
        <f t="shared" si="214"/>
        <v>7.4753200311947201E-3</v>
      </c>
      <c r="BQ113" s="714">
        <f t="shared" si="214"/>
        <v>9.1298773011876805E-3</v>
      </c>
      <c r="BR113" s="714">
        <f t="shared" si="214"/>
        <v>1.35469041804338E-2</v>
      </c>
      <c r="BS113" s="714">
        <f t="shared" si="214"/>
        <v>1.4723476986936899E-2</v>
      </c>
      <c r="BT113" s="714">
        <f t="shared" si="214"/>
        <v>1.4952950588593901E-2</v>
      </c>
      <c r="BU113" s="714">
        <f t="shared" si="214"/>
        <v>1.7001940860828901E-2</v>
      </c>
      <c r="BV113" s="714">
        <f t="shared" si="214"/>
        <v>1.8883484227748399E-2</v>
      </c>
      <c r="BW113" s="714">
        <f t="shared" si="214"/>
        <v>2.6470810679081299E-2</v>
      </c>
      <c r="BX113" s="714">
        <f t="shared" si="214"/>
        <v>2.6595632761443101E-2</v>
      </c>
      <c r="BY113" s="714">
        <f t="shared" si="214"/>
        <v>2.24199580781719E-2</v>
      </c>
      <c r="BZ113" s="714">
        <f t="shared" si="214"/>
        <v>2.29365063250015E-2</v>
      </c>
      <c r="CB113" s="714">
        <f t="shared" si="215"/>
        <v>0.74919026425377799</v>
      </c>
      <c r="CC113" s="714">
        <f t="shared" si="215"/>
        <v>0.78993070066791804</v>
      </c>
      <c r="CD113" s="714">
        <f t="shared" si="215"/>
        <v>0.82005799836697701</v>
      </c>
      <c r="CE113" s="714">
        <f t="shared" si="215"/>
        <v>0.85432704426906603</v>
      </c>
      <c r="CF113" s="714">
        <f t="shared" si="215"/>
        <v>0.86312739919217996</v>
      </c>
      <c r="CG113" s="714">
        <f t="shared" si="215"/>
        <v>0.87873911843929897</v>
      </c>
      <c r="CH113" s="714">
        <f t="shared" si="215"/>
        <v>0.90024527401134002</v>
      </c>
      <c r="CI113" s="714">
        <f t="shared" si="215"/>
        <v>0.901646214445054</v>
      </c>
      <c r="CJ113" s="714">
        <f t="shared" si="215"/>
        <v>0.90389960583708695</v>
      </c>
      <c r="CK113" s="714">
        <f t="shared" si="215"/>
        <v>0.88784366809670601</v>
      </c>
      <c r="CL113" s="714">
        <f t="shared" si="215"/>
        <v>0.89824594448552197</v>
      </c>
      <c r="CM113" s="714">
        <f t="shared" si="215"/>
        <v>0.90047191616377498</v>
      </c>
      <c r="CN113" s="714">
        <f t="shared" si="215"/>
        <v>0.90448585410197702</v>
      </c>
      <c r="CO113" s="714">
        <f t="shared" si="215"/>
        <v>0.907367880212267</v>
      </c>
      <c r="CP113" s="714">
        <f t="shared" si="215"/>
        <v>0.91463435981650398</v>
      </c>
      <c r="CR113" s="714">
        <f t="shared" si="216"/>
        <v>1.6649463716734699E-2</v>
      </c>
      <c r="CS113" s="714">
        <f t="shared" si="216"/>
        <v>2.09399859407207E-2</v>
      </c>
      <c r="CT113" s="714">
        <f t="shared" si="216"/>
        <v>2.4452161417794299E-2</v>
      </c>
      <c r="CU113" s="714">
        <f t="shared" si="216"/>
        <v>2.5720243801739599E-2</v>
      </c>
      <c r="CV113" s="714">
        <f t="shared" si="216"/>
        <v>3.1167825957754101E-2</v>
      </c>
      <c r="CW113" s="714">
        <f t="shared" si="216"/>
        <v>3.6283741368487103E-2</v>
      </c>
      <c r="CX113" s="714">
        <f t="shared" si="216"/>
        <v>4.2977619469888699E-2</v>
      </c>
      <c r="CY113" s="714">
        <f t="shared" si="216"/>
        <v>4.8889870105905502E-2</v>
      </c>
      <c r="CZ113" s="714">
        <f t="shared" si="216"/>
        <v>5.4618590919062703E-2</v>
      </c>
      <c r="DA113" s="714">
        <f t="shared" si="216"/>
        <v>6.4214027448576197E-2</v>
      </c>
      <c r="DB113" s="714">
        <f t="shared" si="216"/>
        <v>7.0523715828693406E-2</v>
      </c>
      <c r="DC113" s="714">
        <f t="shared" si="216"/>
        <v>7.5852997516370105E-2</v>
      </c>
      <c r="DD113" s="714">
        <f t="shared" si="216"/>
        <v>8.18521385065787E-2</v>
      </c>
      <c r="DE113" s="714">
        <f t="shared" si="216"/>
        <v>8.3132973298332996E-2</v>
      </c>
      <c r="DF113" s="714">
        <f t="shared" si="216"/>
        <v>8.9272481005061494E-2</v>
      </c>
      <c r="DJ113" s="828"/>
    </row>
    <row r="114" spans="29:114" s="561" customFormat="1">
      <c r="AC114" s="123"/>
      <c r="AD114"/>
      <c r="AE114"/>
      <c r="AF114" s="711">
        <f t="shared" si="197"/>
        <v>0.26178284457575102</v>
      </c>
      <c r="AG114" s="714">
        <f t="shared" si="197"/>
        <v>0.24503186051397</v>
      </c>
      <c r="AH114" s="714">
        <f t="shared" si="197"/>
        <v>0.237194768812208</v>
      </c>
      <c r="AI114" s="714">
        <f t="shared" si="197"/>
        <v>0.22881063644171501</v>
      </c>
      <c r="AJ114" s="714">
        <f t="shared" si="197"/>
        <v>0.240102381218705</v>
      </c>
      <c r="AK114" s="714">
        <f t="shared" si="197"/>
        <v>0.26678831660646701</v>
      </c>
      <c r="AL114" s="714">
        <f t="shared" si="197"/>
        <v>0.25149197065634199</v>
      </c>
      <c r="AM114" s="714">
        <f t="shared" si="197"/>
        <v>0.25488913166140398</v>
      </c>
      <c r="AN114" s="714">
        <f t="shared" si="197"/>
        <v>0.25096715401677</v>
      </c>
      <c r="AO114" s="714">
        <f t="shared" si="197"/>
        <v>0.25437388449419401</v>
      </c>
      <c r="AP114" s="714">
        <f t="shared" si="197"/>
        <v>0.24526513576880199</v>
      </c>
      <c r="AQ114" s="714">
        <f t="shared" si="197"/>
        <v>0.24672852598091199</v>
      </c>
      <c r="AR114" s="714">
        <f t="shared" si="211"/>
        <v>0.24775986820019899</v>
      </c>
      <c r="AS114" s="714">
        <f t="shared" si="212"/>
        <v>0.24165098481997199</v>
      </c>
      <c r="AT114" s="714">
        <f t="shared" si="217"/>
        <v>0.23981752850489799</v>
      </c>
      <c r="AV114" s="714">
        <f t="shared" si="213"/>
        <v>6.7275492022588604E-2</v>
      </c>
      <c r="AW114" s="714">
        <f t="shared" si="213"/>
        <v>6.8340095151922006E-2</v>
      </c>
      <c r="AX114" s="714">
        <f t="shared" si="213"/>
        <v>6.6867758083524895E-2</v>
      </c>
      <c r="AY114" s="714">
        <f t="shared" si="213"/>
        <v>7.1493380749978699E-2</v>
      </c>
      <c r="AZ114" s="714">
        <f t="shared" si="213"/>
        <v>7.9751157247637205E-2</v>
      </c>
      <c r="BA114" s="714">
        <f t="shared" si="213"/>
        <v>8.3147956990596794E-2</v>
      </c>
      <c r="BB114" s="714">
        <f t="shared" si="213"/>
        <v>7.5315423973164194E-2</v>
      </c>
      <c r="BC114" s="714">
        <f t="shared" si="213"/>
        <v>7.5198050734899297E-2</v>
      </c>
      <c r="BD114" s="714">
        <f t="shared" si="213"/>
        <v>7.3735437721443906E-2</v>
      </c>
      <c r="BE114" s="714">
        <f t="shared" si="213"/>
        <v>7.4250979806409101E-2</v>
      </c>
      <c r="BF114" s="714">
        <f t="shared" si="213"/>
        <v>7.7827310796195107E-2</v>
      </c>
      <c r="BG114" s="714">
        <f t="shared" si="213"/>
        <v>8.6441908713692894E-2</v>
      </c>
      <c r="BH114" s="714">
        <f t="shared" si="213"/>
        <v>9.2819396953683603E-2</v>
      </c>
      <c r="BI114" s="714">
        <f t="shared" si="213"/>
        <v>8.8787304295095806E-2</v>
      </c>
      <c r="BJ114" s="714">
        <f t="shared" si="213"/>
        <v>8.2214726825373494E-2</v>
      </c>
      <c r="BL114" s="714">
        <f t="shared" si="214"/>
        <v>6.7700954139011504E-2</v>
      </c>
      <c r="BM114" s="714">
        <f t="shared" si="214"/>
        <v>6.7844447922022794E-2</v>
      </c>
      <c r="BN114" s="714">
        <f t="shared" si="214"/>
        <v>6.0058756583648697E-2</v>
      </c>
      <c r="BO114" s="714">
        <f t="shared" si="214"/>
        <v>6.3498037528899404E-2</v>
      </c>
      <c r="BP114" s="714">
        <f t="shared" si="214"/>
        <v>6.6488501702394801E-2</v>
      </c>
      <c r="BQ114" s="714">
        <f t="shared" si="214"/>
        <v>6.8588729678886601E-2</v>
      </c>
      <c r="BR114" s="714">
        <f t="shared" si="214"/>
        <v>6.5368960398410197E-2</v>
      </c>
      <c r="BS114" s="714">
        <f t="shared" si="214"/>
        <v>6.5911366133561203E-2</v>
      </c>
      <c r="BT114" s="714">
        <f t="shared" si="214"/>
        <v>6.1969027391519702E-2</v>
      </c>
      <c r="BU114" s="714">
        <f t="shared" si="214"/>
        <v>5.9874414887544199E-2</v>
      </c>
      <c r="BV114" s="714">
        <f t="shared" si="214"/>
        <v>5.8767237463562598E-2</v>
      </c>
      <c r="BW114" s="714">
        <f t="shared" si="214"/>
        <v>6.5160211430348197E-2</v>
      </c>
      <c r="BX114" s="714">
        <f t="shared" si="214"/>
        <v>7.4413065525411007E-2</v>
      </c>
      <c r="BY114" s="714">
        <f t="shared" si="214"/>
        <v>6.7925691504664806E-2</v>
      </c>
      <c r="BZ114" s="714">
        <f t="shared" si="214"/>
        <v>6.3262198217222704E-2</v>
      </c>
      <c r="CB114" s="714">
        <f t="shared" si="215"/>
        <v>6.4881115198490699E-2</v>
      </c>
      <c r="CC114" s="714">
        <f t="shared" si="215"/>
        <v>5.4058418121167399E-2</v>
      </c>
      <c r="CD114" s="714">
        <f t="shared" si="215"/>
        <v>4.5206862374133898E-2</v>
      </c>
      <c r="CE114" s="714">
        <f t="shared" si="215"/>
        <v>3.6347947489868297E-2</v>
      </c>
      <c r="CF114" s="714">
        <f t="shared" si="215"/>
        <v>3.6591081226964299E-2</v>
      </c>
      <c r="CG114" s="714">
        <f t="shared" si="215"/>
        <v>3.3775493164310701E-2</v>
      </c>
      <c r="CH114" s="714">
        <f t="shared" si="215"/>
        <v>2.6817272729310299E-2</v>
      </c>
      <c r="CI114" s="714">
        <f t="shared" si="215"/>
        <v>2.67661845665224E-2</v>
      </c>
      <c r="CJ114" s="714">
        <f t="shared" si="215"/>
        <v>2.5200356419771201E-2</v>
      </c>
      <c r="CK114" s="714">
        <f t="shared" si="215"/>
        <v>2.8165273395918101E-2</v>
      </c>
      <c r="CL114" s="714">
        <f t="shared" si="215"/>
        <v>2.53012539082355E-2</v>
      </c>
      <c r="CM114" s="714">
        <f t="shared" si="215"/>
        <v>2.6655096322484698E-2</v>
      </c>
      <c r="CN114" s="714">
        <f t="shared" si="215"/>
        <v>2.66107895666437E-2</v>
      </c>
      <c r="CO114" s="714">
        <f t="shared" si="215"/>
        <v>2.4068651088602799E-2</v>
      </c>
      <c r="CP114" s="714">
        <f t="shared" si="215"/>
        <v>2.1653627299850001E-2</v>
      </c>
      <c r="CR114" s="714">
        <f t="shared" si="216"/>
        <v>0.49360295047590302</v>
      </c>
      <c r="CS114" s="714">
        <f t="shared" si="216"/>
        <v>0.491975487606785</v>
      </c>
      <c r="CT114" s="714">
        <f t="shared" si="216"/>
        <v>0.49516317714138303</v>
      </c>
      <c r="CU114" s="714">
        <f t="shared" si="216"/>
        <v>0.51361412986431398</v>
      </c>
      <c r="CV114" s="714">
        <f t="shared" si="216"/>
        <v>0.49256222335098998</v>
      </c>
      <c r="CW114" s="714">
        <f t="shared" si="216"/>
        <v>0.48919258241292102</v>
      </c>
      <c r="CX114" s="714">
        <f t="shared" si="216"/>
        <v>0.487683525135781</v>
      </c>
      <c r="CY114" s="714">
        <f t="shared" si="216"/>
        <v>0.48422620420590601</v>
      </c>
      <c r="CZ114" s="714">
        <f t="shared" si="216"/>
        <v>0.47743330302223402</v>
      </c>
      <c r="DA114" s="714">
        <f t="shared" si="216"/>
        <v>0.47147250073617802</v>
      </c>
      <c r="DB114" s="714">
        <f t="shared" si="216"/>
        <v>0.46434797170008801</v>
      </c>
      <c r="DC114" s="714">
        <f t="shared" si="216"/>
        <v>0.47676901566090102</v>
      </c>
      <c r="DD114" s="714">
        <f t="shared" si="216"/>
        <v>0.46031732678265003</v>
      </c>
      <c r="DE114" s="714">
        <f t="shared" si="216"/>
        <v>0.46128341888344598</v>
      </c>
      <c r="DF114" s="714">
        <f t="shared" si="216"/>
        <v>0.44773179793331103</v>
      </c>
      <c r="DJ114" s="828"/>
    </row>
    <row r="115" spans="29:114" s="561" customFormat="1">
      <c r="AC115" s="123"/>
      <c r="AD115"/>
      <c r="AE115"/>
      <c r="AF115" s="712">
        <f t="shared" si="197"/>
        <v>5.5948225038254903E-2</v>
      </c>
      <c r="AG115" s="715">
        <f t="shared" si="197"/>
        <v>5.53742735102584E-2</v>
      </c>
      <c r="AH115" s="715">
        <f t="shared" si="197"/>
        <v>5.4985386614947403E-2</v>
      </c>
      <c r="AI115" s="715">
        <f t="shared" si="197"/>
        <v>5.18567110077163E-2</v>
      </c>
      <c r="AJ115" s="715">
        <f t="shared" si="197"/>
        <v>4.9525927583053103E-2</v>
      </c>
      <c r="AK115" s="715">
        <f t="shared" si="197"/>
        <v>4.7962155203659498E-2</v>
      </c>
      <c r="AL115" s="715">
        <f t="shared" si="197"/>
        <v>5.1727924795893401E-2</v>
      </c>
      <c r="AM115" s="715">
        <f t="shared" si="197"/>
        <v>5.2618941858650403E-2</v>
      </c>
      <c r="AN115" s="715">
        <f t="shared" si="197"/>
        <v>5.5960247820679598E-2</v>
      </c>
      <c r="AO115" s="715">
        <f t="shared" si="197"/>
        <v>5.5907498402485503E-2</v>
      </c>
      <c r="AP115" s="715">
        <f t="shared" si="197"/>
        <v>5.6325069145368799E-2</v>
      </c>
      <c r="AQ115" s="715">
        <f t="shared" si="197"/>
        <v>5.5949098621421001E-2</v>
      </c>
      <c r="AR115" s="715">
        <f t="shared" si="211"/>
        <v>5.3628884401452297E-2</v>
      </c>
      <c r="AS115" s="715">
        <f t="shared" si="212"/>
        <v>5.29017689123071E-2</v>
      </c>
      <c r="AT115" s="714">
        <f t="shared" si="217"/>
        <v>5.4856873293720902E-2</v>
      </c>
      <c r="AU115" s="566"/>
      <c r="AV115" s="715">
        <f t="shared" si="213"/>
        <v>1.24086616869512E-2</v>
      </c>
      <c r="AW115" s="715">
        <f t="shared" si="213"/>
        <v>1.2215055018826099E-2</v>
      </c>
      <c r="AX115" s="715">
        <f t="shared" si="213"/>
        <v>1.23455349537334E-2</v>
      </c>
      <c r="AY115" s="715">
        <f t="shared" si="213"/>
        <v>1.34638103009414E-2</v>
      </c>
      <c r="AZ115" s="715">
        <f t="shared" si="213"/>
        <v>1.43225691664443E-2</v>
      </c>
      <c r="BA115" s="715">
        <f t="shared" si="213"/>
        <v>1.42287455172392E-2</v>
      </c>
      <c r="BB115" s="715">
        <f t="shared" si="213"/>
        <v>1.4335026273552799E-2</v>
      </c>
      <c r="BC115" s="715">
        <f t="shared" si="213"/>
        <v>1.49899993406159E-2</v>
      </c>
      <c r="BD115" s="715">
        <f t="shared" si="213"/>
        <v>1.7658108155513799E-2</v>
      </c>
      <c r="BE115" s="715">
        <f t="shared" si="213"/>
        <v>1.86869457640217E-2</v>
      </c>
      <c r="BF115" s="715">
        <f t="shared" si="213"/>
        <v>1.77278904018414E-2</v>
      </c>
      <c r="BG115" s="715">
        <f t="shared" si="213"/>
        <v>1.9187413554633499E-2</v>
      </c>
      <c r="BH115" s="715">
        <f t="shared" si="213"/>
        <v>1.8170828584257202E-2</v>
      </c>
      <c r="BI115" s="715">
        <f t="shared" si="213"/>
        <v>1.74755858236182E-2</v>
      </c>
      <c r="BJ115" s="714">
        <f t="shared" si="213"/>
        <v>1.6652816476837601E-2</v>
      </c>
      <c r="BK115" s="566"/>
      <c r="BL115" s="715">
        <f t="shared" si="214"/>
        <v>1.21516040470074E-2</v>
      </c>
      <c r="BM115" s="715">
        <f t="shared" si="214"/>
        <v>1.22789564284277E-2</v>
      </c>
      <c r="BN115" s="715">
        <f t="shared" si="214"/>
        <v>1.1925998464918101E-2</v>
      </c>
      <c r="BO115" s="715">
        <f t="shared" si="214"/>
        <v>1.19165742048693E-2</v>
      </c>
      <c r="BP115" s="715">
        <f t="shared" si="214"/>
        <v>1.29011089342438E-2</v>
      </c>
      <c r="BQ115" s="715">
        <f t="shared" si="214"/>
        <v>1.1727048957855601E-2</v>
      </c>
      <c r="BR115" s="715">
        <f t="shared" si="214"/>
        <v>1.1071206244313601E-2</v>
      </c>
      <c r="BS115" s="715">
        <f t="shared" si="214"/>
        <v>1.21645708704676E-2</v>
      </c>
      <c r="BT115" s="715">
        <f t="shared" si="214"/>
        <v>1.4086250904796401E-2</v>
      </c>
      <c r="BU115" s="715">
        <f t="shared" si="214"/>
        <v>1.5097613882863299E-2</v>
      </c>
      <c r="BV115" s="715">
        <f t="shared" si="214"/>
        <v>1.41030785988649E-2</v>
      </c>
      <c r="BW115" s="715">
        <f t="shared" si="214"/>
        <v>1.3979109068143401E-2</v>
      </c>
      <c r="BX115" s="715">
        <f t="shared" si="214"/>
        <v>1.29906199896479E-2</v>
      </c>
      <c r="BY115" s="715">
        <f t="shared" si="214"/>
        <v>1.22600797336731E-2</v>
      </c>
      <c r="BZ115" s="715">
        <f t="shared" si="214"/>
        <v>1.18540477979248E-2</v>
      </c>
      <c r="CA115" s="566"/>
      <c r="CB115" s="715">
        <f t="shared" si="215"/>
        <v>1.0061941269553201E-2</v>
      </c>
      <c r="CC115" s="715">
        <f t="shared" si="215"/>
        <v>8.6757140794662697E-3</v>
      </c>
      <c r="CD115" s="715">
        <f t="shared" si="215"/>
        <v>7.5201791729794399E-3</v>
      </c>
      <c r="CE115" s="715">
        <f t="shared" si="215"/>
        <v>5.8923619863877003E-3</v>
      </c>
      <c r="CF115" s="715">
        <f t="shared" si="215"/>
        <v>6.61942711357855E-3</v>
      </c>
      <c r="CG115" s="715">
        <f t="shared" si="215"/>
        <v>7.3030791458836997E-3</v>
      </c>
      <c r="CH115" s="715">
        <f t="shared" si="215"/>
        <v>6.1180288725538904E-3</v>
      </c>
      <c r="CI115" s="715">
        <f t="shared" si="215"/>
        <v>5.7896893009089503E-3</v>
      </c>
      <c r="CJ115" s="715">
        <f t="shared" si="215"/>
        <v>6.7178901194680698E-3</v>
      </c>
      <c r="CK115" s="715">
        <f t="shared" si="215"/>
        <v>7.8541488625727407E-3</v>
      </c>
      <c r="CL115" s="715">
        <f t="shared" si="215"/>
        <v>6.2478333964528796E-3</v>
      </c>
      <c r="CM115" s="715">
        <f t="shared" si="215"/>
        <v>5.2362954801871498E-3</v>
      </c>
      <c r="CN115" s="715">
        <f t="shared" si="215"/>
        <v>4.2093093916510402E-3</v>
      </c>
      <c r="CO115" s="715">
        <f t="shared" si="215"/>
        <v>4.16880004243903E-3</v>
      </c>
      <c r="CP115" s="715">
        <f t="shared" si="215"/>
        <v>3.6880748599330201E-3</v>
      </c>
      <c r="CQ115" s="566"/>
      <c r="CR115" s="715">
        <f t="shared" si="216"/>
        <v>0.104453864136133</v>
      </c>
      <c r="CS115" s="715">
        <f t="shared" si="216"/>
        <v>0.104253130572578</v>
      </c>
      <c r="CT115" s="715">
        <f t="shared" si="216"/>
        <v>0.10574136676399901</v>
      </c>
      <c r="CU115" s="715">
        <f t="shared" si="216"/>
        <v>0.102412125707648</v>
      </c>
      <c r="CV115" s="715">
        <f t="shared" si="216"/>
        <v>0.10461608633004001</v>
      </c>
      <c r="CW115" s="715">
        <f t="shared" si="216"/>
        <v>0.10505759997285399</v>
      </c>
      <c r="CX115" s="715">
        <f t="shared" si="216"/>
        <v>0.10500337697809201</v>
      </c>
      <c r="CY115" s="715">
        <f t="shared" si="216"/>
        <v>0.106605750663969</v>
      </c>
      <c r="CZ115" s="715">
        <f t="shared" si="216"/>
        <v>0.107929283033655</v>
      </c>
      <c r="DA115" s="715">
        <f t="shared" si="216"/>
        <v>0.10990372562365899</v>
      </c>
      <c r="DB115" s="715">
        <f t="shared" si="216"/>
        <v>0.111649014108092</v>
      </c>
      <c r="DC115" s="715">
        <f t="shared" si="216"/>
        <v>0.107032780870809</v>
      </c>
      <c r="DD115" s="715">
        <f t="shared" si="216"/>
        <v>0.108601137396103</v>
      </c>
      <c r="DE115" s="715">
        <f t="shared" si="216"/>
        <v>0.112516510893009</v>
      </c>
      <c r="DF115" s="715">
        <f t="shared" si="216"/>
        <v>0.123503987983826</v>
      </c>
      <c r="DJ115" s="829"/>
    </row>
    <row r="116" spans="29:114" s="790" customFormat="1">
      <c r="AC116" s="123"/>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Z116"/>
      <c r="CA116"/>
      <c r="CB116"/>
      <c r="CC116"/>
      <c r="CD116"/>
      <c r="CE116"/>
      <c r="CF116"/>
      <c r="CG116"/>
      <c r="CH116"/>
      <c r="CI116"/>
      <c r="CJ116"/>
      <c r="CK116"/>
      <c r="CL116"/>
      <c r="CM116"/>
      <c r="CN116"/>
      <c r="CO116"/>
      <c r="CP116"/>
      <c r="CQ116"/>
      <c r="CR116"/>
      <c r="CS116"/>
      <c r="CT116"/>
      <c r="CU116"/>
      <c r="CV116"/>
      <c r="CW116"/>
      <c r="CX116"/>
      <c r="CY116"/>
      <c r="CZ116"/>
    </row>
    <row r="117" spans="29:114">
      <c r="AC117" s="123"/>
    </row>
    <row r="118" spans="29:114">
      <c r="AC118" s="123"/>
    </row>
    <row r="119" spans="29:114">
      <c r="AC119" s="123"/>
    </row>
    <row r="120" spans="29:114">
      <c r="AC120" s="123"/>
    </row>
    <row r="121" spans="29:114">
      <c r="AC121" s="123"/>
    </row>
    <row r="122" spans="29:114">
      <c r="AC122" s="123"/>
    </row>
    <row r="123" spans="29:114">
      <c r="AC123" s="123"/>
    </row>
    <row r="124" spans="29:114">
      <c r="AC124" s="123"/>
    </row>
  </sheetData>
  <phoneticPr fontId="93" type="noConversion"/>
  <hyperlinks>
    <hyperlink ref="AC1" location="Content!A1" display="content" xr:uid="{00000000-0004-0000-0D00-000000000000}"/>
  </hyperlinks>
  <pageMargins left="0.7" right="0.7" top="0.75" bottom="0.75" header="0.3" footer="0.3"/>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CL66"/>
  <sheetViews>
    <sheetView zoomScale="70" zoomScaleNormal="70" workbookViewId="0">
      <pane xSplit="2" ySplit="7" topLeftCell="AM61" activePane="bottomRight" state="frozenSplit"/>
      <selection pane="topRight"/>
      <selection pane="bottomLeft"/>
      <selection pane="bottomRight" activeCell="BF44" sqref="BF44"/>
    </sheetView>
  </sheetViews>
  <sheetFormatPr defaultColWidth="9" defaultRowHeight="14.4"/>
  <cols>
    <col min="2" max="2" width="24.77734375" customWidth="1"/>
    <col min="3" max="14" width="9.77734375" customWidth="1"/>
    <col min="16" max="17" width="10.77734375" customWidth="1"/>
  </cols>
  <sheetData>
    <row r="1" spans="1:17" ht="21">
      <c r="A1" s="528" t="s">
        <v>47</v>
      </c>
      <c r="O1" s="57" t="s">
        <v>48</v>
      </c>
      <c r="P1" s="57"/>
      <c r="Q1" s="57"/>
    </row>
    <row r="2" spans="1:17" ht="18">
      <c r="A2" s="529" t="s">
        <v>366</v>
      </c>
    </row>
    <row r="3" spans="1:17" ht="18">
      <c r="A3" s="529" t="s">
        <v>368</v>
      </c>
    </row>
    <row r="4" spans="1:17" ht="18">
      <c r="A4" s="529" t="s">
        <v>369</v>
      </c>
    </row>
    <row r="7" spans="1:17">
      <c r="A7" s="530" t="s">
        <v>94</v>
      </c>
      <c r="B7" s="530" t="s">
        <v>370</v>
      </c>
      <c r="C7" s="530">
        <v>2010</v>
      </c>
      <c r="D7" s="530">
        <f>C7+1</f>
        <v>2011</v>
      </c>
      <c r="E7" s="530">
        <f t="shared" ref="E7:Q7" si="0">D7+1</f>
        <v>2012</v>
      </c>
      <c r="F7" s="530">
        <f t="shared" si="0"/>
        <v>2013</v>
      </c>
      <c r="G7" s="530">
        <f t="shared" si="0"/>
        <v>2014</v>
      </c>
      <c r="H7" s="530">
        <f t="shared" si="0"/>
        <v>2015</v>
      </c>
      <c r="I7" s="530">
        <f t="shared" si="0"/>
        <v>2016</v>
      </c>
      <c r="J7" s="530">
        <f t="shared" si="0"/>
        <v>2017</v>
      </c>
      <c r="K7" s="530">
        <f t="shared" si="0"/>
        <v>2018</v>
      </c>
      <c r="L7" s="530">
        <f t="shared" si="0"/>
        <v>2019</v>
      </c>
      <c r="M7" s="530">
        <f t="shared" si="0"/>
        <v>2020</v>
      </c>
      <c r="N7" s="547">
        <f t="shared" si="0"/>
        <v>2021</v>
      </c>
      <c r="O7" s="552">
        <v>2022</v>
      </c>
      <c r="P7" s="547">
        <f t="shared" si="0"/>
        <v>2023</v>
      </c>
      <c r="Q7" s="547">
        <f t="shared" si="0"/>
        <v>2024</v>
      </c>
    </row>
    <row r="8" spans="1:17">
      <c r="A8" s="530" t="s">
        <v>186</v>
      </c>
      <c r="B8" s="530" t="s">
        <v>371</v>
      </c>
      <c r="C8" s="532"/>
      <c r="D8" s="532">
        <v>39000</v>
      </c>
      <c r="E8" s="532">
        <v>41785</v>
      </c>
      <c r="F8" s="532">
        <v>41974</v>
      </c>
      <c r="G8" s="532">
        <v>44040</v>
      </c>
      <c r="H8" s="532">
        <v>45434</v>
      </c>
      <c r="I8" s="532">
        <v>45146</v>
      </c>
      <c r="J8" s="532">
        <v>47520</v>
      </c>
      <c r="K8" s="532">
        <v>48431</v>
      </c>
      <c r="L8" s="532">
        <v>53045</v>
      </c>
      <c r="M8" s="532">
        <v>53767</v>
      </c>
      <c r="N8" s="551">
        <v>58481</v>
      </c>
      <c r="O8" s="551">
        <v>63388</v>
      </c>
      <c r="P8" s="779">
        <v>66432</v>
      </c>
      <c r="Q8" s="779">
        <v>66917</v>
      </c>
    </row>
    <row r="9" spans="1:17">
      <c r="A9" s="533"/>
      <c r="B9" s="534" t="s">
        <v>372</v>
      </c>
      <c r="C9" s="535"/>
      <c r="D9" s="535">
        <v>23207</v>
      </c>
      <c r="E9" s="535">
        <v>23440</v>
      </c>
      <c r="F9" s="535">
        <v>23963</v>
      </c>
      <c r="G9" s="535">
        <v>25405</v>
      </c>
      <c r="H9" s="535">
        <v>27464</v>
      </c>
      <c r="I9" s="535">
        <v>27072</v>
      </c>
      <c r="J9" s="535">
        <v>29243</v>
      </c>
      <c r="K9" s="535">
        <v>30996</v>
      </c>
      <c r="L9" s="535">
        <v>31992</v>
      </c>
      <c r="M9" s="535">
        <v>32721</v>
      </c>
      <c r="N9" s="776">
        <v>33388</v>
      </c>
      <c r="O9" s="548">
        <v>33931</v>
      </c>
      <c r="P9" s="779">
        <v>34575</v>
      </c>
      <c r="Q9" s="779">
        <v>34045</v>
      </c>
    </row>
    <row r="10" spans="1:17">
      <c r="A10" s="533"/>
      <c r="B10" s="534" t="s">
        <v>373</v>
      </c>
      <c r="C10" s="535"/>
      <c r="D10" s="535">
        <v>35971</v>
      </c>
      <c r="E10" s="535">
        <v>36477</v>
      </c>
      <c r="F10" s="535">
        <v>37117</v>
      </c>
      <c r="G10" s="535">
        <v>38454</v>
      </c>
      <c r="H10" s="535">
        <v>39572</v>
      </c>
      <c r="I10" s="535">
        <v>38778</v>
      </c>
      <c r="J10" s="535">
        <v>40056</v>
      </c>
      <c r="K10" s="535">
        <v>43306</v>
      </c>
      <c r="L10" s="535">
        <v>43881</v>
      </c>
      <c r="M10" s="535">
        <v>44542</v>
      </c>
      <c r="N10" s="776">
        <v>46476</v>
      </c>
      <c r="O10" s="548">
        <v>47223</v>
      </c>
      <c r="P10" s="779">
        <v>48144</v>
      </c>
      <c r="Q10" s="779">
        <v>47453</v>
      </c>
    </row>
    <row r="11" spans="1:17">
      <c r="A11" s="533"/>
      <c r="B11" s="534" t="s">
        <v>374</v>
      </c>
      <c r="C11" s="535"/>
      <c r="D11" s="535">
        <v>29942</v>
      </c>
      <c r="E11" s="535">
        <v>32053</v>
      </c>
      <c r="F11" s="535">
        <v>32801</v>
      </c>
      <c r="G11" s="535">
        <v>33830</v>
      </c>
      <c r="H11" s="535">
        <v>36016</v>
      </c>
      <c r="I11" s="535">
        <v>37049</v>
      </c>
      <c r="J11" s="535">
        <v>36802</v>
      </c>
      <c r="K11" s="535">
        <v>38713</v>
      </c>
      <c r="L11" s="535">
        <v>39270</v>
      </c>
      <c r="M11" s="535">
        <v>36620</v>
      </c>
      <c r="N11" s="776">
        <v>37171</v>
      </c>
      <c r="O11" s="548">
        <v>36485</v>
      </c>
      <c r="P11" s="779">
        <v>37053</v>
      </c>
      <c r="Q11" s="779">
        <v>37544</v>
      </c>
    </row>
    <row r="12" spans="1:17">
      <c r="A12" s="533"/>
      <c r="B12" s="536" t="s">
        <v>375</v>
      </c>
      <c r="C12" s="537"/>
      <c r="D12" s="537">
        <v>9883</v>
      </c>
      <c r="E12" s="537">
        <v>9707</v>
      </c>
      <c r="F12" s="537">
        <v>10322</v>
      </c>
      <c r="G12" s="537">
        <v>10635</v>
      </c>
      <c r="H12" s="537">
        <v>11184</v>
      </c>
      <c r="I12" s="537">
        <v>10914</v>
      </c>
      <c r="J12" s="537">
        <v>11614</v>
      </c>
      <c r="K12" s="537">
        <v>13035</v>
      </c>
      <c r="L12" s="537">
        <v>13218</v>
      </c>
      <c r="M12" s="537">
        <v>12472</v>
      </c>
      <c r="N12" s="778">
        <v>13022</v>
      </c>
      <c r="O12" s="548">
        <v>12361</v>
      </c>
      <c r="P12" s="779">
        <v>12657</v>
      </c>
      <c r="Q12" s="779">
        <v>12791</v>
      </c>
    </row>
    <row r="13" spans="1:17">
      <c r="A13" s="538"/>
      <c r="B13" s="538" t="s">
        <v>62</v>
      </c>
      <c r="C13" s="539">
        <f>SUM(C8:C12)</f>
        <v>0</v>
      </c>
      <c r="D13" s="539">
        <f>SUM(D8:D12)</f>
        <v>138003</v>
      </c>
      <c r="E13" s="539">
        <f t="shared" ref="E13:L13" si="1">SUM(E8:E12)</f>
        <v>143462</v>
      </c>
      <c r="F13" s="539">
        <f t="shared" si="1"/>
        <v>146177</v>
      </c>
      <c r="G13" s="539">
        <f t="shared" si="1"/>
        <v>152364</v>
      </c>
      <c r="H13" s="539">
        <f t="shared" si="1"/>
        <v>159670</v>
      </c>
      <c r="I13" s="539">
        <f t="shared" si="1"/>
        <v>158959</v>
      </c>
      <c r="J13" s="539">
        <f t="shared" si="1"/>
        <v>165235</v>
      </c>
      <c r="K13" s="539">
        <f t="shared" si="1"/>
        <v>174481</v>
      </c>
      <c r="L13" s="539">
        <f t="shared" si="1"/>
        <v>181406</v>
      </c>
      <c r="M13" s="539">
        <v>180122</v>
      </c>
      <c r="N13" s="780">
        <v>188223</v>
      </c>
      <c r="O13" s="550">
        <f>SUM(O8:O12)</f>
        <v>193388</v>
      </c>
      <c r="P13" s="781">
        <f>SUM(P8:P12)</f>
        <v>198861</v>
      </c>
      <c r="Q13" s="781">
        <f>SUM(Q8:Q12)</f>
        <v>198750</v>
      </c>
    </row>
    <row r="14" spans="1:17">
      <c r="A14" s="530" t="s">
        <v>129</v>
      </c>
      <c r="B14" s="530" t="s">
        <v>371</v>
      </c>
      <c r="C14" s="532">
        <v>114865</v>
      </c>
      <c r="D14" s="532">
        <v>105983</v>
      </c>
      <c r="E14" s="532">
        <v>103033</v>
      </c>
      <c r="F14" s="532">
        <v>107558</v>
      </c>
      <c r="G14" s="532">
        <v>102383</v>
      </c>
      <c r="H14" s="532">
        <v>98120</v>
      </c>
      <c r="I14" s="532">
        <v>95547</v>
      </c>
      <c r="J14" s="532">
        <v>94551</v>
      </c>
      <c r="K14" s="532">
        <v>91625</v>
      </c>
      <c r="L14" s="532">
        <v>88142</v>
      </c>
      <c r="M14" s="532">
        <v>84150</v>
      </c>
      <c r="N14" s="551">
        <v>87533</v>
      </c>
      <c r="O14" s="547">
        <v>90460</v>
      </c>
      <c r="P14" s="782">
        <v>100854</v>
      </c>
      <c r="Q14" s="782"/>
    </row>
    <row r="15" spans="1:17">
      <c r="A15" s="533"/>
      <c r="B15" s="534" t="s">
        <v>372</v>
      </c>
      <c r="C15" s="535">
        <v>56560</v>
      </c>
      <c r="D15" s="535">
        <v>51391</v>
      </c>
      <c r="E15" s="535">
        <v>51139</v>
      </c>
      <c r="F15" s="535">
        <v>52358</v>
      </c>
      <c r="G15" s="535">
        <v>51409</v>
      </c>
      <c r="H15" s="535">
        <v>54383</v>
      </c>
      <c r="I15" s="535">
        <v>55301</v>
      </c>
      <c r="J15" s="535">
        <v>55484</v>
      </c>
      <c r="K15" s="535">
        <v>55923</v>
      </c>
      <c r="L15" s="535">
        <v>53146</v>
      </c>
      <c r="M15" s="535">
        <v>51217</v>
      </c>
      <c r="N15" s="776">
        <v>50633</v>
      </c>
      <c r="O15" s="774">
        <v>49784</v>
      </c>
      <c r="P15" s="779">
        <v>50387</v>
      </c>
      <c r="Q15" s="779"/>
    </row>
    <row r="16" spans="1:17">
      <c r="A16" s="533"/>
      <c r="B16" s="534" t="s">
        <v>373</v>
      </c>
      <c r="C16" s="535">
        <v>51241</v>
      </c>
      <c r="D16" s="535">
        <v>45425</v>
      </c>
      <c r="E16" s="535">
        <v>43898</v>
      </c>
      <c r="F16" s="535">
        <v>50750</v>
      </c>
      <c r="G16" s="535">
        <v>52397</v>
      </c>
      <c r="H16" s="535">
        <v>60308</v>
      </c>
      <c r="I16" s="535">
        <v>59289</v>
      </c>
      <c r="J16" s="535">
        <v>60104</v>
      </c>
      <c r="K16" s="535">
        <v>60588</v>
      </c>
      <c r="L16" s="535">
        <v>58746</v>
      </c>
      <c r="M16" s="535">
        <v>59314</v>
      </c>
      <c r="N16" s="776">
        <v>61772</v>
      </c>
      <c r="O16" s="774">
        <v>62527</v>
      </c>
      <c r="P16" s="779">
        <v>62171</v>
      </c>
      <c r="Q16" s="779"/>
    </row>
    <row r="17" spans="1:17">
      <c r="A17" s="533"/>
      <c r="B17" s="534" t="s">
        <v>374</v>
      </c>
      <c r="C17" s="535">
        <v>76015</v>
      </c>
      <c r="D17" s="535">
        <v>67281</v>
      </c>
      <c r="E17" s="535">
        <v>64213</v>
      </c>
      <c r="F17" s="535">
        <v>71352</v>
      </c>
      <c r="G17" s="535">
        <v>67323</v>
      </c>
      <c r="H17" s="535">
        <v>70563</v>
      </c>
      <c r="I17" s="535">
        <v>70854</v>
      </c>
      <c r="J17" s="535">
        <v>71538</v>
      </c>
      <c r="K17" s="535">
        <v>69784</v>
      </c>
      <c r="L17" s="535">
        <v>65260</v>
      </c>
      <c r="M17" s="535">
        <v>57950</v>
      </c>
      <c r="N17" s="776">
        <v>56245</v>
      </c>
      <c r="O17" s="774">
        <v>54395</v>
      </c>
      <c r="P17" s="779">
        <v>52677</v>
      </c>
      <c r="Q17" s="779"/>
    </row>
    <row r="18" spans="1:17">
      <c r="A18" s="533"/>
      <c r="B18" s="536" t="s">
        <v>375</v>
      </c>
      <c r="C18" s="537">
        <v>27629</v>
      </c>
      <c r="D18" s="537">
        <v>25262</v>
      </c>
      <c r="E18" s="537">
        <v>25286</v>
      </c>
      <c r="F18" s="537">
        <v>27220</v>
      </c>
      <c r="G18" s="537">
        <v>29665</v>
      </c>
      <c r="H18" s="537">
        <v>33546</v>
      </c>
      <c r="I18" s="537">
        <v>35511</v>
      </c>
      <c r="J18" s="537">
        <v>35569</v>
      </c>
      <c r="K18" s="537">
        <v>34175</v>
      </c>
      <c r="L18" s="537">
        <v>34615</v>
      </c>
      <c r="M18" s="537">
        <v>34165</v>
      </c>
      <c r="N18" s="778">
        <v>31467</v>
      </c>
      <c r="O18" s="774">
        <v>30807</v>
      </c>
      <c r="P18" s="779">
        <v>32726</v>
      </c>
      <c r="Q18" s="779"/>
    </row>
    <row r="19" spans="1:17">
      <c r="A19" s="538"/>
      <c r="B19" s="538" t="s">
        <v>62</v>
      </c>
      <c r="C19" s="539">
        <f>SUM(C14:C18)</f>
        <v>326310</v>
      </c>
      <c r="D19" s="539">
        <f>SUM(D14:D18)</f>
        <v>295342</v>
      </c>
      <c r="E19" s="539">
        <f t="shared" ref="E19" si="2">SUM(E14:E18)</f>
        <v>287569</v>
      </c>
      <c r="F19" s="539">
        <f t="shared" ref="F19" si="3">SUM(F14:F18)</f>
        <v>309238</v>
      </c>
      <c r="G19" s="539">
        <f t="shared" ref="G19" si="4">SUM(G14:G18)</f>
        <v>303177</v>
      </c>
      <c r="H19" s="539">
        <f t="shared" ref="H19" si="5">SUM(H14:H18)</f>
        <v>316920</v>
      </c>
      <c r="I19" s="539">
        <f t="shared" ref="I19" si="6">SUM(I14:I18)</f>
        <v>316502</v>
      </c>
      <c r="J19" s="539">
        <f t="shared" ref="J19" si="7">SUM(J14:J18)</f>
        <v>317246</v>
      </c>
      <c r="K19" s="539">
        <f t="shared" ref="K19" si="8">SUM(K14:K18)</f>
        <v>312095</v>
      </c>
      <c r="L19" s="539">
        <f t="shared" ref="L19" si="9">SUM(L14:L18)</f>
        <v>299909</v>
      </c>
      <c r="M19" s="539">
        <v>286796</v>
      </c>
      <c r="N19" s="780">
        <f>SUM(N14:N18)</f>
        <v>287650</v>
      </c>
      <c r="O19" s="550">
        <f>SUM(O14:O18)</f>
        <v>287973</v>
      </c>
      <c r="P19" s="550">
        <f>SUM(P14:P18)</f>
        <v>298815</v>
      </c>
      <c r="Q19" s="788"/>
    </row>
    <row r="20" spans="1:17">
      <c r="A20" s="530" t="s">
        <v>146</v>
      </c>
      <c r="B20" s="530" t="s">
        <v>371</v>
      </c>
      <c r="C20" s="532"/>
      <c r="D20" s="532">
        <v>64288</v>
      </c>
      <c r="E20" s="532">
        <v>66906</v>
      </c>
      <c r="F20" s="532">
        <v>71214</v>
      </c>
      <c r="G20" s="532">
        <v>71194</v>
      </c>
      <c r="H20" s="532">
        <v>72180</v>
      </c>
      <c r="I20" s="532">
        <v>68174</v>
      </c>
      <c r="J20" s="532">
        <v>64991</v>
      </c>
      <c r="K20" s="532">
        <v>66826</v>
      </c>
      <c r="L20" s="532">
        <v>71993</v>
      </c>
      <c r="M20" s="532">
        <v>74468</v>
      </c>
      <c r="N20" s="551">
        <v>83077</v>
      </c>
      <c r="O20" s="551">
        <v>87938</v>
      </c>
      <c r="P20" s="782">
        <v>90492</v>
      </c>
      <c r="Q20" s="782">
        <v>95256</v>
      </c>
    </row>
    <row r="21" spans="1:17">
      <c r="A21" s="533"/>
      <c r="B21" s="534" t="s">
        <v>372</v>
      </c>
      <c r="C21" s="535"/>
      <c r="D21" s="535">
        <v>20445</v>
      </c>
      <c r="E21" s="535">
        <v>21099</v>
      </c>
      <c r="F21" s="535">
        <v>22248</v>
      </c>
      <c r="G21" s="535">
        <v>24609</v>
      </c>
      <c r="H21" s="535">
        <v>26746</v>
      </c>
      <c r="I21" s="535">
        <v>26296</v>
      </c>
      <c r="J21" s="535">
        <v>25188</v>
      </c>
      <c r="K21" s="535">
        <v>27534</v>
      </c>
      <c r="L21" s="535">
        <v>28475</v>
      </c>
      <c r="M21" s="535">
        <v>31124</v>
      </c>
      <c r="N21" s="776">
        <v>32654</v>
      </c>
      <c r="O21" s="548">
        <v>32811</v>
      </c>
      <c r="P21" s="779">
        <v>33780</v>
      </c>
      <c r="Q21" s="779">
        <v>33764</v>
      </c>
    </row>
    <row r="22" spans="1:17">
      <c r="A22" s="533"/>
      <c r="B22" s="534" t="s">
        <v>373</v>
      </c>
      <c r="C22" s="535"/>
      <c r="D22" s="535">
        <v>35691</v>
      </c>
      <c r="E22" s="535">
        <v>36331</v>
      </c>
      <c r="F22" s="535">
        <v>40237</v>
      </c>
      <c r="G22" s="535">
        <v>42237</v>
      </c>
      <c r="H22" s="535">
        <v>42442</v>
      </c>
      <c r="I22" s="535">
        <v>42459</v>
      </c>
      <c r="J22" s="535">
        <v>43471</v>
      </c>
      <c r="K22" s="535">
        <v>44421</v>
      </c>
      <c r="L22" s="535">
        <v>45136</v>
      </c>
      <c r="M22" s="535">
        <v>45820</v>
      </c>
      <c r="N22" s="776">
        <v>49101</v>
      </c>
      <c r="O22" s="548">
        <v>48656</v>
      </c>
      <c r="P22" s="779">
        <v>50496</v>
      </c>
      <c r="Q22" s="779">
        <v>49170</v>
      </c>
    </row>
    <row r="23" spans="1:17">
      <c r="A23" s="533"/>
      <c r="B23" s="534" t="s">
        <v>374</v>
      </c>
      <c r="C23" s="535"/>
      <c r="D23" s="535">
        <v>35899</v>
      </c>
      <c r="E23" s="535">
        <v>38419</v>
      </c>
      <c r="F23" s="535">
        <v>42416</v>
      </c>
      <c r="G23" s="535">
        <v>43724</v>
      </c>
      <c r="H23" s="535">
        <v>43442</v>
      </c>
      <c r="I23" s="535">
        <v>41877</v>
      </c>
      <c r="J23" s="535">
        <v>41216</v>
      </c>
      <c r="K23" s="535">
        <v>41384</v>
      </c>
      <c r="L23" s="535">
        <v>42514</v>
      </c>
      <c r="M23" s="535">
        <v>42240</v>
      </c>
      <c r="N23" s="776">
        <v>42342</v>
      </c>
      <c r="O23" s="548">
        <v>40122</v>
      </c>
      <c r="P23" s="779">
        <v>40337</v>
      </c>
      <c r="Q23" s="779">
        <v>40251</v>
      </c>
    </row>
    <row r="24" spans="1:17">
      <c r="A24" s="533"/>
      <c r="B24" s="536" t="s">
        <v>375</v>
      </c>
      <c r="C24" s="537"/>
      <c r="D24" s="537">
        <v>17709</v>
      </c>
      <c r="E24" s="537">
        <v>19089</v>
      </c>
      <c r="F24" s="537">
        <v>20674</v>
      </c>
      <c r="G24" s="537">
        <v>20240</v>
      </c>
      <c r="H24" s="537">
        <v>22043</v>
      </c>
      <c r="I24" s="537">
        <v>21911</v>
      </c>
      <c r="J24" s="537">
        <v>21873</v>
      </c>
      <c r="K24" s="537">
        <v>29827</v>
      </c>
      <c r="L24" s="537">
        <v>30857</v>
      </c>
      <c r="M24" s="537">
        <v>25063</v>
      </c>
      <c r="N24" s="778">
        <v>23623</v>
      </c>
      <c r="O24" s="548">
        <v>20859</v>
      </c>
      <c r="P24" s="779">
        <v>20648</v>
      </c>
      <c r="Q24" s="779">
        <v>19502</v>
      </c>
    </row>
    <row r="25" spans="1:17">
      <c r="A25" s="538"/>
      <c r="B25" s="538" t="s">
        <v>62</v>
      </c>
      <c r="C25" s="539">
        <f>SUM(C20:C24)</f>
        <v>0</v>
      </c>
      <c r="D25" s="539">
        <f>SUM(D20:D24)</f>
        <v>174032</v>
      </c>
      <c r="E25" s="539">
        <f t="shared" ref="E25" si="10">SUM(E20:E24)</f>
        <v>181844</v>
      </c>
      <c r="F25" s="539">
        <f t="shared" ref="F25" si="11">SUM(F20:F24)</f>
        <v>196789</v>
      </c>
      <c r="G25" s="539">
        <f t="shared" ref="G25" si="12">SUM(G20:G24)</f>
        <v>202004</v>
      </c>
      <c r="H25" s="539">
        <f t="shared" ref="H25" si="13">SUM(H20:H24)</f>
        <v>206853</v>
      </c>
      <c r="I25" s="539">
        <f t="shared" ref="I25" si="14">SUM(I20:I24)</f>
        <v>200717</v>
      </c>
      <c r="J25" s="539">
        <f t="shared" ref="J25" si="15">SUM(J20:J24)</f>
        <v>196739</v>
      </c>
      <c r="K25" s="539">
        <f t="shared" ref="K25" si="16">SUM(K20:K24)</f>
        <v>209992</v>
      </c>
      <c r="L25" s="539">
        <f t="shared" ref="L25" si="17">SUM(L20:L24)</f>
        <v>218975</v>
      </c>
      <c r="M25" s="539">
        <v>218715</v>
      </c>
      <c r="N25" s="780">
        <f>SUM(N20:N24)</f>
        <v>230797</v>
      </c>
      <c r="O25" s="550">
        <f>SUM(O20:O24)</f>
        <v>230386</v>
      </c>
      <c r="P25" s="781">
        <f>SUM(P20:P24)</f>
        <v>235753</v>
      </c>
      <c r="Q25" s="781">
        <f>SUM(Q20:Q24)</f>
        <v>237943</v>
      </c>
    </row>
    <row r="26" spans="1:17">
      <c r="A26" s="530" t="s">
        <v>156</v>
      </c>
      <c r="B26" s="530" t="s">
        <v>371</v>
      </c>
      <c r="C26" s="532"/>
      <c r="D26" s="532">
        <v>131761</v>
      </c>
      <c r="E26" s="532">
        <v>176835</v>
      </c>
      <c r="F26" s="532">
        <v>207768</v>
      </c>
      <c r="G26" s="532">
        <v>190769</v>
      </c>
      <c r="H26" s="532">
        <v>208885</v>
      </c>
      <c r="I26" s="532">
        <v>231460</v>
      </c>
      <c r="J26" s="532">
        <v>327034</v>
      </c>
      <c r="K26" s="532">
        <v>415838</v>
      </c>
      <c r="L26" s="532">
        <v>437254</v>
      </c>
      <c r="M26" s="532">
        <v>473476</v>
      </c>
      <c r="N26" s="551">
        <v>524237</v>
      </c>
      <c r="O26" s="547">
        <v>594231</v>
      </c>
      <c r="P26" s="782">
        <v>606474</v>
      </c>
      <c r="Q26" s="782">
        <v>643126</v>
      </c>
    </row>
    <row r="27" spans="1:17">
      <c r="A27" s="533"/>
      <c r="B27" s="534" t="s">
        <v>372</v>
      </c>
      <c r="C27" s="535"/>
      <c r="D27" s="535">
        <v>54448</v>
      </c>
      <c r="E27" s="535">
        <v>89264</v>
      </c>
      <c r="F27" s="535">
        <v>102235</v>
      </c>
      <c r="G27" s="535">
        <v>100863</v>
      </c>
      <c r="H27" s="535">
        <v>117475</v>
      </c>
      <c r="I27" s="535">
        <v>125524</v>
      </c>
      <c r="J27" s="535">
        <v>176032</v>
      </c>
      <c r="K27" s="535">
        <v>240587</v>
      </c>
      <c r="L27" s="535">
        <v>223144</v>
      </c>
      <c r="M27" s="535">
        <v>231016</v>
      </c>
      <c r="N27" s="776">
        <v>253566</v>
      </c>
      <c r="O27" s="774">
        <v>256744</v>
      </c>
      <c r="P27" s="779">
        <v>244465</v>
      </c>
      <c r="Q27" s="779">
        <v>269226</v>
      </c>
    </row>
    <row r="28" spans="1:17">
      <c r="A28" s="533"/>
      <c r="B28" s="534" t="s">
        <v>373</v>
      </c>
      <c r="C28" s="535"/>
      <c r="D28" s="535">
        <v>134541</v>
      </c>
      <c r="E28" s="535">
        <v>211278</v>
      </c>
      <c r="F28" s="535">
        <v>234197</v>
      </c>
      <c r="G28" s="535">
        <v>243144</v>
      </c>
      <c r="H28" s="535">
        <v>292326</v>
      </c>
      <c r="I28" s="535">
        <v>290452</v>
      </c>
      <c r="J28" s="535">
        <v>376686</v>
      </c>
      <c r="K28" s="535">
        <v>468686</v>
      </c>
      <c r="L28" s="535">
        <v>343512</v>
      </c>
      <c r="M28" s="535">
        <v>329489</v>
      </c>
      <c r="N28" s="776">
        <v>346556</v>
      </c>
      <c r="O28" s="774">
        <v>323056</v>
      </c>
      <c r="P28" s="779">
        <v>302300</v>
      </c>
      <c r="Q28" s="779">
        <v>348387</v>
      </c>
    </row>
    <row r="29" spans="1:17">
      <c r="A29" s="533"/>
      <c r="B29" s="534" t="s">
        <v>374</v>
      </c>
      <c r="C29" s="535"/>
      <c r="D29" s="535">
        <v>94720</v>
      </c>
      <c r="E29" s="535">
        <v>166496</v>
      </c>
      <c r="F29" s="535">
        <v>181842</v>
      </c>
      <c r="G29" s="535">
        <v>169710</v>
      </c>
      <c r="H29" s="535">
        <v>214689</v>
      </c>
      <c r="I29" s="535">
        <v>233187</v>
      </c>
      <c r="J29" s="535">
        <v>330059</v>
      </c>
      <c r="K29" s="535">
        <v>455849</v>
      </c>
      <c r="L29" s="535">
        <v>343588</v>
      </c>
      <c r="M29" s="535">
        <v>359194</v>
      </c>
      <c r="N29" s="776">
        <v>360221</v>
      </c>
      <c r="O29" s="774">
        <v>323511</v>
      </c>
      <c r="P29" s="779">
        <v>318635</v>
      </c>
      <c r="Q29" s="779">
        <v>329577</v>
      </c>
    </row>
    <row r="30" spans="1:17">
      <c r="A30" s="533"/>
      <c r="B30" s="536" t="s">
        <v>375</v>
      </c>
      <c r="C30" s="537"/>
      <c r="D30" s="537">
        <v>35312</v>
      </c>
      <c r="E30" s="537">
        <v>62139</v>
      </c>
      <c r="F30" s="537">
        <v>69423</v>
      </c>
      <c r="G30" s="537">
        <v>62487</v>
      </c>
      <c r="H30" s="537">
        <v>75455</v>
      </c>
      <c r="I30" s="537">
        <v>95401</v>
      </c>
      <c r="J30" s="537">
        <v>163124</v>
      </c>
      <c r="K30" s="537">
        <v>171091</v>
      </c>
      <c r="L30" s="537">
        <v>120327</v>
      </c>
      <c r="M30" s="537">
        <v>130614</v>
      </c>
      <c r="N30" s="778">
        <v>134369</v>
      </c>
      <c r="O30" s="774">
        <v>134800</v>
      </c>
      <c r="P30" s="779">
        <v>98640</v>
      </c>
      <c r="Q30" s="779">
        <v>97057</v>
      </c>
    </row>
    <row r="31" spans="1:17">
      <c r="A31" s="538"/>
      <c r="B31" s="538" t="s">
        <v>62</v>
      </c>
      <c r="C31" s="539">
        <f>SUM(C26:C30)</f>
        <v>0</v>
      </c>
      <c r="D31" s="539">
        <f>SUM(D26:D30)</f>
        <v>450782</v>
      </c>
      <c r="E31" s="539">
        <f t="shared" ref="E31" si="18">SUM(E26:E30)</f>
        <v>706012</v>
      </c>
      <c r="F31" s="539">
        <f t="shared" ref="F31" si="19">SUM(F26:F30)</f>
        <v>795465</v>
      </c>
      <c r="G31" s="539">
        <f t="shared" ref="G31" si="20">SUM(G26:G30)</f>
        <v>766973</v>
      </c>
      <c r="H31" s="539">
        <f t="shared" ref="H31" si="21">SUM(H26:H30)</f>
        <v>908830</v>
      </c>
      <c r="I31" s="539">
        <f t="shared" ref="I31" si="22">SUM(I26:I30)</f>
        <v>976024</v>
      </c>
      <c r="J31" s="539">
        <f t="shared" ref="J31" si="23">SUM(J26:J30)</f>
        <v>1372935</v>
      </c>
      <c r="K31" s="539">
        <f t="shared" ref="K31" si="24">SUM(K26:K30)</f>
        <v>1752051</v>
      </c>
      <c r="L31" s="539">
        <f t="shared" ref="L31" si="25">SUM(L26:L30)</f>
        <v>1467825</v>
      </c>
      <c r="M31" s="539">
        <v>1523789</v>
      </c>
      <c r="N31" s="780">
        <f>SUM(N26:N30)</f>
        <v>1618949</v>
      </c>
      <c r="O31" s="783">
        <f>SUM(O26:O30)</f>
        <v>1632342</v>
      </c>
      <c r="P31" s="781">
        <f>SUM(P26:P30)</f>
        <v>1570514</v>
      </c>
      <c r="Q31" s="781">
        <f>SUM(Q26:Q30)</f>
        <v>1687373</v>
      </c>
    </row>
    <row r="32" spans="1:17">
      <c r="A32" s="533" t="s">
        <v>170</v>
      </c>
      <c r="B32" s="533" t="s">
        <v>371</v>
      </c>
      <c r="C32" s="540"/>
      <c r="D32" s="540">
        <v>232044</v>
      </c>
      <c r="E32" s="540">
        <v>256486</v>
      </c>
      <c r="F32" s="540">
        <v>256829</v>
      </c>
      <c r="G32" s="540">
        <v>241112</v>
      </c>
      <c r="H32" s="540">
        <v>263836</v>
      </c>
      <c r="I32" s="540">
        <v>282191</v>
      </c>
      <c r="J32" s="540">
        <v>269323</v>
      </c>
      <c r="K32" s="540">
        <v>261741</v>
      </c>
      <c r="L32" s="540">
        <v>272440</v>
      </c>
      <c r="M32" s="540">
        <v>262622</v>
      </c>
      <c r="N32" s="548">
        <v>260452</v>
      </c>
      <c r="O32" s="547">
        <v>260768</v>
      </c>
      <c r="P32" s="782">
        <v>254938</v>
      </c>
      <c r="Q32" s="782">
        <v>238797</v>
      </c>
    </row>
    <row r="33" spans="1:90">
      <c r="A33" s="533"/>
      <c r="B33" s="534" t="s">
        <v>372</v>
      </c>
      <c r="C33" s="535"/>
      <c r="D33" s="535">
        <v>72017</v>
      </c>
      <c r="E33" s="535">
        <v>75156</v>
      </c>
      <c r="F33" s="535">
        <v>82398</v>
      </c>
      <c r="G33" s="535">
        <v>84467</v>
      </c>
      <c r="H33" s="535">
        <v>91191</v>
      </c>
      <c r="I33" s="535">
        <v>98449</v>
      </c>
      <c r="J33" s="535">
        <v>100475</v>
      </c>
      <c r="K33" s="535">
        <v>102636</v>
      </c>
      <c r="L33" s="535">
        <v>104275</v>
      </c>
      <c r="M33" s="535">
        <v>101945</v>
      </c>
      <c r="N33" s="776">
        <v>101493</v>
      </c>
      <c r="O33" s="774">
        <v>98486</v>
      </c>
      <c r="P33" s="779">
        <v>100920</v>
      </c>
      <c r="Q33" s="779">
        <v>92234</v>
      </c>
    </row>
    <row r="34" spans="1:90">
      <c r="A34" s="533"/>
      <c r="B34" s="534" t="s">
        <v>373</v>
      </c>
      <c r="C34" s="535"/>
      <c r="D34" s="535">
        <v>83844</v>
      </c>
      <c r="E34" s="535">
        <v>84257</v>
      </c>
      <c r="F34" s="535">
        <v>82051</v>
      </c>
      <c r="G34" s="535">
        <v>83702</v>
      </c>
      <c r="H34" s="535">
        <v>88318</v>
      </c>
      <c r="I34" s="535">
        <v>90698</v>
      </c>
      <c r="J34" s="535">
        <v>87771</v>
      </c>
      <c r="K34" s="535">
        <v>88932</v>
      </c>
      <c r="L34" s="535">
        <v>86621</v>
      </c>
      <c r="M34" s="535">
        <v>87758</v>
      </c>
      <c r="N34" s="776">
        <v>89140</v>
      </c>
      <c r="O34" s="774">
        <v>83984</v>
      </c>
      <c r="P34" s="779">
        <v>85327</v>
      </c>
      <c r="Q34" s="779">
        <v>72579</v>
      </c>
    </row>
    <row r="35" spans="1:90">
      <c r="A35" s="533"/>
      <c r="B35" s="534" t="s">
        <v>374</v>
      </c>
      <c r="C35" s="535"/>
      <c r="D35" s="535">
        <v>67462</v>
      </c>
      <c r="E35" s="535">
        <v>69585</v>
      </c>
      <c r="F35" s="535">
        <v>69097</v>
      </c>
      <c r="G35" s="535">
        <v>71945</v>
      </c>
      <c r="H35" s="535">
        <v>80464</v>
      </c>
      <c r="I35" s="535">
        <v>89014</v>
      </c>
      <c r="J35" s="535">
        <v>88143</v>
      </c>
      <c r="K35" s="535">
        <v>88696</v>
      </c>
      <c r="L35" s="535">
        <v>87433</v>
      </c>
      <c r="M35" s="535">
        <v>83346</v>
      </c>
      <c r="N35" s="776">
        <v>81744</v>
      </c>
      <c r="O35" s="774">
        <v>79821</v>
      </c>
      <c r="P35" s="779">
        <v>83363</v>
      </c>
      <c r="Q35" s="779">
        <v>74324</v>
      </c>
    </row>
    <row r="36" spans="1:90">
      <c r="A36" s="533"/>
      <c r="B36" s="541" t="s">
        <v>375</v>
      </c>
      <c r="C36" s="542"/>
      <c r="D36" s="542">
        <v>28550</v>
      </c>
      <c r="E36" s="542">
        <v>29164</v>
      </c>
      <c r="F36" s="542">
        <v>29333</v>
      </c>
      <c r="G36" s="542">
        <v>30911</v>
      </c>
      <c r="H36" s="542">
        <v>33863</v>
      </c>
      <c r="I36" s="542">
        <v>35889</v>
      </c>
      <c r="J36" s="542">
        <v>35597</v>
      </c>
      <c r="K36" s="542">
        <v>55136</v>
      </c>
      <c r="L36" s="542">
        <v>70684</v>
      </c>
      <c r="M36" s="542">
        <v>34408</v>
      </c>
      <c r="N36" s="784">
        <v>34225</v>
      </c>
      <c r="O36" s="774">
        <v>32177</v>
      </c>
      <c r="P36" s="779">
        <v>33242</v>
      </c>
      <c r="Q36" s="779">
        <v>31464</v>
      </c>
    </row>
    <row r="37" spans="1:90">
      <c r="A37" s="538"/>
      <c r="B37" s="538" t="s">
        <v>62</v>
      </c>
      <c r="C37" s="539">
        <f>SUM(C32:C36)</f>
        <v>0</v>
      </c>
      <c r="D37" s="539">
        <f>SUM(D32:D36)</f>
        <v>483917</v>
      </c>
      <c r="E37" s="539">
        <f t="shared" ref="E37" si="26">SUM(E32:E36)</f>
        <v>514648</v>
      </c>
      <c r="F37" s="539">
        <f t="shared" ref="F37" si="27">SUM(F32:F36)</f>
        <v>519708</v>
      </c>
      <c r="G37" s="539">
        <f t="shared" ref="G37" si="28">SUM(G32:G36)</f>
        <v>512137</v>
      </c>
      <c r="H37" s="539">
        <f t="shared" ref="H37" si="29">SUM(H32:H36)</f>
        <v>557672</v>
      </c>
      <c r="I37" s="539">
        <f t="shared" ref="I37" si="30">SUM(I32:I36)</f>
        <v>596241</v>
      </c>
      <c r="J37" s="539">
        <f t="shared" ref="J37" si="31">SUM(J32:J36)</f>
        <v>581309</v>
      </c>
      <c r="K37" s="539">
        <f t="shared" ref="K37" si="32">SUM(K32:K36)</f>
        <v>597141</v>
      </c>
      <c r="L37" s="539">
        <f t="shared" ref="L37" si="33">SUM(L32:L36)</f>
        <v>621453</v>
      </c>
      <c r="M37" s="539">
        <v>570079</v>
      </c>
      <c r="N37" s="780">
        <v>567054</v>
      </c>
      <c r="O37" s="783">
        <f>SUM(O32:O36)</f>
        <v>555236</v>
      </c>
      <c r="P37" s="781">
        <f>SUM(P32:P36)</f>
        <v>557790</v>
      </c>
      <c r="Q37" s="781">
        <f>SUM(Q32:Q36)</f>
        <v>509398</v>
      </c>
    </row>
    <row r="38" spans="1:90">
      <c r="N38" s="123"/>
      <c r="O38" s="123"/>
      <c r="P38" s="123"/>
      <c r="Q38" s="123"/>
    </row>
    <row r="39" spans="1:90">
      <c r="N39" s="123"/>
      <c r="O39" s="123"/>
      <c r="P39" s="123"/>
      <c r="Q39" s="123"/>
    </row>
    <row r="40" spans="1:90">
      <c r="I40" s="543"/>
      <c r="N40" s="123"/>
      <c r="O40" s="123"/>
      <c r="P40" s="123"/>
      <c r="Q40" s="123"/>
    </row>
    <row r="41" spans="1:90">
      <c r="A41" s="530" t="s">
        <v>94</v>
      </c>
      <c r="B41" s="530" t="s">
        <v>370</v>
      </c>
      <c r="C41" s="530">
        <v>2010</v>
      </c>
      <c r="D41" s="530">
        <f>C41+1</f>
        <v>2011</v>
      </c>
      <c r="E41" s="530">
        <f t="shared" ref="E41" si="34">D41+1</f>
        <v>2012</v>
      </c>
      <c r="F41" s="530">
        <f t="shared" ref="F41" si="35">E41+1</f>
        <v>2013</v>
      </c>
      <c r="G41" s="530">
        <f t="shared" ref="G41" si="36">F41+1</f>
        <v>2014</v>
      </c>
      <c r="H41" s="530">
        <f t="shared" ref="H41" si="37">G41+1</f>
        <v>2015</v>
      </c>
      <c r="I41" s="530">
        <f t="shared" ref="I41" si="38">H41+1</f>
        <v>2016</v>
      </c>
      <c r="J41" s="530">
        <f t="shared" ref="J41" si="39">I41+1</f>
        <v>2017</v>
      </c>
      <c r="K41" s="530">
        <f t="shared" ref="K41" si="40">J41+1</f>
        <v>2018</v>
      </c>
      <c r="L41" s="530">
        <f t="shared" ref="L41" si="41">K41+1</f>
        <v>2019</v>
      </c>
      <c r="M41" s="530">
        <f t="shared" ref="M41" si="42">L41+1</f>
        <v>2020</v>
      </c>
      <c r="N41" s="547">
        <f t="shared" ref="N41:Q41" si="43">M41+1</f>
        <v>2021</v>
      </c>
      <c r="O41" s="552">
        <v>2022</v>
      </c>
      <c r="P41" s="547">
        <f t="shared" si="43"/>
        <v>2023</v>
      </c>
      <c r="Q41" s="547">
        <f t="shared" si="43"/>
        <v>2024</v>
      </c>
    </row>
    <row r="42" spans="1:90">
      <c r="A42" s="530" t="s">
        <v>186</v>
      </c>
      <c r="B42" s="530" t="s">
        <v>371</v>
      </c>
      <c r="C42" s="532"/>
      <c r="D42" s="544">
        <f>D8/D13</f>
        <v>0.28260255211843199</v>
      </c>
      <c r="E42" s="544">
        <f t="shared" ref="E42:N42" si="44">E8/E13</f>
        <v>0.29126179754917703</v>
      </c>
      <c r="F42" s="544">
        <f t="shared" si="44"/>
        <v>0.28714503649685003</v>
      </c>
      <c r="G42" s="544">
        <f t="shared" si="44"/>
        <v>0.28904465621800401</v>
      </c>
      <c r="H42" s="544">
        <f t="shared" si="44"/>
        <v>0.28454938310264899</v>
      </c>
      <c r="I42" s="544">
        <f t="shared" si="44"/>
        <v>0.28401034228952099</v>
      </c>
      <c r="J42" s="544">
        <f t="shared" si="44"/>
        <v>0.28759040154930898</v>
      </c>
      <c r="K42" s="544">
        <f t="shared" si="44"/>
        <v>0.277571769992148</v>
      </c>
      <c r="L42" s="544">
        <f t="shared" si="44"/>
        <v>0.292410394364023</v>
      </c>
      <c r="M42" s="544">
        <f t="shared" si="44"/>
        <v>0.29850323669512902</v>
      </c>
      <c r="N42" s="554">
        <f t="shared" si="44"/>
        <v>0.31070060513327302</v>
      </c>
      <c r="O42" s="785">
        <v>0.32777628394729802</v>
      </c>
      <c r="P42" s="785">
        <v>0.33406248585695503</v>
      </c>
      <c r="Q42" s="785">
        <v>0.33668930817610099</v>
      </c>
    </row>
    <row r="43" spans="1:90">
      <c r="A43" s="533"/>
      <c r="B43" s="534" t="s">
        <v>372</v>
      </c>
      <c r="C43" s="535"/>
      <c r="D43" s="545">
        <f>D9/D13</f>
        <v>0.16816301094903699</v>
      </c>
      <c r="E43" s="545">
        <f t="shared" ref="E43:N43" si="45">E9/E13</f>
        <v>0.16338821430065101</v>
      </c>
      <c r="F43" s="545">
        <f t="shared" si="45"/>
        <v>0.163931398236385</v>
      </c>
      <c r="G43" s="545">
        <f t="shared" si="45"/>
        <v>0.16673886219841999</v>
      </c>
      <c r="H43" s="545">
        <f t="shared" si="45"/>
        <v>0.17200475981712299</v>
      </c>
      <c r="I43" s="545">
        <f t="shared" si="45"/>
        <v>0.17030806686000799</v>
      </c>
      <c r="J43" s="545">
        <f t="shared" si="45"/>
        <v>0.17697824310829999</v>
      </c>
      <c r="K43" s="545">
        <f t="shared" si="45"/>
        <v>0.17764684980026499</v>
      </c>
      <c r="L43" s="545">
        <f t="shared" si="45"/>
        <v>0.176355798595416</v>
      </c>
      <c r="M43" s="545">
        <f t="shared" si="45"/>
        <v>0.18166020808118899</v>
      </c>
      <c r="N43" s="555">
        <f t="shared" si="45"/>
        <v>0.17738533547972399</v>
      </c>
      <c r="O43" s="786">
        <v>0.175455560841417</v>
      </c>
      <c r="P43" s="786">
        <v>0.17386516209814901</v>
      </c>
      <c r="Q43" s="786">
        <v>0.171295597484277</v>
      </c>
    </row>
    <row r="44" spans="1:90">
      <c r="A44" s="533"/>
      <c r="B44" s="534" t="s">
        <v>373</v>
      </c>
      <c r="C44" s="535"/>
      <c r="D44" s="545">
        <f>D10/D13</f>
        <v>0.260653753903901</v>
      </c>
      <c r="E44" s="545">
        <f t="shared" ref="E44:N44" si="46">E10/E13</f>
        <v>0.25426245277495102</v>
      </c>
      <c r="F44" s="545">
        <f t="shared" si="46"/>
        <v>0.253918195064887</v>
      </c>
      <c r="G44" s="545">
        <f t="shared" si="46"/>
        <v>0.25238245254784603</v>
      </c>
      <c r="H44" s="545">
        <f t="shared" si="46"/>
        <v>0.24783616208429901</v>
      </c>
      <c r="I44" s="545">
        <f t="shared" si="46"/>
        <v>0.243949697720796</v>
      </c>
      <c r="J44" s="545">
        <f t="shared" si="46"/>
        <v>0.24241837383121001</v>
      </c>
      <c r="K44" s="545">
        <f t="shared" si="46"/>
        <v>0.24819894429766001</v>
      </c>
      <c r="L44" s="545">
        <f t="shared" si="46"/>
        <v>0.241893873411023</v>
      </c>
      <c r="M44" s="545">
        <f t="shared" si="46"/>
        <v>0.247287949278822</v>
      </c>
      <c r="N44" s="555">
        <f t="shared" si="46"/>
        <v>0.24691987695446399</v>
      </c>
      <c r="O44" s="786">
        <v>0.24418785033197499</v>
      </c>
      <c r="P44" s="786">
        <v>0.24209875239488901</v>
      </c>
      <c r="Q44" s="786">
        <v>0.23875723270440299</v>
      </c>
    </row>
    <row r="45" spans="1:90" s="123" customFormat="1">
      <c r="A45" s="774"/>
      <c r="B45" s="775" t="s">
        <v>374</v>
      </c>
      <c r="C45" s="776"/>
      <c r="D45" s="555">
        <f>D11/D13</f>
        <v>0.21696629783410501</v>
      </c>
      <c r="E45" s="555">
        <f t="shared" ref="E45:N45" si="47">E11/E13</f>
        <v>0.22342501847179</v>
      </c>
      <c r="F45" s="555">
        <f t="shared" si="47"/>
        <v>0.22439234626514401</v>
      </c>
      <c r="G45" s="555">
        <f t="shared" si="47"/>
        <v>0.22203407629098701</v>
      </c>
      <c r="H45" s="555">
        <f t="shared" si="47"/>
        <v>0.225565228283334</v>
      </c>
      <c r="I45" s="555">
        <f t="shared" si="47"/>
        <v>0.23307267911851501</v>
      </c>
      <c r="J45" s="555">
        <f t="shared" si="47"/>
        <v>0.222725209550035</v>
      </c>
      <c r="K45" s="555">
        <f t="shared" si="47"/>
        <v>0.221875161192336</v>
      </c>
      <c r="L45" s="555">
        <f t="shared" si="47"/>
        <v>0.21647575052644299</v>
      </c>
      <c r="M45" s="555">
        <f t="shared" si="47"/>
        <v>0.20330664771654799</v>
      </c>
      <c r="N45" s="555">
        <f t="shared" si="47"/>
        <v>0.197483835663017</v>
      </c>
      <c r="O45" s="786">
        <v>0.18866217138602201</v>
      </c>
      <c r="P45" s="786">
        <v>0.18632612729494499</v>
      </c>
      <c r="Q45" s="786">
        <v>0.18890062893081799</v>
      </c>
      <c r="R45" s="561"/>
      <c r="S45" s="561"/>
      <c r="T45" s="561"/>
      <c r="U45" s="561"/>
      <c r="V45" s="561"/>
      <c r="W45" s="561"/>
      <c r="X45" s="561"/>
      <c r="Y45" s="561"/>
      <c r="Z45" s="561"/>
      <c r="AA45" s="561"/>
      <c r="AB45" s="561"/>
      <c r="AC45" s="561"/>
      <c r="AD45" s="561"/>
      <c r="AE45" s="561"/>
      <c r="AF45" s="561"/>
      <c r="AG45" s="561"/>
      <c r="AH45" s="561"/>
      <c r="AI45" s="561"/>
      <c r="AJ45" s="561"/>
      <c r="AK45" s="561"/>
      <c r="AL45" s="561"/>
      <c r="AM45" s="561"/>
      <c r="AN45" s="561"/>
      <c r="AO45" s="561"/>
      <c r="AP45" s="561"/>
      <c r="AQ45" s="561"/>
      <c r="AR45" s="561"/>
      <c r="AS45" s="561"/>
      <c r="AT45" s="561"/>
      <c r="AU45" s="561"/>
      <c r="AV45" s="561"/>
      <c r="AW45" s="561"/>
      <c r="AX45" s="561"/>
      <c r="AY45" s="561"/>
      <c r="AZ45" s="561"/>
      <c r="BA45" s="561"/>
      <c r="BB45" s="561"/>
      <c r="BC45" s="561"/>
      <c r="BD45" s="561"/>
      <c r="BE45" s="561"/>
      <c r="BF45" s="561"/>
      <c r="BG45" s="561"/>
      <c r="BH45" s="561"/>
      <c r="BI45" s="561"/>
      <c r="BJ45" s="561"/>
      <c r="BK45" s="561"/>
      <c r="BL45" s="561"/>
      <c r="BM45" s="561"/>
      <c r="BN45" s="561"/>
      <c r="BO45" s="561"/>
      <c r="BP45" s="561"/>
      <c r="BQ45" s="561"/>
      <c r="BR45" s="561"/>
      <c r="BS45" s="561"/>
      <c r="BT45" s="561"/>
      <c r="BU45" s="561"/>
      <c r="BV45" s="561"/>
      <c r="BW45" s="561"/>
      <c r="BX45" s="561"/>
      <c r="BY45" s="561"/>
      <c r="BZ45" s="561"/>
      <c r="CA45" s="561"/>
      <c r="CB45" s="561"/>
      <c r="CC45" s="561"/>
      <c r="CD45" s="561"/>
    </row>
    <row r="46" spans="1:90" s="123" customFormat="1">
      <c r="A46" s="774"/>
      <c r="B46" s="777" t="s">
        <v>375</v>
      </c>
      <c r="C46" s="778"/>
      <c r="D46" s="557">
        <f>D12/D13</f>
        <v>7.1614385194524802E-2</v>
      </c>
      <c r="E46" s="557">
        <f t="shared" ref="E46:N46" si="48">E12/E13</f>
        <v>6.7662516903430905E-2</v>
      </c>
      <c r="F46" s="557">
        <f t="shared" si="48"/>
        <v>7.0613023936734201E-2</v>
      </c>
      <c r="G46" s="557">
        <f t="shared" si="48"/>
        <v>6.9799952744742794E-2</v>
      </c>
      <c r="H46" s="557">
        <f t="shared" si="48"/>
        <v>7.0044466712594705E-2</v>
      </c>
      <c r="I46" s="557">
        <f t="shared" si="48"/>
        <v>6.8659214011160097E-2</v>
      </c>
      <c r="J46" s="557">
        <f t="shared" si="48"/>
        <v>7.0287771961146203E-2</v>
      </c>
      <c r="K46" s="557">
        <f t="shared" si="48"/>
        <v>7.4707274717591005E-2</v>
      </c>
      <c r="L46" s="557">
        <f t="shared" si="48"/>
        <v>7.2864183103094698E-2</v>
      </c>
      <c r="M46" s="557">
        <f t="shared" si="48"/>
        <v>6.9241958228311903E-2</v>
      </c>
      <c r="N46" s="557">
        <f t="shared" si="48"/>
        <v>6.9183893573048993E-2</v>
      </c>
      <c r="O46" s="787">
        <v>6.3918133493288107E-2</v>
      </c>
      <c r="P46" s="787">
        <v>6.3647472355062101E-2</v>
      </c>
      <c r="Q46" s="787">
        <v>6.4357232704402495E-2</v>
      </c>
      <c r="R46" s="558" t="s">
        <v>186</v>
      </c>
      <c r="S46" s="559"/>
      <c r="T46" s="559"/>
      <c r="U46" s="559"/>
      <c r="V46" s="559"/>
      <c r="W46" s="559"/>
      <c r="X46" s="559"/>
      <c r="Y46" s="559"/>
      <c r="Z46" s="559"/>
      <c r="AA46" s="559"/>
      <c r="AB46" s="559"/>
      <c r="AC46" s="559"/>
      <c r="AD46" s="559"/>
      <c r="AE46" s="559"/>
      <c r="AF46" s="559"/>
      <c r="AG46" s="559" t="s">
        <v>129</v>
      </c>
      <c r="AH46" s="559"/>
      <c r="AI46" s="559"/>
      <c r="AJ46" s="559"/>
      <c r="AK46" s="559"/>
      <c r="AL46" s="559"/>
      <c r="AM46" s="559"/>
      <c r="AN46" s="559"/>
      <c r="AO46" s="559"/>
      <c r="AP46" s="559"/>
      <c r="AQ46" s="559"/>
      <c r="AR46" s="559"/>
      <c r="AS46" s="559"/>
      <c r="AT46" s="559"/>
      <c r="AU46" s="559" t="s">
        <v>146</v>
      </c>
      <c r="AV46" s="559"/>
      <c r="AW46" s="559"/>
      <c r="AX46" s="559"/>
      <c r="AY46" s="559"/>
      <c r="AZ46" s="559"/>
      <c r="BA46" s="559"/>
      <c r="BB46" s="559"/>
      <c r="BC46" s="559"/>
      <c r="BD46" s="559"/>
      <c r="BE46" s="559"/>
      <c r="BF46" s="559"/>
      <c r="BG46" s="559"/>
      <c r="BH46" s="559"/>
      <c r="BI46" s="559"/>
      <c r="BJ46" s="559" t="s">
        <v>156</v>
      </c>
      <c r="BK46" s="559"/>
      <c r="BL46" s="559"/>
      <c r="BM46" s="559"/>
      <c r="BN46" s="559"/>
      <c r="BO46" s="559"/>
      <c r="BP46" s="559"/>
      <c r="BQ46" s="559"/>
      <c r="BR46" s="559"/>
      <c r="BS46" s="559"/>
      <c r="BT46" s="559"/>
      <c r="BU46" s="559"/>
      <c r="BV46" s="559"/>
      <c r="BW46" s="559"/>
      <c r="BX46" s="559"/>
      <c r="BY46" s="559" t="s">
        <v>170</v>
      </c>
      <c r="BZ46" s="559"/>
      <c r="CA46" s="559"/>
      <c r="CB46" s="559"/>
      <c r="CC46" s="559"/>
      <c r="CD46" s="559"/>
      <c r="CE46" s="559"/>
      <c r="CF46" s="559"/>
      <c r="CG46" s="559"/>
      <c r="CH46" s="559"/>
      <c r="CI46" s="559"/>
      <c r="CJ46" s="559"/>
      <c r="CK46" s="559"/>
      <c r="CL46" s="567"/>
    </row>
    <row r="47" spans="1:90" s="123" customFormat="1">
      <c r="A47" s="547" t="s">
        <v>129</v>
      </c>
      <c r="B47" s="547" t="s">
        <v>371</v>
      </c>
      <c r="C47" s="554">
        <f>C14/C19</f>
        <v>0.35201189053354198</v>
      </c>
      <c r="D47" s="554">
        <f>D14/D19</f>
        <v>0.35884838593901303</v>
      </c>
      <c r="E47" s="554">
        <f t="shared" ref="E47:M47" si="49">E14/E19</f>
        <v>0.358289662654876</v>
      </c>
      <c r="F47" s="554">
        <f t="shared" si="49"/>
        <v>0.34781624509277598</v>
      </c>
      <c r="G47" s="554">
        <f t="shared" si="49"/>
        <v>0.33770041922705202</v>
      </c>
      <c r="H47" s="554">
        <f t="shared" si="49"/>
        <v>0.309604947620851</v>
      </c>
      <c r="I47" s="554">
        <f t="shared" si="49"/>
        <v>0.30188434828215899</v>
      </c>
      <c r="J47" s="554">
        <f t="shared" si="49"/>
        <v>0.29803685468059499</v>
      </c>
      <c r="K47" s="554">
        <f t="shared" si="49"/>
        <v>0.29358048030247202</v>
      </c>
      <c r="L47" s="554">
        <f t="shared" si="49"/>
        <v>0.293895815063903</v>
      </c>
      <c r="M47" s="554">
        <f t="shared" si="49"/>
        <v>0.29341413408834199</v>
      </c>
      <c r="N47" s="554">
        <v>0.30430384147401401</v>
      </c>
      <c r="O47" s="785">
        <v>0.31412667159768398</v>
      </c>
      <c r="P47" s="786">
        <v>0.33751317704934503</v>
      </c>
      <c r="Q47" s="785"/>
      <c r="R47" s="560">
        <f t="shared" ref="R47:AA47" si="50">D7</f>
        <v>2011</v>
      </c>
      <c r="S47" s="561">
        <f t="shared" si="50"/>
        <v>2012</v>
      </c>
      <c r="T47" s="561">
        <f t="shared" si="50"/>
        <v>2013</v>
      </c>
      <c r="U47" s="561">
        <f t="shared" si="50"/>
        <v>2014</v>
      </c>
      <c r="V47" s="561">
        <f t="shared" si="50"/>
        <v>2015</v>
      </c>
      <c r="W47" s="561">
        <f t="shared" si="50"/>
        <v>2016</v>
      </c>
      <c r="X47" s="561">
        <f t="shared" si="50"/>
        <v>2017</v>
      </c>
      <c r="Y47" s="561">
        <f t="shared" si="50"/>
        <v>2018</v>
      </c>
      <c r="Z47" s="561">
        <f t="shared" si="50"/>
        <v>2019</v>
      </c>
      <c r="AA47" s="561">
        <f t="shared" si="50"/>
        <v>2020</v>
      </c>
      <c r="AB47" s="561">
        <f t="shared" ref="AB47" si="51">N7</f>
        <v>2021</v>
      </c>
      <c r="AC47" s="561">
        <f t="shared" ref="AC47" si="52">O7</f>
        <v>2022</v>
      </c>
      <c r="AD47" s="561">
        <f t="shared" ref="AD47" si="53">P7</f>
        <v>2023</v>
      </c>
      <c r="AE47" s="561">
        <f t="shared" ref="AE47" si="54">Q7</f>
        <v>2024</v>
      </c>
      <c r="AF47" s="561"/>
      <c r="AG47" s="561">
        <f t="shared" ref="AG47:AP47" si="55">R47</f>
        <v>2011</v>
      </c>
      <c r="AH47" s="561">
        <f t="shared" si="55"/>
        <v>2012</v>
      </c>
      <c r="AI47" s="561">
        <f t="shared" si="55"/>
        <v>2013</v>
      </c>
      <c r="AJ47" s="561">
        <f t="shared" si="55"/>
        <v>2014</v>
      </c>
      <c r="AK47" s="561">
        <f t="shared" si="55"/>
        <v>2015</v>
      </c>
      <c r="AL47" s="561">
        <f t="shared" si="55"/>
        <v>2016</v>
      </c>
      <c r="AM47" s="561">
        <f t="shared" si="55"/>
        <v>2017</v>
      </c>
      <c r="AN47" s="561">
        <f t="shared" si="55"/>
        <v>2018</v>
      </c>
      <c r="AO47" s="561">
        <f t="shared" si="55"/>
        <v>2019</v>
      </c>
      <c r="AP47" s="561">
        <f t="shared" si="55"/>
        <v>2020</v>
      </c>
      <c r="AQ47" s="561">
        <f t="shared" ref="AQ47:AS47" si="56">AB47</f>
        <v>2021</v>
      </c>
      <c r="AR47" s="561">
        <f t="shared" si="56"/>
        <v>2022</v>
      </c>
      <c r="AS47" s="561">
        <f t="shared" si="56"/>
        <v>2023</v>
      </c>
      <c r="AT47" s="561"/>
      <c r="AU47" s="561">
        <f t="shared" ref="AU47:BE47" si="57">AG47</f>
        <v>2011</v>
      </c>
      <c r="AV47" s="561">
        <f t="shared" si="57"/>
        <v>2012</v>
      </c>
      <c r="AW47" s="561">
        <f t="shared" si="57"/>
        <v>2013</v>
      </c>
      <c r="AX47" s="561">
        <f t="shared" si="57"/>
        <v>2014</v>
      </c>
      <c r="AY47" s="561">
        <f t="shared" si="57"/>
        <v>2015</v>
      </c>
      <c r="AZ47" s="561">
        <f t="shared" si="57"/>
        <v>2016</v>
      </c>
      <c r="BA47" s="561">
        <f t="shared" si="57"/>
        <v>2017</v>
      </c>
      <c r="BB47" s="561">
        <f t="shared" si="57"/>
        <v>2018</v>
      </c>
      <c r="BC47" s="561">
        <f t="shared" si="57"/>
        <v>2019</v>
      </c>
      <c r="BD47" s="561">
        <f t="shared" si="57"/>
        <v>2020</v>
      </c>
      <c r="BE47" s="561">
        <f t="shared" si="57"/>
        <v>2021</v>
      </c>
      <c r="BF47" s="561">
        <f t="shared" ref="BF47:BG47" si="58">AR47</f>
        <v>2022</v>
      </c>
      <c r="BG47" s="561">
        <f t="shared" si="58"/>
        <v>2023</v>
      </c>
      <c r="BH47" s="561">
        <v>2024</v>
      </c>
      <c r="BI47" s="561"/>
      <c r="BJ47" s="561">
        <f t="shared" ref="BJ47:BT47" si="59">AU47</f>
        <v>2011</v>
      </c>
      <c r="BK47" s="561">
        <f t="shared" si="59"/>
        <v>2012</v>
      </c>
      <c r="BL47" s="561">
        <f t="shared" si="59"/>
        <v>2013</v>
      </c>
      <c r="BM47" s="561">
        <f t="shared" si="59"/>
        <v>2014</v>
      </c>
      <c r="BN47" s="561">
        <f t="shared" si="59"/>
        <v>2015</v>
      </c>
      <c r="BO47" s="561">
        <f t="shared" si="59"/>
        <v>2016</v>
      </c>
      <c r="BP47" s="561">
        <f t="shared" si="59"/>
        <v>2017</v>
      </c>
      <c r="BQ47" s="561">
        <f t="shared" si="59"/>
        <v>2018</v>
      </c>
      <c r="BR47" s="561">
        <f t="shared" si="59"/>
        <v>2019</v>
      </c>
      <c r="BS47" s="561">
        <f t="shared" si="59"/>
        <v>2020</v>
      </c>
      <c r="BT47" s="561">
        <f t="shared" si="59"/>
        <v>2021</v>
      </c>
      <c r="BU47" s="561">
        <v>2022</v>
      </c>
      <c r="BV47" s="561">
        <v>2023</v>
      </c>
      <c r="BW47" s="561">
        <v>2024</v>
      </c>
      <c r="BX47" s="561"/>
      <c r="BY47" s="561">
        <f t="shared" ref="BY47:CL47" si="60">BJ47</f>
        <v>2011</v>
      </c>
      <c r="BZ47" s="561">
        <f t="shared" si="60"/>
        <v>2012</v>
      </c>
      <c r="CA47" s="561">
        <f t="shared" si="60"/>
        <v>2013</v>
      </c>
      <c r="CB47" s="561">
        <f t="shared" si="60"/>
        <v>2014</v>
      </c>
      <c r="CC47" s="561">
        <f t="shared" si="60"/>
        <v>2015</v>
      </c>
      <c r="CD47" s="561">
        <f t="shared" si="60"/>
        <v>2016</v>
      </c>
      <c r="CE47" s="561">
        <f t="shared" si="60"/>
        <v>2017</v>
      </c>
      <c r="CF47" s="561">
        <f t="shared" si="60"/>
        <v>2018</v>
      </c>
      <c r="CG47" s="561">
        <f t="shared" si="60"/>
        <v>2019</v>
      </c>
      <c r="CH47" s="561">
        <f t="shared" si="60"/>
        <v>2020</v>
      </c>
      <c r="CI47" s="561">
        <f t="shared" si="60"/>
        <v>2021</v>
      </c>
      <c r="CJ47" s="561">
        <f t="shared" si="60"/>
        <v>2022</v>
      </c>
      <c r="CK47" s="561">
        <f t="shared" si="60"/>
        <v>2023</v>
      </c>
      <c r="CL47" s="561">
        <f t="shared" si="60"/>
        <v>2024</v>
      </c>
    </row>
    <row r="48" spans="1:90" s="123" customFormat="1">
      <c r="A48" s="774"/>
      <c r="B48" s="775" t="s">
        <v>372</v>
      </c>
      <c r="C48" s="555">
        <f>C15/C19</f>
        <v>0.173332107505133</v>
      </c>
      <c r="D48" s="555">
        <f>D15/D19</f>
        <v>0.17400505177049</v>
      </c>
      <c r="E48" s="555">
        <f t="shared" ref="E48:M48" si="61">E15/E19</f>
        <v>0.17783210290399901</v>
      </c>
      <c r="F48" s="555">
        <f t="shared" si="61"/>
        <v>0.169312956363707</v>
      </c>
      <c r="G48" s="555">
        <f t="shared" si="61"/>
        <v>0.16956761231887599</v>
      </c>
      <c r="H48" s="555">
        <f t="shared" si="61"/>
        <v>0.171598510665152</v>
      </c>
      <c r="I48" s="555">
        <f t="shared" si="61"/>
        <v>0.17472559415106401</v>
      </c>
      <c r="J48" s="555">
        <f t="shared" si="61"/>
        <v>0.17489267004154499</v>
      </c>
      <c r="K48" s="555">
        <f t="shared" si="61"/>
        <v>0.17918582482897799</v>
      </c>
      <c r="L48" s="555">
        <f t="shared" si="61"/>
        <v>0.17720708614946501</v>
      </c>
      <c r="M48" s="555">
        <f t="shared" si="61"/>
        <v>0.17858338331078499</v>
      </c>
      <c r="N48" s="555">
        <v>0.176022944550669</v>
      </c>
      <c r="O48" s="786">
        <v>0.17287731835970699</v>
      </c>
      <c r="P48" s="786">
        <v>0.168622726436089</v>
      </c>
      <c r="Q48" s="786"/>
      <c r="R48" s="562">
        <f t="shared" ref="R48:AE48" si="62">D8/D13</f>
        <v>0.28260255211843199</v>
      </c>
      <c r="S48" s="563">
        <f t="shared" si="62"/>
        <v>0.29126179754917703</v>
      </c>
      <c r="T48" s="563">
        <f t="shared" si="62"/>
        <v>0.28714503649685003</v>
      </c>
      <c r="U48" s="563">
        <f t="shared" si="62"/>
        <v>0.28904465621800401</v>
      </c>
      <c r="V48" s="563">
        <f t="shared" si="62"/>
        <v>0.28454938310264899</v>
      </c>
      <c r="W48" s="563">
        <f t="shared" si="62"/>
        <v>0.28401034228952099</v>
      </c>
      <c r="X48" s="563">
        <f t="shared" si="62"/>
        <v>0.28759040154930898</v>
      </c>
      <c r="Y48" s="563">
        <f t="shared" si="62"/>
        <v>0.277571769992148</v>
      </c>
      <c r="Z48" s="563">
        <f t="shared" si="62"/>
        <v>0.292410394364023</v>
      </c>
      <c r="AA48" s="563">
        <f t="shared" si="62"/>
        <v>0.29850323669512902</v>
      </c>
      <c r="AB48" s="563">
        <f t="shared" si="62"/>
        <v>0.31070060513327302</v>
      </c>
      <c r="AC48" s="563">
        <f t="shared" si="62"/>
        <v>0.32777628394729802</v>
      </c>
      <c r="AD48" s="563">
        <f t="shared" si="62"/>
        <v>0.33406248585695503</v>
      </c>
      <c r="AE48" s="563">
        <f t="shared" si="62"/>
        <v>0.33668930817610099</v>
      </c>
      <c r="AF48" s="561"/>
      <c r="AG48" s="563">
        <f t="shared" ref="AG48:AS48" si="63">D14/D19</f>
        <v>0.35884838593901303</v>
      </c>
      <c r="AH48" s="563">
        <f t="shared" si="63"/>
        <v>0.358289662654876</v>
      </c>
      <c r="AI48" s="563">
        <f t="shared" si="63"/>
        <v>0.34781624509277598</v>
      </c>
      <c r="AJ48" s="563">
        <f t="shared" si="63"/>
        <v>0.33770041922705202</v>
      </c>
      <c r="AK48" s="563">
        <f t="shared" si="63"/>
        <v>0.309604947620851</v>
      </c>
      <c r="AL48" s="563">
        <f t="shared" si="63"/>
        <v>0.30188434828215899</v>
      </c>
      <c r="AM48" s="563">
        <f t="shared" si="63"/>
        <v>0.29803685468059499</v>
      </c>
      <c r="AN48" s="563">
        <f t="shared" si="63"/>
        <v>0.29358048030247202</v>
      </c>
      <c r="AO48" s="563">
        <f t="shared" si="63"/>
        <v>0.293895815063903</v>
      </c>
      <c r="AP48" s="563">
        <f t="shared" si="63"/>
        <v>0.29341413408834199</v>
      </c>
      <c r="AQ48" s="563">
        <f t="shared" si="63"/>
        <v>0.30430384147401401</v>
      </c>
      <c r="AR48" s="563">
        <f t="shared" si="63"/>
        <v>0.31412667159768398</v>
      </c>
      <c r="AS48" s="563">
        <f t="shared" si="63"/>
        <v>0.33751317704934503</v>
      </c>
      <c r="AT48" s="561"/>
      <c r="AU48" s="563">
        <f t="shared" ref="AU48:BH48" si="64">D20/D25</f>
        <v>0.36940332812356302</v>
      </c>
      <c r="AV48" s="563">
        <f t="shared" si="64"/>
        <v>0.36793075383295598</v>
      </c>
      <c r="AW48" s="563">
        <f t="shared" si="64"/>
        <v>0.36187998312913799</v>
      </c>
      <c r="AX48" s="563">
        <f t="shared" si="64"/>
        <v>0.352438565572959</v>
      </c>
      <c r="AY48" s="563">
        <f t="shared" si="64"/>
        <v>0.34894345259677201</v>
      </c>
      <c r="AZ48" s="563">
        <f t="shared" si="64"/>
        <v>0.33965234633837699</v>
      </c>
      <c r="BA48" s="563">
        <f t="shared" si="64"/>
        <v>0.33034121348588702</v>
      </c>
      <c r="BB48" s="563">
        <f t="shared" si="64"/>
        <v>0.318231170711265</v>
      </c>
      <c r="BC48" s="563">
        <f t="shared" si="64"/>
        <v>0.328772690946455</v>
      </c>
      <c r="BD48" s="563">
        <f t="shared" si="64"/>
        <v>0.34047961959627798</v>
      </c>
      <c r="BE48" s="563">
        <f t="shared" si="64"/>
        <v>0.35995701850543999</v>
      </c>
      <c r="BF48" s="563">
        <f t="shared" si="64"/>
        <v>0.38169854070993903</v>
      </c>
      <c r="BG48" s="563">
        <f t="shared" si="64"/>
        <v>0.38384241133728902</v>
      </c>
      <c r="BH48" s="563">
        <f t="shared" si="64"/>
        <v>0.40033117175121802</v>
      </c>
      <c r="BI48" s="561"/>
      <c r="BJ48" s="563">
        <f t="shared" ref="BJ48:BW48" si="65">D26/D31</f>
        <v>0.29229427971835598</v>
      </c>
      <c r="BK48" s="563">
        <f t="shared" si="65"/>
        <v>0.25047024696464099</v>
      </c>
      <c r="BL48" s="563">
        <f t="shared" si="65"/>
        <v>0.26119062435179402</v>
      </c>
      <c r="BM48" s="563">
        <f t="shared" si="65"/>
        <v>0.248729746679479</v>
      </c>
      <c r="BN48" s="563">
        <f t="shared" si="65"/>
        <v>0.22983946392614699</v>
      </c>
      <c r="BO48" s="563">
        <f t="shared" si="65"/>
        <v>0.23714580788997</v>
      </c>
      <c r="BP48" s="563">
        <f t="shared" si="65"/>
        <v>0.238200643147709</v>
      </c>
      <c r="BQ48" s="563">
        <f t="shared" si="65"/>
        <v>0.23734354764787099</v>
      </c>
      <c r="BR48" s="563">
        <f t="shared" si="65"/>
        <v>0.29789245993221303</v>
      </c>
      <c r="BS48" s="563">
        <f t="shared" si="65"/>
        <v>0.31072281004784802</v>
      </c>
      <c r="BT48" s="563">
        <f t="shared" si="65"/>
        <v>0.32381316520779801</v>
      </c>
      <c r="BU48" s="563">
        <f t="shared" si="65"/>
        <v>0.36403584542945</v>
      </c>
      <c r="BV48" s="563">
        <f t="shared" si="65"/>
        <v>0.38616274671859002</v>
      </c>
      <c r="BW48" s="563">
        <f t="shared" si="65"/>
        <v>0.38114038804698203</v>
      </c>
      <c r="BX48" s="561"/>
      <c r="BY48" s="563">
        <f t="shared" ref="BY48:CL48" si="66">D32/D37</f>
        <v>0.47951198242673798</v>
      </c>
      <c r="BZ48" s="563">
        <f t="shared" si="66"/>
        <v>0.49837170260061198</v>
      </c>
      <c r="CA48" s="563">
        <f t="shared" si="66"/>
        <v>0.494179423830305</v>
      </c>
      <c r="CB48" s="563">
        <f t="shared" si="66"/>
        <v>0.47079590031573598</v>
      </c>
      <c r="CC48" s="563">
        <f t="shared" si="66"/>
        <v>0.47310246883472701</v>
      </c>
      <c r="CD48" s="563">
        <f t="shared" si="66"/>
        <v>0.47328345417373202</v>
      </c>
      <c r="CE48" s="563">
        <f t="shared" si="66"/>
        <v>0.463304369965027</v>
      </c>
      <c r="CF48" s="563">
        <f t="shared" si="66"/>
        <v>0.43832361201123399</v>
      </c>
      <c r="CG48" s="563">
        <f t="shared" si="66"/>
        <v>0.43839196206309999</v>
      </c>
      <c r="CH48" s="563">
        <f t="shared" si="66"/>
        <v>0.46067650273032301</v>
      </c>
      <c r="CI48" s="563">
        <f t="shared" si="66"/>
        <v>0.45930722647225802</v>
      </c>
      <c r="CJ48" s="563">
        <f t="shared" si="66"/>
        <v>0.46965254414339103</v>
      </c>
      <c r="CK48" s="563">
        <f t="shared" si="66"/>
        <v>0.45705014431954699</v>
      </c>
      <c r="CL48" s="563">
        <f t="shared" si="66"/>
        <v>0.46878275925700502</v>
      </c>
    </row>
    <row r="49" spans="1:90" s="123" customFormat="1">
      <c r="A49" s="774"/>
      <c r="B49" s="775" t="s">
        <v>373</v>
      </c>
      <c r="C49" s="555">
        <f>C16/C19</f>
        <v>0.15703165701326999</v>
      </c>
      <c r="D49" s="555">
        <f>D16/D19</f>
        <v>0.15380474162157801</v>
      </c>
      <c r="E49" s="555">
        <f t="shared" ref="E49:M49" si="67">E16/E19</f>
        <v>0.152652059157976</v>
      </c>
      <c r="F49" s="555">
        <f t="shared" si="67"/>
        <v>0.164113077952904</v>
      </c>
      <c r="G49" s="555">
        <f t="shared" si="67"/>
        <v>0.17282643472295101</v>
      </c>
      <c r="H49" s="555">
        <f t="shared" si="67"/>
        <v>0.190294080525054</v>
      </c>
      <c r="I49" s="555">
        <f t="shared" si="67"/>
        <v>0.18732583048448401</v>
      </c>
      <c r="J49" s="555">
        <f t="shared" si="67"/>
        <v>0.189455501409001</v>
      </c>
      <c r="K49" s="555">
        <f t="shared" si="67"/>
        <v>0.194133196622823</v>
      </c>
      <c r="L49" s="555">
        <f t="shared" si="67"/>
        <v>0.19587941675641601</v>
      </c>
      <c r="M49" s="555">
        <f t="shared" si="67"/>
        <v>0.206815994644277</v>
      </c>
      <c r="N49" s="555">
        <v>0.214747088475578</v>
      </c>
      <c r="O49" s="786">
        <v>0.217127994638386</v>
      </c>
      <c r="P49" s="786">
        <v>0.20805849773271101</v>
      </c>
      <c r="Q49" s="786"/>
      <c r="R49" s="562">
        <f t="shared" ref="R49:AE49" si="68">D9/D13</f>
        <v>0.16816301094903699</v>
      </c>
      <c r="S49" s="563">
        <f t="shared" si="68"/>
        <v>0.16338821430065101</v>
      </c>
      <c r="T49" s="563">
        <f t="shared" si="68"/>
        <v>0.163931398236385</v>
      </c>
      <c r="U49" s="563">
        <f t="shared" si="68"/>
        <v>0.16673886219841999</v>
      </c>
      <c r="V49" s="563">
        <f t="shared" si="68"/>
        <v>0.17200475981712299</v>
      </c>
      <c r="W49" s="563">
        <f t="shared" si="68"/>
        <v>0.17030806686000799</v>
      </c>
      <c r="X49" s="563">
        <f t="shared" si="68"/>
        <v>0.17697824310829999</v>
      </c>
      <c r="Y49" s="563">
        <f t="shared" si="68"/>
        <v>0.17764684980026499</v>
      </c>
      <c r="Z49" s="563">
        <f t="shared" si="68"/>
        <v>0.176355798595416</v>
      </c>
      <c r="AA49" s="563">
        <f t="shared" si="68"/>
        <v>0.18166020808118899</v>
      </c>
      <c r="AB49" s="563">
        <f t="shared" si="68"/>
        <v>0.17738533547972399</v>
      </c>
      <c r="AC49" s="563">
        <f t="shared" si="68"/>
        <v>0.175455560841417</v>
      </c>
      <c r="AD49" s="563">
        <f t="shared" si="68"/>
        <v>0.17386516209814901</v>
      </c>
      <c r="AE49" s="563">
        <f t="shared" si="68"/>
        <v>0.171295597484277</v>
      </c>
      <c r="AF49" s="561"/>
      <c r="AG49" s="563">
        <f t="shared" ref="AG49:AS49" si="69">D15/D19</f>
        <v>0.17400505177049</v>
      </c>
      <c r="AH49" s="563">
        <f t="shared" si="69"/>
        <v>0.17783210290399901</v>
      </c>
      <c r="AI49" s="563">
        <f t="shared" si="69"/>
        <v>0.169312956363707</v>
      </c>
      <c r="AJ49" s="563">
        <f t="shared" si="69"/>
        <v>0.16956761231887599</v>
      </c>
      <c r="AK49" s="563">
        <f t="shared" si="69"/>
        <v>0.171598510665152</v>
      </c>
      <c r="AL49" s="563">
        <f t="shared" si="69"/>
        <v>0.17472559415106401</v>
      </c>
      <c r="AM49" s="563">
        <f t="shared" si="69"/>
        <v>0.17489267004154499</v>
      </c>
      <c r="AN49" s="563">
        <f t="shared" si="69"/>
        <v>0.17918582482897799</v>
      </c>
      <c r="AO49" s="563">
        <f t="shared" si="69"/>
        <v>0.17720708614946501</v>
      </c>
      <c r="AP49" s="563">
        <f t="shared" si="69"/>
        <v>0.17858338331078499</v>
      </c>
      <c r="AQ49" s="563">
        <f t="shared" si="69"/>
        <v>0.176022944550669</v>
      </c>
      <c r="AR49" s="563">
        <f t="shared" si="69"/>
        <v>0.17287731835970699</v>
      </c>
      <c r="AS49" s="563">
        <f t="shared" si="69"/>
        <v>0.168622726436089</v>
      </c>
      <c r="AT49" s="561"/>
      <c r="AU49" s="563">
        <f t="shared" ref="AU49:BH49" si="70">D21/D25</f>
        <v>0.11747839477797201</v>
      </c>
      <c r="AV49" s="563">
        <f t="shared" si="70"/>
        <v>0.116028024020589</v>
      </c>
      <c r="AW49" s="563">
        <f t="shared" si="70"/>
        <v>0.11305509962447099</v>
      </c>
      <c r="AX49" s="563">
        <f t="shared" si="70"/>
        <v>0.121824320310489</v>
      </c>
      <c r="AY49" s="563">
        <f t="shared" si="70"/>
        <v>0.129299550888795</v>
      </c>
      <c r="AZ49" s="563">
        <f t="shared" si="70"/>
        <v>0.131010327974212</v>
      </c>
      <c r="BA49" s="563">
        <f t="shared" si="70"/>
        <v>0.12802748819501999</v>
      </c>
      <c r="BB49" s="563">
        <f t="shared" si="70"/>
        <v>0.13111928073450399</v>
      </c>
      <c r="BC49" s="563">
        <f t="shared" si="70"/>
        <v>0.13003767553373699</v>
      </c>
      <c r="BD49" s="563">
        <f t="shared" si="70"/>
        <v>0.14230391148297999</v>
      </c>
      <c r="BE49" s="563">
        <f t="shared" si="70"/>
        <v>0.141483641468477</v>
      </c>
      <c r="BF49" s="563">
        <f t="shared" si="70"/>
        <v>0.142417508008299</v>
      </c>
      <c r="BG49" s="563">
        <f t="shared" si="70"/>
        <v>0.14328555734179399</v>
      </c>
      <c r="BH49" s="563">
        <f t="shared" si="70"/>
        <v>0.14189953055984</v>
      </c>
      <c r="BI49" s="561"/>
      <c r="BJ49" s="563">
        <f t="shared" ref="BJ49:BW49" si="71">D27/D31</f>
        <v>0.12078565692507701</v>
      </c>
      <c r="BK49" s="563">
        <f t="shared" si="71"/>
        <v>0.126434111601503</v>
      </c>
      <c r="BL49" s="563">
        <f t="shared" si="71"/>
        <v>0.12852231084962901</v>
      </c>
      <c r="BM49" s="563">
        <f t="shared" si="71"/>
        <v>0.13150788880443001</v>
      </c>
      <c r="BN49" s="563">
        <f t="shared" si="71"/>
        <v>0.12925959750448399</v>
      </c>
      <c r="BO49" s="563">
        <f t="shared" si="71"/>
        <v>0.12860749325836199</v>
      </c>
      <c r="BP49" s="563">
        <f t="shared" si="71"/>
        <v>0.12821582959135</v>
      </c>
      <c r="BQ49" s="563">
        <f t="shared" si="71"/>
        <v>0.13731734978034299</v>
      </c>
      <c r="BR49" s="563">
        <f t="shared" si="71"/>
        <v>0.15202357229233701</v>
      </c>
      <c r="BS49" s="563">
        <f t="shared" si="71"/>
        <v>0.15160629194724501</v>
      </c>
      <c r="BT49" s="563">
        <f t="shared" si="71"/>
        <v>0.156623834351792</v>
      </c>
      <c r="BU49" s="563">
        <f t="shared" si="71"/>
        <v>0.157285666851677</v>
      </c>
      <c r="BV49" s="563">
        <f t="shared" si="71"/>
        <v>0.15565923003551699</v>
      </c>
      <c r="BW49" s="563">
        <f t="shared" si="71"/>
        <v>0.15955334119960399</v>
      </c>
      <c r="BX49" s="561"/>
      <c r="BY49" s="563">
        <f t="shared" ref="BY49:CL49" si="72">D33/D37</f>
        <v>0.14882097549786399</v>
      </c>
      <c r="BZ49" s="563">
        <f t="shared" si="72"/>
        <v>0.146033793971802</v>
      </c>
      <c r="CA49" s="563">
        <f t="shared" si="72"/>
        <v>0.15854672239026499</v>
      </c>
      <c r="CB49" s="563">
        <f t="shared" si="72"/>
        <v>0.16493047758705201</v>
      </c>
      <c r="CC49" s="563">
        <f t="shared" si="72"/>
        <v>0.16352085096615901</v>
      </c>
      <c r="CD49" s="563">
        <f t="shared" si="72"/>
        <v>0.16511611915316099</v>
      </c>
      <c r="CE49" s="563">
        <f t="shared" si="72"/>
        <v>0.172842670593437</v>
      </c>
      <c r="CF49" s="563">
        <f t="shared" si="72"/>
        <v>0.17187900345144599</v>
      </c>
      <c r="CG49" s="563">
        <f t="shared" si="72"/>
        <v>0.167792254603325</v>
      </c>
      <c r="CH49" s="563">
        <f t="shared" si="72"/>
        <v>0.17882609252401899</v>
      </c>
      <c r="CI49" s="563">
        <f t="shared" si="72"/>
        <v>0.178982954004381</v>
      </c>
      <c r="CJ49" s="563">
        <f t="shared" si="72"/>
        <v>0.177376827150977</v>
      </c>
      <c r="CK49" s="563">
        <f t="shared" si="72"/>
        <v>0.180928306351853</v>
      </c>
      <c r="CL49" s="563">
        <f t="shared" si="72"/>
        <v>0.18106470775307301</v>
      </c>
    </row>
    <row r="50" spans="1:90" s="123" customFormat="1">
      <c r="A50" s="774"/>
      <c r="B50" s="775" t="s">
        <v>374</v>
      </c>
      <c r="C50" s="555">
        <f>C17/C19</f>
        <v>0.23295332659127799</v>
      </c>
      <c r="D50" s="555">
        <f>D17/D19</f>
        <v>0.227807084667944</v>
      </c>
      <c r="E50" s="555">
        <f t="shared" ref="E50:M50" si="73">E17/E19</f>
        <v>0.22329597418358699</v>
      </c>
      <c r="F50" s="555">
        <f t="shared" si="73"/>
        <v>0.23073490321370599</v>
      </c>
      <c r="G50" s="555">
        <f t="shared" si="73"/>
        <v>0.22205840152782</v>
      </c>
      <c r="H50" s="555">
        <f t="shared" si="73"/>
        <v>0.22265240439227599</v>
      </c>
      <c r="I50" s="555">
        <f t="shared" si="73"/>
        <v>0.223865883943861</v>
      </c>
      <c r="J50" s="555">
        <f t="shared" si="73"/>
        <v>0.225496932979454</v>
      </c>
      <c r="K50" s="555">
        <f t="shared" si="73"/>
        <v>0.22359858376455899</v>
      </c>
      <c r="L50" s="555">
        <f t="shared" si="73"/>
        <v>0.21759933846600099</v>
      </c>
      <c r="M50" s="555">
        <f t="shared" si="73"/>
        <v>0.20206000083683201</v>
      </c>
      <c r="N50" s="555">
        <v>0.19553276551364501</v>
      </c>
      <c r="O50" s="786">
        <v>0.18888923614366601</v>
      </c>
      <c r="P50" s="786">
        <v>0.17628633100748001</v>
      </c>
      <c r="Q50" s="786"/>
      <c r="R50" s="562">
        <f t="shared" ref="R50:AE50" si="74">D10/D13</f>
        <v>0.260653753903901</v>
      </c>
      <c r="S50" s="563">
        <f t="shared" si="74"/>
        <v>0.25426245277495102</v>
      </c>
      <c r="T50" s="563">
        <f t="shared" si="74"/>
        <v>0.253918195064887</v>
      </c>
      <c r="U50" s="563">
        <f t="shared" si="74"/>
        <v>0.25238245254784603</v>
      </c>
      <c r="V50" s="563">
        <f t="shared" si="74"/>
        <v>0.24783616208429901</v>
      </c>
      <c r="W50" s="563">
        <f t="shared" si="74"/>
        <v>0.243949697720796</v>
      </c>
      <c r="X50" s="563">
        <f t="shared" si="74"/>
        <v>0.24241837383121001</v>
      </c>
      <c r="Y50" s="563">
        <f t="shared" si="74"/>
        <v>0.24819894429766001</v>
      </c>
      <c r="Z50" s="563">
        <f t="shared" si="74"/>
        <v>0.241893873411023</v>
      </c>
      <c r="AA50" s="563">
        <f t="shared" si="74"/>
        <v>0.247287949278822</v>
      </c>
      <c r="AB50" s="563">
        <f t="shared" si="74"/>
        <v>0.24691987695446399</v>
      </c>
      <c r="AC50" s="563">
        <f t="shared" si="74"/>
        <v>0.24418785033197499</v>
      </c>
      <c r="AD50" s="563">
        <f t="shared" si="74"/>
        <v>0.24209875239488901</v>
      </c>
      <c r="AE50" s="563">
        <f t="shared" si="74"/>
        <v>0.23875723270440299</v>
      </c>
      <c r="AF50" s="561"/>
      <c r="AG50" s="563">
        <f t="shared" ref="AG50:AS50" si="75">D16/D19</f>
        <v>0.15380474162157801</v>
      </c>
      <c r="AH50" s="563">
        <f t="shared" si="75"/>
        <v>0.152652059157976</v>
      </c>
      <c r="AI50" s="563">
        <f t="shared" si="75"/>
        <v>0.164113077952904</v>
      </c>
      <c r="AJ50" s="563">
        <f t="shared" si="75"/>
        <v>0.17282643472295101</v>
      </c>
      <c r="AK50" s="563">
        <f t="shared" si="75"/>
        <v>0.190294080525054</v>
      </c>
      <c r="AL50" s="563">
        <f t="shared" si="75"/>
        <v>0.18732583048448401</v>
      </c>
      <c r="AM50" s="563">
        <f t="shared" si="75"/>
        <v>0.189455501409001</v>
      </c>
      <c r="AN50" s="563">
        <f t="shared" si="75"/>
        <v>0.194133196622823</v>
      </c>
      <c r="AO50" s="563">
        <f t="shared" si="75"/>
        <v>0.19587941675641601</v>
      </c>
      <c r="AP50" s="563">
        <f t="shared" si="75"/>
        <v>0.206815994644277</v>
      </c>
      <c r="AQ50" s="563">
        <f t="shared" si="75"/>
        <v>0.214747088475578</v>
      </c>
      <c r="AR50" s="563">
        <f t="shared" si="75"/>
        <v>0.217127994638386</v>
      </c>
      <c r="AS50" s="563">
        <f t="shared" si="75"/>
        <v>0.20805849773271101</v>
      </c>
      <c r="AT50" s="561"/>
      <c r="AU50" s="563">
        <f t="shared" ref="AU50:BH50" si="76">D22/D25</f>
        <v>0.20508297324630001</v>
      </c>
      <c r="AV50" s="563">
        <f t="shared" si="76"/>
        <v>0.199792129517608</v>
      </c>
      <c r="AW50" s="563">
        <f t="shared" si="76"/>
        <v>0.204467729395444</v>
      </c>
      <c r="AX50" s="563">
        <f t="shared" si="76"/>
        <v>0.209089919011505</v>
      </c>
      <c r="AY50" s="563">
        <f t="shared" si="76"/>
        <v>0.205179523623056</v>
      </c>
      <c r="AZ50" s="563">
        <f t="shared" si="76"/>
        <v>0.211536641141508</v>
      </c>
      <c r="BA50" s="563">
        <f t="shared" si="76"/>
        <v>0.22095771555207699</v>
      </c>
      <c r="BB50" s="563">
        <f t="shared" si="76"/>
        <v>0.21153662996685599</v>
      </c>
      <c r="BC50" s="563">
        <f t="shared" si="76"/>
        <v>0.206123986756479</v>
      </c>
      <c r="BD50" s="563">
        <f t="shared" si="76"/>
        <v>0.20949637656310699</v>
      </c>
      <c r="BE50" s="563">
        <f t="shared" si="76"/>
        <v>0.21274539963691</v>
      </c>
      <c r="BF50" s="563">
        <f t="shared" si="76"/>
        <v>0.211193388487148</v>
      </c>
      <c r="BG50" s="563">
        <f t="shared" si="76"/>
        <v>0.214190275415371</v>
      </c>
      <c r="BH50" s="563">
        <f t="shared" si="76"/>
        <v>0.20664612953522499</v>
      </c>
      <c r="BI50" s="561"/>
      <c r="BJ50" s="563">
        <f t="shared" ref="BJ50:BW50" si="77">D28/D31</f>
        <v>0.29846134051492701</v>
      </c>
      <c r="BK50" s="563">
        <f t="shared" si="77"/>
        <v>0.29925553673308702</v>
      </c>
      <c r="BL50" s="563">
        <f t="shared" si="77"/>
        <v>0.294415216257158</v>
      </c>
      <c r="BM50" s="563">
        <f t="shared" si="77"/>
        <v>0.317017678588425</v>
      </c>
      <c r="BN50" s="563">
        <f t="shared" si="77"/>
        <v>0.32165091381226402</v>
      </c>
      <c r="BO50" s="563">
        <f t="shared" si="77"/>
        <v>0.29758694458333002</v>
      </c>
      <c r="BP50" s="563">
        <f t="shared" si="77"/>
        <v>0.27436550164428802</v>
      </c>
      <c r="BQ50" s="563">
        <f t="shared" si="77"/>
        <v>0.26750705316226497</v>
      </c>
      <c r="BR50" s="563">
        <f t="shared" si="77"/>
        <v>0.234027898421133</v>
      </c>
      <c r="BS50" s="563">
        <f t="shared" si="77"/>
        <v>0.216230068598736</v>
      </c>
      <c r="BT50" s="563">
        <f t="shared" si="77"/>
        <v>0.214062333032109</v>
      </c>
      <c r="BU50" s="563">
        <f t="shared" si="77"/>
        <v>0.197909506708766</v>
      </c>
      <c r="BV50" s="563">
        <f t="shared" si="77"/>
        <v>0.19248475339920601</v>
      </c>
      <c r="BW50" s="563">
        <f t="shared" si="77"/>
        <v>0.20646709411611999</v>
      </c>
      <c r="BX50" s="561"/>
      <c r="BY50" s="563">
        <f t="shared" ref="BY50:CL50" si="78">D34/D37</f>
        <v>0.173261117092394</v>
      </c>
      <c r="BZ50" s="563">
        <f t="shared" si="78"/>
        <v>0.163717725513361</v>
      </c>
      <c r="CA50" s="563">
        <f t="shared" si="78"/>
        <v>0.157879039768485</v>
      </c>
      <c r="CB50" s="563">
        <f t="shared" si="78"/>
        <v>0.16343673665444999</v>
      </c>
      <c r="CC50" s="563">
        <f t="shared" si="78"/>
        <v>0.15836907716363699</v>
      </c>
      <c r="CD50" s="563">
        <f t="shared" si="78"/>
        <v>0.15211634221732501</v>
      </c>
      <c r="CE50" s="563">
        <f t="shared" si="78"/>
        <v>0.15098854481867599</v>
      </c>
      <c r="CF50" s="563">
        <f t="shared" si="78"/>
        <v>0.14892964978120701</v>
      </c>
      <c r="CG50" s="563">
        <f t="shared" si="78"/>
        <v>0.13938463568443599</v>
      </c>
      <c r="CH50" s="563">
        <f t="shared" si="78"/>
        <v>0.153940067955494</v>
      </c>
      <c r="CI50" s="563">
        <f t="shared" si="78"/>
        <v>0.15719843260077501</v>
      </c>
      <c r="CJ50" s="563">
        <f t="shared" si="78"/>
        <v>0.15125820371877899</v>
      </c>
      <c r="CK50" s="563">
        <f t="shared" si="78"/>
        <v>0.152973341221607</v>
      </c>
      <c r="CL50" s="563">
        <f t="shared" si="78"/>
        <v>0.142479946917734</v>
      </c>
    </row>
    <row r="51" spans="1:90" s="123" customFormat="1">
      <c r="A51" s="774"/>
      <c r="B51" s="777" t="s">
        <v>375</v>
      </c>
      <c r="C51" s="557">
        <f>C18/C19</f>
        <v>8.4671018356777303E-2</v>
      </c>
      <c r="D51" s="557">
        <f>D18/D19</f>
        <v>8.5534736000975095E-2</v>
      </c>
      <c r="E51" s="557">
        <f t="shared" ref="E51:M51" si="79">E18/E19</f>
        <v>8.7930201099562205E-2</v>
      </c>
      <c r="F51" s="557">
        <f t="shared" si="79"/>
        <v>8.8022817376907106E-2</v>
      </c>
      <c r="G51" s="557">
        <f t="shared" si="79"/>
        <v>9.7847132203300394E-2</v>
      </c>
      <c r="H51" s="557">
        <f t="shared" si="79"/>
        <v>0.10585005679666799</v>
      </c>
      <c r="I51" s="557">
        <f t="shared" si="79"/>
        <v>0.11219834313843199</v>
      </c>
      <c r="J51" s="557">
        <f t="shared" si="79"/>
        <v>0.112118040889404</v>
      </c>
      <c r="K51" s="557">
        <f t="shared" si="79"/>
        <v>0.109501914481168</v>
      </c>
      <c r="L51" s="557">
        <f t="shared" si="79"/>
        <v>0.115418343564214</v>
      </c>
      <c r="M51" s="557">
        <f t="shared" si="79"/>
        <v>0.11912648711976501</v>
      </c>
      <c r="N51" s="557">
        <v>0.10939335998609399</v>
      </c>
      <c r="O51" s="787">
        <v>0.106978779260556</v>
      </c>
      <c r="P51" s="786">
        <v>0.109519267774375</v>
      </c>
      <c r="Q51" s="787"/>
      <c r="R51" s="562">
        <f t="shared" ref="R51:AE51" si="80">D11/D13</f>
        <v>0.21696629783410501</v>
      </c>
      <c r="S51" s="563">
        <f t="shared" si="80"/>
        <v>0.22342501847179</v>
      </c>
      <c r="T51" s="563">
        <f t="shared" si="80"/>
        <v>0.22439234626514401</v>
      </c>
      <c r="U51" s="563">
        <f t="shared" si="80"/>
        <v>0.22203407629098701</v>
      </c>
      <c r="V51" s="563">
        <f t="shared" si="80"/>
        <v>0.225565228283334</v>
      </c>
      <c r="W51" s="563">
        <f t="shared" si="80"/>
        <v>0.23307267911851501</v>
      </c>
      <c r="X51" s="563">
        <f t="shared" si="80"/>
        <v>0.222725209550035</v>
      </c>
      <c r="Y51" s="563">
        <f t="shared" si="80"/>
        <v>0.221875161192336</v>
      </c>
      <c r="Z51" s="563">
        <f t="shared" si="80"/>
        <v>0.21647575052644299</v>
      </c>
      <c r="AA51" s="563">
        <f t="shared" si="80"/>
        <v>0.20330664771654799</v>
      </c>
      <c r="AB51" s="563">
        <f t="shared" si="80"/>
        <v>0.197483835663017</v>
      </c>
      <c r="AC51" s="563">
        <f t="shared" si="80"/>
        <v>0.18866217138602201</v>
      </c>
      <c r="AD51" s="563">
        <f t="shared" si="80"/>
        <v>0.18632612729494499</v>
      </c>
      <c r="AE51" s="563">
        <f t="shared" si="80"/>
        <v>0.18890062893081799</v>
      </c>
      <c r="AF51" s="561"/>
      <c r="AG51" s="563">
        <f t="shared" ref="AG51:AS51" si="81">D17/D19</f>
        <v>0.227807084667944</v>
      </c>
      <c r="AH51" s="563">
        <f t="shared" si="81"/>
        <v>0.22329597418358699</v>
      </c>
      <c r="AI51" s="563">
        <f t="shared" si="81"/>
        <v>0.23073490321370599</v>
      </c>
      <c r="AJ51" s="563">
        <f t="shared" si="81"/>
        <v>0.22205840152782</v>
      </c>
      <c r="AK51" s="563">
        <f t="shared" si="81"/>
        <v>0.22265240439227599</v>
      </c>
      <c r="AL51" s="563">
        <f t="shared" si="81"/>
        <v>0.223865883943861</v>
      </c>
      <c r="AM51" s="563">
        <f t="shared" si="81"/>
        <v>0.225496932979454</v>
      </c>
      <c r="AN51" s="563">
        <f t="shared" si="81"/>
        <v>0.22359858376455899</v>
      </c>
      <c r="AO51" s="563">
        <f t="shared" si="81"/>
        <v>0.21759933846600099</v>
      </c>
      <c r="AP51" s="563">
        <f t="shared" si="81"/>
        <v>0.20206000083683201</v>
      </c>
      <c r="AQ51" s="563">
        <f t="shared" si="81"/>
        <v>0.19553276551364501</v>
      </c>
      <c r="AR51" s="563">
        <f t="shared" si="81"/>
        <v>0.18888923614366601</v>
      </c>
      <c r="AS51" s="563">
        <f t="shared" si="81"/>
        <v>0.17628633100748001</v>
      </c>
      <c r="AT51" s="561"/>
      <c r="AU51" s="563">
        <f t="shared" ref="AU51:BH51" si="82">D23/D25</f>
        <v>0.20627815574147301</v>
      </c>
      <c r="AV51" s="563">
        <f t="shared" si="82"/>
        <v>0.21127449902113901</v>
      </c>
      <c r="AW51" s="563">
        <f t="shared" si="82"/>
        <v>0.21554050277200501</v>
      </c>
      <c r="AX51" s="563">
        <f t="shared" si="82"/>
        <v>0.21645115938298301</v>
      </c>
      <c r="AY51" s="563">
        <f t="shared" si="82"/>
        <v>0.210013874587267</v>
      </c>
      <c r="AZ51" s="563">
        <f t="shared" si="82"/>
        <v>0.20863703622513299</v>
      </c>
      <c r="BA51" s="563">
        <f t="shared" si="82"/>
        <v>0.20949582949999701</v>
      </c>
      <c r="BB51" s="563">
        <f t="shared" si="82"/>
        <v>0.197074174254257</v>
      </c>
      <c r="BC51" s="563">
        <f t="shared" si="82"/>
        <v>0.19415001712524299</v>
      </c>
      <c r="BD51" s="563">
        <f t="shared" si="82"/>
        <v>0.19312804334407799</v>
      </c>
      <c r="BE51" s="563">
        <f t="shared" si="82"/>
        <v>0.18345992365585301</v>
      </c>
      <c r="BF51" s="563">
        <f t="shared" si="82"/>
        <v>0.174151207104598</v>
      </c>
      <c r="BG51" s="563">
        <f t="shared" si="82"/>
        <v>0.17109856502356299</v>
      </c>
      <c r="BH51" s="563">
        <f t="shared" si="82"/>
        <v>0.16916236241452801</v>
      </c>
      <c r="BI51" s="561"/>
      <c r="BJ51" s="563">
        <f t="shared" ref="BJ51:BW51" si="83">D29/D31</f>
        <v>0.21012374052202601</v>
      </c>
      <c r="BK51" s="563">
        <f t="shared" si="83"/>
        <v>0.235826019954335</v>
      </c>
      <c r="BL51" s="563">
        <f t="shared" si="83"/>
        <v>0.22859836699289099</v>
      </c>
      <c r="BM51" s="563">
        <f t="shared" si="83"/>
        <v>0.22127245678791799</v>
      </c>
      <c r="BN51" s="563">
        <f t="shared" si="83"/>
        <v>0.23622569677497399</v>
      </c>
      <c r="BO51" s="563">
        <f t="shared" si="83"/>
        <v>0.23891523159266601</v>
      </c>
      <c r="BP51" s="563">
        <f t="shared" si="83"/>
        <v>0.24040395211717999</v>
      </c>
      <c r="BQ51" s="563">
        <f t="shared" si="83"/>
        <v>0.26018021164909</v>
      </c>
      <c r="BR51" s="563">
        <f t="shared" si="83"/>
        <v>0.23407967571065999</v>
      </c>
      <c r="BS51" s="563">
        <f t="shared" si="83"/>
        <v>0.23572423741082299</v>
      </c>
      <c r="BT51" s="563">
        <f t="shared" si="83"/>
        <v>0.22250299422650099</v>
      </c>
      <c r="BU51" s="563">
        <f t="shared" si="83"/>
        <v>0.19818824731581999</v>
      </c>
      <c r="BV51" s="563">
        <f t="shared" si="83"/>
        <v>0.20288580681229201</v>
      </c>
      <c r="BW51" s="563">
        <f t="shared" si="83"/>
        <v>0.19531958849643799</v>
      </c>
      <c r="BX51" s="561"/>
      <c r="BY51" s="563">
        <f t="shared" ref="BY51:CL51" si="84">D35/D37</f>
        <v>0.13940820429949799</v>
      </c>
      <c r="BZ51" s="563">
        <f t="shared" si="84"/>
        <v>0.13520891949448899</v>
      </c>
      <c r="CA51" s="563">
        <f t="shared" si="84"/>
        <v>0.132953504660309</v>
      </c>
      <c r="CB51" s="563">
        <f t="shared" si="84"/>
        <v>0.14047998875300899</v>
      </c>
      <c r="CC51" s="563">
        <f t="shared" si="84"/>
        <v>0.144285529845501</v>
      </c>
      <c r="CD51" s="563">
        <f t="shared" si="84"/>
        <v>0.14929198092717499</v>
      </c>
      <c r="CE51" s="563">
        <f t="shared" si="84"/>
        <v>0.15162847986182901</v>
      </c>
      <c r="CF51" s="563">
        <f t="shared" si="84"/>
        <v>0.14853443324106</v>
      </c>
      <c r="CG51" s="563">
        <f t="shared" si="84"/>
        <v>0.14069125098760499</v>
      </c>
      <c r="CH51" s="563">
        <f t="shared" si="84"/>
        <v>0.14620078971511</v>
      </c>
      <c r="CI51" s="563">
        <f t="shared" si="84"/>
        <v>0.144155583066163</v>
      </c>
      <c r="CJ51" s="563">
        <f t="shared" si="84"/>
        <v>0.14376049103444299</v>
      </c>
      <c r="CK51" s="563">
        <f t="shared" si="84"/>
        <v>0.149452302837986</v>
      </c>
      <c r="CL51" s="563">
        <f t="shared" si="84"/>
        <v>0.14590555911095099</v>
      </c>
    </row>
    <row r="52" spans="1:90" s="123" customFormat="1">
      <c r="A52" s="547" t="s">
        <v>146</v>
      </c>
      <c r="B52" s="547" t="s">
        <v>371</v>
      </c>
      <c r="C52" s="551"/>
      <c r="D52" s="554">
        <f>D20/D25</f>
        <v>0.36940332812356302</v>
      </c>
      <c r="E52" s="554">
        <f t="shared" ref="E52:N52" si="85">E20/E25</f>
        <v>0.36793075383295598</v>
      </c>
      <c r="F52" s="554">
        <f t="shared" si="85"/>
        <v>0.36187998312913799</v>
      </c>
      <c r="G52" s="554">
        <f t="shared" si="85"/>
        <v>0.352438565572959</v>
      </c>
      <c r="H52" s="554">
        <f t="shared" si="85"/>
        <v>0.34894345259677201</v>
      </c>
      <c r="I52" s="554">
        <f t="shared" si="85"/>
        <v>0.33965234633837699</v>
      </c>
      <c r="J52" s="554">
        <f t="shared" si="85"/>
        <v>0.33034121348588702</v>
      </c>
      <c r="K52" s="554">
        <f t="shared" si="85"/>
        <v>0.318231170711265</v>
      </c>
      <c r="L52" s="554">
        <f t="shared" si="85"/>
        <v>0.328772690946455</v>
      </c>
      <c r="M52" s="554">
        <f t="shared" si="85"/>
        <v>0.34047961959627798</v>
      </c>
      <c r="N52" s="554">
        <f t="shared" si="85"/>
        <v>0.35995701850543999</v>
      </c>
      <c r="O52" s="785">
        <v>0.38169854070993903</v>
      </c>
      <c r="P52" s="785">
        <v>0.38384241133728902</v>
      </c>
      <c r="Q52" s="785">
        <v>0.40033117175121802</v>
      </c>
      <c r="R52" s="564">
        <f t="shared" ref="R52:AE52" si="86">D12/D13</f>
        <v>7.1614385194524802E-2</v>
      </c>
      <c r="S52" s="565">
        <f t="shared" si="86"/>
        <v>6.7662516903430905E-2</v>
      </c>
      <c r="T52" s="565">
        <f t="shared" si="86"/>
        <v>7.0613023936734201E-2</v>
      </c>
      <c r="U52" s="565">
        <f t="shared" si="86"/>
        <v>6.9799952744742794E-2</v>
      </c>
      <c r="V52" s="565">
        <f t="shared" si="86"/>
        <v>7.0044466712594705E-2</v>
      </c>
      <c r="W52" s="565">
        <f t="shared" si="86"/>
        <v>6.8659214011160097E-2</v>
      </c>
      <c r="X52" s="565">
        <f t="shared" si="86"/>
        <v>7.0287771961146203E-2</v>
      </c>
      <c r="Y52" s="565">
        <f t="shared" si="86"/>
        <v>7.4707274717591005E-2</v>
      </c>
      <c r="Z52" s="565">
        <f t="shared" si="86"/>
        <v>7.2864183103094698E-2</v>
      </c>
      <c r="AA52" s="565">
        <f t="shared" si="86"/>
        <v>6.9241958228311903E-2</v>
      </c>
      <c r="AB52" s="565">
        <f t="shared" si="86"/>
        <v>6.9183893573048993E-2</v>
      </c>
      <c r="AC52" s="565">
        <f t="shared" si="86"/>
        <v>6.3918133493288107E-2</v>
      </c>
      <c r="AD52" s="565">
        <f t="shared" si="86"/>
        <v>6.3647472355062101E-2</v>
      </c>
      <c r="AE52" s="565">
        <f t="shared" si="86"/>
        <v>6.4357232704402495E-2</v>
      </c>
      <c r="AF52" s="566"/>
      <c r="AG52" s="565">
        <f t="shared" ref="AG52:AS52" si="87">D18/D19</f>
        <v>8.5534736000975095E-2</v>
      </c>
      <c r="AH52" s="565">
        <f t="shared" si="87"/>
        <v>8.7930201099562205E-2</v>
      </c>
      <c r="AI52" s="565">
        <f t="shared" si="87"/>
        <v>8.8022817376907106E-2</v>
      </c>
      <c r="AJ52" s="565">
        <f t="shared" si="87"/>
        <v>9.7847132203300394E-2</v>
      </c>
      <c r="AK52" s="565">
        <f t="shared" si="87"/>
        <v>0.10585005679666799</v>
      </c>
      <c r="AL52" s="565">
        <f t="shared" si="87"/>
        <v>0.11219834313843199</v>
      </c>
      <c r="AM52" s="565">
        <f t="shared" si="87"/>
        <v>0.112118040889404</v>
      </c>
      <c r="AN52" s="565">
        <f t="shared" si="87"/>
        <v>0.109501914481168</v>
      </c>
      <c r="AO52" s="565">
        <f t="shared" si="87"/>
        <v>0.115418343564214</v>
      </c>
      <c r="AP52" s="565">
        <f t="shared" si="87"/>
        <v>0.11912648711976501</v>
      </c>
      <c r="AQ52" s="565">
        <f t="shared" si="87"/>
        <v>0.10939335998609399</v>
      </c>
      <c r="AR52" s="565">
        <f t="shared" si="87"/>
        <v>0.106978779260556</v>
      </c>
      <c r="AS52" s="565">
        <f t="shared" si="87"/>
        <v>0.109519267774375</v>
      </c>
      <c r="AT52" s="566"/>
      <c r="AU52" s="565">
        <f t="shared" ref="AU52:BH52" si="88">D24/D25</f>
        <v>0.101757148110692</v>
      </c>
      <c r="AV52" s="565">
        <f t="shared" si="88"/>
        <v>0.104974593607708</v>
      </c>
      <c r="AW52" s="565">
        <f t="shared" si="88"/>
        <v>0.105056685078942</v>
      </c>
      <c r="AX52" s="565">
        <f t="shared" si="88"/>
        <v>0.10019603572206499</v>
      </c>
      <c r="AY52" s="565">
        <f t="shared" si="88"/>
        <v>0.10656359830411</v>
      </c>
      <c r="AZ52" s="565">
        <f t="shared" si="88"/>
        <v>0.10916364832077</v>
      </c>
      <c r="BA52" s="565">
        <f t="shared" si="88"/>
        <v>0.11117775326701899</v>
      </c>
      <c r="BB52" s="565">
        <f t="shared" si="88"/>
        <v>0.142038744333117</v>
      </c>
      <c r="BC52" s="565">
        <f t="shared" si="88"/>
        <v>0.14091562963808699</v>
      </c>
      <c r="BD52" s="565">
        <f t="shared" si="88"/>
        <v>0.114592049013556</v>
      </c>
      <c r="BE52" s="565">
        <f t="shared" si="88"/>
        <v>0.10235401673331999</v>
      </c>
      <c r="BF52" s="565">
        <f t="shared" si="88"/>
        <v>9.0539355690015894E-2</v>
      </c>
      <c r="BG52" s="565">
        <f t="shared" si="88"/>
        <v>8.7583190881982395E-2</v>
      </c>
      <c r="BH52" s="565">
        <f t="shared" si="88"/>
        <v>8.1960805739189596E-2</v>
      </c>
      <c r="BI52" s="566"/>
      <c r="BJ52" s="565">
        <f t="shared" ref="BJ52:BW52" si="89">D30/D31</f>
        <v>7.83349823196135E-2</v>
      </c>
      <c r="BK52" s="565">
        <f t="shared" si="89"/>
        <v>8.8014084746434906E-2</v>
      </c>
      <c r="BL52" s="565">
        <f t="shared" si="89"/>
        <v>8.7273481548528195E-2</v>
      </c>
      <c r="BM52" s="565">
        <f t="shared" si="89"/>
        <v>8.1472229139748095E-2</v>
      </c>
      <c r="BN52" s="565">
        <f t="shared" si="89"/>
        <v>8.3024327982130899E-2</v>
      </c>
      <c r="BO52" s="565">
        <f t="shared" si="89"/>
        <v>9.7744522675671894E-2</v>
      </c>
      <c r="BP52" s="565">
        <f t="shared" si="89"/>
        <v>0.118814073499474</v>
      </c>
      <c r="BQ52" s="565">
        <f t="shared" si="89"/>
        <v>9.7651837760430502E-2</v>
      </c>
      <c r="BR52" s="565">
        <f t="shared" si="89"/>
        <v>8.1976393643656401E-2</v>
      </c>
      <c r="BS52" s="565">
        <f t="shared" si="89"/>
        <v>8.5716591995348396E-2</v>
      </c>
      <c r="BT52" s="565">
        <f t="shared" si="89"/>
        <v>8.2997673181798806E-2</v>
      </c>
      <c r="BU52" s="565">
        <f t="shared" si="89"/>
        <v>8.2580733694287103E-2</v>
      </c>
      <c r="BV52" s="565">
        <f t="shared" si="89"/>
        <v>6.2807463034395106E-2</v>
      </c>
      <c r="BW52" s="565">
        <f t="shared" si="89"/>
        <v>5.7519588140855601E-2</v>
      </c>
      <c r="BX52" s="566"/>
      <c r="BY52" s="565">
        <f t="shared" ref="BY52:CL52" si="90">D36/D37</f>
        <v>5.8997720683505603E-2</v>
      </c>
      <c r="BZ52" s="565">
        <f t="shared" si="90"/>
        <v>5.6667858419735401E-2</v>
      </c>
      <c r="CA52" s="565">
        <f t="shared" si="90"/>
        <v>5.6441309350635398E-2</v>
      </c>
      <c r="CB52" s="565">
        <f t="shared" si="90"/>
        <v>6.0356896689752901E-2</v>
      </c>
      <c r="CC52" s="565">
        <f t="shared" si="90"/>
        <v>6.0722073189975502E-2</v>
      </c>
      <c r="CD52" s="565">
        <f t="shared" si="90"/>
        <v>6.0192103528606697E-2</v>
      </c>
      <c r="CE52" s="565">
        <f t="shared" si="90"/>
        <v>6.1235934761030703E-2</v>
      </c>
      <c r="CF52" s="565">
        <f t="shared" si="90"/>
        <v>9.2333301515052604E-2</v>
      </c>
      <c r="CG52" s="565">
        <f t="shared" si="90"/>
        <v>0.113739896661534</v>
      </c>
      <c r="CH52" s="565">
        <f t="shared" si="90"/>
        <v>6.0356547075054501E-2</v>
      </c>
      <c r="CI52" s="565">
        <f t="shared" si="90"/>
        <v>6.03558038564228E-2</v>
      </c>
      <c r="CJ52" s="565">
        <f t="shared" si="90"/>
        <v>5.7951933952409398E-2</v>
      </c>
      <c r="CK52" s="565">
        <f t="shared" si="90"/>
        <v>5.9595905269008001E-2</v>
      </c>
      <c r="CL52" s="565">
        <f t="shared" si="90"/>
        <v>6.17670269612366E-2</v>
      </c>
    </row>
    <row r="53" spans="1:90">
      <c r="A53" s="533"/>
      <c r="B53" s="534" t="s">
        <v>372</v>
      </c>
      <c r="C53" s="535"/>
      <c r="D53" s="545">
        <f>D21/D25</f>
        <v>0.11747839477797201</v>
      </c>
      <c r="E53" s="545">
        <f t="shared" ref="E53:N53" si="91">E21/E25</f>
        <v>0.116028024020589</v>
      </c>
      <c r="F53" s="545">
        <f t="shared" si="91"/>
        <v>0.11305509962447099</v>
      </c>
      <c r="G53" s="545">
        <f t="shared" si="91"/>
        <v>0.121824320310489</v>
      </c>
      <c r="H53" s="545">
        <f t="shared" si="91"/>
        <v>0.129299550888795</v>
      </c>
      <c r="I53" s="545">
        <f t="shared" si="91"/>
        <v>0.131010327974212</v>
      </c>
      <c r="J53" s="545">
        <f t="shared" si="91"/>
        <v>0.12802748819501999</v>
      </c>
      <c r="K53" s="545">
        <f t="shared" si="91"/>
        <v>0.13111928073450399</v>
      </c>
      <c r="L53" s="545">
        <f t="shared" si="91"/>
        <v>0.13003767553373699</v>
      </c>
      <c r="M53" s="545">
        <f t="shared" si="91"/>
        <v>0.14230391148297999</v>
      </c>
      <c r="N53" s="555">
        <f t="shared" si="91"/>
        <v>0.141483641468477</v>
      </c>
      <c r="O53" s="786">
        <v>0.142417508008299</v>
      </c>
      <c r="P53" s="786">
        <v>0.14328555734179399</v>
      </c>
      <c r="Q53" s="786">
        <v>0.14189953055984</v>
      </c>
    </row>
    <row r="54" spans="1:90">
      <c r="A54" s="533"/>
      <c r="B54" s="534" t="s">
        <v>373</v>
      </c>
      <c r="C54" s="535"/>
      <c r="D54" s="545">
        <f>D22/D25</f>
        <v>0.20508297324630001</v>
      </c>
      <c r="E54" s="545">
        <f t="shared" ref="E54:N54" si="92">E22/E25</f>
        <v>0.199792129517608</v>
      </c>
      <c r="F54" s="545">
        <f t="shared" si="92"/>
        <v>0.204467729395444</v>
      </c>
      <c r="G54" s="545">
        <f t="shared" si="92"/>
        <v>0.209089919011505</v>
      </c>
      <c r="H54" s="545">
        <f t="shared" si="92"/>
        <v>0.205179523623056</v>
      </c>
      <c r="I54" s="545">
        <f t="shared" si="92"/>
        <v>0.211536641141508</v>
      </c>
      <c r="J54" s="545">
        <f t="shared" si="92"/>
        <v>0.22095771555207699</v>
      </c>
      <c r="K54" s="545">
        <f t="shared" si="92"/>
        <v>0.21153662996685599</v>
      </c>
      <c r="L54" s="545">
        <f t="shared" si="92"/>
        <v>0.206123986756479</v>
      </c>
      <c r="M54" s="545">
        <f t="shared" si="92"/>
        <v>0.20949637656310699</v>
      </c>
      <c r="N54" s="555">
        <f t="shared" si="92"/>
        <v>0.21274539963691</v>
      </c>
      <c r="O54" s="786">
        <v>0.211193388487148</v>
      </c>
      <c r="P54" s="786">
        <v>0.214190275415371</v>
      </c>
      <c r="Q54" s="786">
        <v>0.20664612953522499</v>
      </c>
    </row>
    <row r="55" spans="1:90">
      <c r="A55" s="533"/>
      <c r="B55" s="534" t="s">
        <v>374</v>
      </c>
      <c r="C55" s="535"/>
      <c r="D55" s="545">
        <f>D23/D25</f>
        <v>0.20627815574147301</v>
      </c>
      <c r="E55" s="545">
        <f t="shared" ref="E55:N55" si="93">E23/E25</f>
        <v>0.21127449902113901</v>
      </c>
      <c r="F55" s="545">
        <f t="shared" si="93"/>
        <v>0.21554050277200501</v>
      </c>
      <c r="G55" s="545">
        <f t="shared" si="93"/>
        <v>0.21645115938298301</v>
      </c>
      <c r="H55" s="545">
        <f t="shared" si="93"/>
        <v>0.210013874587267</v>
      </c>
      <c r="I55" s="545">
        <f t="shared" si="93"/>
        <v>0.20863703622513299</v>
      </c>
      <c r="J55" s="545">
        <f t="shared" si="93"/>
        <v>0.20949582949999701</v>
      </c>
      <c r="K55" s="545">
        <f t="shared" si="93"/>
        <v>0.197074174254257</v>
      </c>
      <c r="L55" s="545">
        <f t="shared" si="93"/>
        <v>0.19415001712524299</v>
      </c>
      <c r="M55" s="545">
        <f t="shared" si="93"/>
        <v>0.19312804334407799</v>
      </c>
      <c r="N55" s="555">
        <f t="shared" si="93"/>
        <v>0.18345992365585301</v>
      </c>
      <c r="O55" s="786">
        <v>0.174151207104598</v>
      </c>
      <c r="P55" s="786">
        <v>0.17109856502356299</v>
      </c>
      <c r="Q55" s="786">
        <v>0.16916236241452801</v>
      </c>
    </row>
    <row r="56" spans="1:90">
      <c r="A56" s="533"/>
      <c r="B56" s="536" t="s">
        <v>375</v>
      </c>
      <c r="C56" s="537"/>
      <c r="D56" s="546">
        <f>D24/D25</f>
        <v>0.101757148110692</v>
      </c>
      <c r="E56" s="546">
        <f t="shared" ref="E56:N56" si="94">E24/E25</f>
        <v>0.104974593607708</v>
      </c>
      <c r="F56" s="546">
        <f t="shared" si="94"/>
        <v>0.105056685078942</v>
      </c>
      <c r="G56" s="546">
        <f t="shared" si="94"/>
        <v>0.10019603572206499</v>
      </c>
      <c r="H56" s="546">
        <f t="shared" si="94"/>
        <v>0.10656359830411</v>
      </c>
      <c r="I56" s="546">
        <f t="shared" si="94"/>
        <v>0.10916364832077</v>
      </c>
      <c r="J56" s="546">
        <f t="shared" si="94"/>
        <v>0.11117775326701899</v>
      </c>
      <c r="K56" s="546">
        <f t="shared" si="94"/>
        <v>0.142038744333117</v>
      </c>
      <c r="L56" s="546">
        <f t="shared" si="94"/>
        <v>0.14091562963808699</v>
      </c>
      <c r="M56" s="546">
        <f t="shared" si="94"/>
        <v>0.114592049013556</v>
      </c>
      <c r="N56" s="557">
        <f t="shared" si="94"/>
        <v>0.10235401673331999</v>
      </c>
      <c r="O56" s="787">
        <v>9.0539355690015894E-2</v>
      </c>
      <c r="P56" s="787">
        <v>8.7583190881982395E-2</v>
      </c>
      <c r="Q56" s="787">
        <v>8.1960805739189596E-2</v>
      </c>
    </row>
    <row r="57" spans="1:90">
      <c r="A57" s="530" t="s">
        <v>156</v>
      </c>
      <c r="B57" s="530" t="s">
        <v>371</v>
      </c>
      <c r="C57" s="532"/>
      <c r="D57" s="544">
        <f>D26/D31</f>
        <v>0.29229427971835598</v>
      </c>
      <c r="E57" s="544">
        <f t="shared" ref="E57:N57" si="95">E26/E31</f>
        <v>0.25047024696464099</v>
      </c>
      <c r="F57" s="544">
        <f t="shared" si="95"/>
        <v>0.26119062435179402</v>
      </c>
      <c r="G57" s="544">
        <f t="shared" si="95"/>
        <v>0.248729746679479</v>
      </c>
      <c r="H57" s="544">
        <f t="shared" si="95"/>
        <v>0.22983946392614699</v>
      </c>
      <c r="I57" s="544">
        <f t="shared" si="95"/>
        <v>0.23714580788997</v>
      </c>
      <c r="J57" s="544">
        <f t="shared" si="95"/>
        <v>0.238200643147709</v>
      </c>
      <c r="K57" s="544">
        <f t="shared" si="95"/>
        <v>0.23734354764787099</v>
      </c>
      <c r="L57" s="544">
        <f t="shared" si="95"/>
        <v>0.29789245993221303</v>
      </c>
      <c r="M57" s="544">
        <f t="shared" si="95"/>
        <v>0.31072281004784802</v>
      </c>
      <c r="N57" s="554">
        <f t="shared" si="95"/>
        <v>0.32381316520779801</v>
      </c>
      <c r="O57" s="785">
        <v>0.36403584542945</v>
      </c>
      <c r="P57" s="785">
        <v>0.38616274671859002</v>
      </c>
      <c r="Q57" s="785">
        <v>0.38114038804698203</v>
      </c>
    </row>
    <row r="58" spans="1:90">
      <c r="A58" s="533"/>
      <c r="B58" s="534" t="s">
        <v>372</v>
      </c>
      <c r="C58" s="535"/>
      <c r="D58" s="545">
        <f>D27/D31</f>
        <v>0.12078565692507701</v>
      </c>
      <c r="E58" s="545">
        <f t="shared" ref="E58:N58" si="96">E27/E31</f>
        <v>0.126434111601503</v>
      </c>
      <c r="F58" s="545">
        <f t="shared" si="96"/>
        <v>0.12852231084962901</v>
      </c>
      <c r="G58" s="545">
        <f t="shared" si="96"/>
        <v>0.13150788880443001</v>
      </c>
      <c r="H58" s="545">
        <f t="shared" si="96"/>
        <v>0.12925959750448399</v>
      </c>
      <c r="I58" s="545">
        <f t="shared" si="96"/>
        <v>0.12860749325836199</v>
      </c>
      <c r="J58" s="545">
        <f t="shared" si="96"/>
        <v>0.12821582959135</v>
      </c>
      <c r="K58" s="545">
        <f t="shared" si="96"/>
        <v>0.13731734978034299</v>
      </c>
      <c r="L58" s="545">
        <f t="shared" si="96"/>
        <v>0.15202357229233701</v>
      </c>
      <c r="M58" s="545">
        <f t="shared" si="96"/>
        <v>0.15160629194724501</v>
      </c>
      <c r="N58" s="555">
        <f t="shared" si="96"/>
        <v>0.156623834351792</v>
      </c>
      <c r="O58" s="786">
        <v>0.157285666851677</v>
      </c>
      <c r="P58" s="786">
        <v>0.15565923003551699</v>
      </c>
      <c r="Q58" s="786">
        <v>0.15955334119960399</v>
      </c>
    </row>
    <row r="59" spans="1:90">
      <c r="A59" s="533"/>
      <c r="B59" s="534" t="s">
        <v>373</v>
      </c>
      <c r="C59" s="535"/>
      <c r="D59" s="545">
        <f>D28/D31</f>
        <v>0.29846134051492701</v>
      </c>
      <c r="E59" s="545">
        <f t="shared" ref="E59:N59" si="97">E28/E31</f>
        <v>0.29925553673308702</v>
      </c>
      <c r="F59" s="545">
        <f t="shared" si="97"/>
        <v>0.294415216257158</v>
      </c>
      <c r="G59" s="545">
        <f t="shared" si="97"/>
        <v>0.317017678588425</v>
      </c>
      <c r="H59" s="545">
        <f t="shared" si="97"/>
        <v>0.32165091381226402</v>
      </c>
      <c r="I59" s="545">
        <f t="shared" si="97"/>
        <v>0.29758694458333002</v>
      </c>
      <c r="J59" s="545">
        <f t="shared" si="97"/>
        <v>0.27436550164428802</v>
      </c>
      <c r="K59" s="545">
        <f t="shared" si="97"/>
        <v>0.26750705316226497</v>
      </c>
      <c r="L59" s="545">
        <f t="shared" si="97"/>
        <v>0.234027898421133</v>
      </c>
      <c r="M59" s="545">
        <f t="shared" si="97"/>
        <v>0.216230068598736</v>
      </c>
      <c r="N59" s="555">
        <f t="shared" si="97"/>
        <v>0.214062333032109</v>
      </c>
      <c r="O59" s="786">
        <v>0.197909506708766</v>
      </c>
      <c r="P59" s="786">
        <v>0.19248475339920601</v>
      </c>
      <c r="Q59" s="786">
        <v>0.20646709411611999</v>
      </c>
    </row>
    <row r="60" spans="1:90">
      <c r="A60" s="533"/>
      <c r="B60" s="534" t="s">
        <v>374</v>
      </c>
      <c r="C60" s="535"/>
      <c r="D60" s="545">
        <f>D29/D31</f>
        <v>0.21012374052202601</v>
      </c>
      <c r="E60" s="545">
        <f t="shared" ref="E60:N60" si="98">E29/E31</f>
        <v>0.235826019954335</v>
      </c>
      <c r="F60" s="545">
        <f t="shared" si="98"/>
        <v>0.22859836699289099</v>
      </c>
      <c r="G60" s="545">
        <f t="shared" si="98"/>
        <v>0.22127245678791799</v>
      </c>
      <c r="H60" s="545">
        <f t="shared" si="98"/>
        <v>0.23622569677497399</v>
      </c>
      <c r="I60" s="545">
        <f t="shared" si="98"/>
        <v>0.23891523159266601</v>
      </c>
      <c r="J60" s="545">
        <f t="shared" si="98"/>
        <v>0.24040395211717999</v>
      </c>
      <c r="K60" s="545">
        <f t="shared" si="98"/>
        <v>0.26018021164909</v>
      </c>
      <c r="L60" s="545">
        <f t="shared" si="98"/>
        <v>0.23407967571065999</v>
      </c>
      <c r="M60" s="545">
        <f t="shared" si="98"/>
        <v>0.23572423741082299</v>
      </c>
      <c r="N60" s="555">
        <f t="shared" si="98"/>
        <v>0.22250299422650099</v>
      </c>
      <c r="O60" s="786">
        <v>0.19818824731581999</v>
      </c>
      <c r="P60" s="786">
        <v>0.20288580681229201</v>
      </c>
      <c r="Q60" s="786">
        <v>0.19531958849643799</v>
      </c>
    </row>
    <row r="61" spans="1:90">
      <c r="A61" s="533"/>
      <c r="B61" s="536" t="s">
        <v>375</v>
      </c>
      <c r="C61" s="537"/>
      <c r="D61" s="546">
        <f>D30/D31</f>
        <v>7.83349823196135E-2</v>
      </c>
      <c r="E61" s="546">
        <f t="shared" ref="E61:N61" si="99">E30/E31</f>
        <v>8.8014084746434906E-2</v>
      </c>
      <c r="F61" s="546">
        <f t="shared" si="99"/>
        <v>8.7273481548528195E-2</v>
      </c>
      <c r="G61" s="546">
        <f t="shared" si="99"/>
        <v>8.1472229139748095E-2</v>
      </c>
      <c r="H61" s="546">
        <f t="shared" si="99"/>
        <v>8.3024327982130899E-2</v>
      </c>
      <c r="I61" s="546">
        <f t="shared" si="99"/>
        <v>9.7744522675671894E-2</v>
      </c>
      <c r="J61" s="546">
        <f t="shared" si="99"/>
        <v>0.118814073499474</v>
      </c>
      <c r="K61" s="546">
        <f t="shared" si="99"/>
        <v>9.7651837760430502E-2</v>
      </c>
      <c r="L61" s="546">
        <f t="shared" si="99"/>
        <v>8.1976393643656401E-2</v>
      </c>
      <c r="M61" s="546">
        <f t="shared" si="99"/>
        <v>8.5716591995348396E-2</v>
      </c>
      <c r="N61" s="557">
        <f t="shared" si="99"/>
        <v>8.2997673181798806E-2</v>
      </c>
      <c r="O61" s="787">
        <v>8.2580733694287103E-2</v>
      </c>
      <c r="P61" s="787">
        <v>6.2807463034395106E-2</v>
      </c>
      <c r="Q61" s="787">
        <v>5.7519588140855601E-2</v>
      </c>
    </row>
    <row r="62" spans="1:90">
      <c r="A62" s="533" t="s">
        <v>170</v>
      </c>
      <c r="B62" s="533" t="s">
        <v>371</v>
      </c>
      <c r="C62" s="540"/>
      <c r="D62" s="544">
        <f>D32/D37</f>
        <v>0.47951198242673798</v>
      </c>
      <c r="E62" s="544">
        <f t="shared" ref="E62:N62" si="100">E32/E37</f>
        <v>0.49837170260061198</v>
      </c>
      <c r="F62" s="544">
        <f t="shared" si="100"/>
        <v>0.494179423830305</v>
      </c>
      <c r="G62" s="544">
        <f t="shared" si="100"/>
        <v>0.47079590031573598</v>
      </c>
      <c r="H62" s="544">
        <f t="shared" si="100"/>
        <v>0.47310246883472701</v>
      </c>
      <c r="I62" s="544">
        <f t="shared" si="100"/>
        <v>0.47328345417373202</v>
      </c>
      <c r="J62" s="544">
        <f t="shared" si="100"/>
        <v>0.463304369965027</v>
      </c>
      <c r="K62" s="544">
        <f t="shared" si="100"/>
        <v>0.43832361201123399</v>
      </c>
      <c r="L62" s="544">
        <f t="shared" si="100"/>
        <v>0.43839196206309999</v>
      </c>
      <c r="M62" s="544">
        <f t="shared" si="100"/>
        <v>0.46067650273032301</v>
      </c>
      <c r="N62" s="554">
        <f t="shared" si="100"/>
        <v>0.45930722647225802</v>
      </c>
      <c r="O62" s="785">
        <v>0.46965254414339103</v>
      </c>
      <c r="P62" s="785">
        <v>0.45705014431954699</v>
      </c>
      <c r="Q62" s="785">
        <v>0.46878275925700502</v>
      </c>
    </row>
    <row r="63" spans="1:90">
      <c r="A63" s="533"/>
      <c r="B63" s="534" t="s">
        <v>372</v>
      </c>
      <c r="C63" s="535"/>
      <c r="D63" s="545">
        <f>D33/D37</f>
        <v>0.14882097549786399</v>
      </c>
      <c r="E63" s="545">
        <f t="shared" ref="E63:N63" si="101">E33/E37</f>
        <v>0.146033793971802</v>
      </c>
      <c r="F63" s="545">
        <f t="shared" si="101"/>
        <v>0.15854672239026499</v>
      </c>
      <c r="G63" s="545">
        <f t="shared" si="101"/>
        <v>0.16493047758705201</v>
      </c>
      <c r="H63" s="545">
        <f t="shared" si="101"/>
        <v>0.16352085096615901</v>
      </c>
      <c r="I63" s="545">
        <f t="shared" si="101"/>
        <v>0.16511611915316099</v>
      </c>
      <c r="J63" s="545">
        <f t="shared" si="101"/>
        <v>0.172842670593437</v>
      </c>
      <c r="K63" s="545">
        <f t="shared" si="101"/>
        <v>0.17187900345144599</v>
      </c>
      <c r="L63" s="545">
        <f t="shared" si="101"/>
        <v>0.167792254603325</v>
      </c>
      <c r="M63" s="545">
        <f t="shared" si="101"/>
        <v>0.17882609252401899</v>
      </c>
      <c r="N63" s="555">
        <f t="shared" si="101"/>
        <v>0.178982954004381</v>
      </c>
      <c r="O63" s="786">
        <v>0.177376827150977</v>
      </c>
      <c r="P63" s="786">
        <v>0.180928306351853</v>
      </c>
      <c r="Q63" s="786">
        <v>0.18106470775307301</v>
      </c>
    </row>
    <row r="64" spans="1:90">
      <c r="A64" s="533"/>
      <c r="B64" s="534" t="s">
        <v>373</v>
      </c>
      <c r="C64" s="535"/>
      <c r="D64" s="545">
        <f>D34/D37</f>
        <v>0.173261117092394</v>
      </c>
      <c r="E64" s="545">
        <f t="shared" ref="E64:N64" si="102">E34/E37</f>
        <v>0.163717725513361</v>
      </c>
      <c r="F64" s="545">
        <f t="shared" si="102"/>
        <v>0.157879039768485</v>
      </c>
      <c r="G64" s="545">
        <f t="shared" si="102"/>
        <v>0.16343673665444999</v>
      </c>
      <c r="H64" s="545">
        <f t="shared" si="102"/>
        <v>0.15836907716363699</v>
      </c>
      <c r="I64" s="545">
        <f t="shared" si="102"/>
        <v>0.15211634221732501</v>
      </c>
      <c r="J64" s="545">
        <f t="shared" si="102"/>
        <v>0.15098854481867599</v>
      </c>
      <c r="K64" s="545">
        <f t="shared" si="102"/>
        <v>0.14892964978120701</v>
      </c>
      <c r="L64" s="545">
        <f t="shared" si="102"/>
        <v>0.13938463568443599</v>
      </c>
      <c r="M64" s="545">
        <f t="shared" si="102"/>
        <v>0.153940067955494</v>
      </c>
      <c r="N64" s="555">
        <f t="shared" si="102"/>
        <v>0.15719843260077501</v>
      </c>
      <c r="O64" s="786">
        <v>0.15125820371877899</v>
      </c>
      <c r="P64" s="786">
        <v>0.152973341221607</v>
      </c>
      <c r="Q64" s="786">
        <v>0.142479946917734</v>
      </c>
    </row>
    <row r="65" spans="1:17">
      <c r="A65" s="533"/>
      <c r="B65" s="534" t="s">
        <v>374</v>
      </c>
      <c r="C65" s="535"/>
      <c r="D65" s="545">
        <f>D35/D37</f>
        <v>0.13940820429949799</v>
      </c>
      <c r="E65" s="545">
        <f t="shared" ref="E65:N65" si="103">E35/E37</f>
        <v>0.13520891949448899</v>
      </c>
      <c r="F65" s="545">
        <f t="shared" si="103"/>
        <v>0.132953504660309</v>
      </c>
      <c r="G65" s="545">
        <f t="shared" si="103"/>
        <v>0.14047998875300899</v>
      </c>
      <c r="H65" s="545">
        <f t="shared" si="103"/>
        <v>0.144285529845501</v>
      </c>
      <c r="I65" s="545">
        <f t="shared" si="103"/>
        <v>0.14929198092717499</v>
      </c>
      <c r="J65" s="545">
        <f t="shared" si="103"/>
        <v>0.15162847986182901</v>
      </c>
      <c r="K65" s="545">
        <f t="shared" si="103"/>
        <v>0.14853443324106</v>
      </c>
      <c r="L65" s="545">
        <f t="shared" si="103"/>
        <v>0.14069125098760499</v>
      </c>
      <c r="M65" s="545">
        <f t="shared" si="103"/>
        <v>0.14620078971511</v>
      </c>
      <c r="N65" s="555">
        <f t="shared" si="103"/>
        <v>0.144155583066163</v>
      </c>
      <c r="O65" s="786">
        <v>0.14376049103444299</v>
      </c>
      <c r="P65" s="786">
        <v>0.149452302837986</v>
      </c>
      <c r="Q65" s="786">
        <v>0.14590555911095099</v>
      </c>
    </row>
    <row r="66" spans="1:17">
      <c r="A66" s="538"/>
      <c r="B66" s="568" t="s">
        <v>375</v>
      </c>
      <c r="C66" s="789"/>
      <c r="D66" s="569">
        <f>D36/D37</f>
        <v>5.8997720683505603E-2</v>
      </c>
      <c r="E66" s="569">
        <f t="shared" ref="E66:N66" si="104">E36/E37</f>
        <v>5.6667858419735401E-2</v>
      </c>
      <c r="F66" s="569">
        <f t="shared" si="104"/>
        <v>5.6441309350635398E-2</v>
      </c>
      <c r="G66" s="569">
        <f t="shared" si="104"/>
        <v>6.0356896689752901E-2</v>
      </c>
      <c r="H66" s="569">
        <f t="shared" si="104"/>
        <v>6.0722073189975502E-2</v>
      </c>
      <c r="I66" s="569">
        <f t="shared" si="104"/>
        <v>6.0192103528606697E-2</v>
      </c>
      <c r="J66" s="569">
        <f t="shared" si="104"/>
        <v>6.1235934761030703E-2</v>
      </c>
      <c r="K66" s="569">
        <f t="shared" si="104"/>
        <v>9.2333301515052604E-2</v>
      </c>
      <c r="L66" s="569">
        <f t="shared" si="104"/>
        <v>0.113739896661534</v>
      </c>
      <c r="M66" s="569">
        <f t="shared" si="104"/>
        <v>6.0356547075054501E-2</v>
      </c>
      <c r="N66" s="570">
        <f t="shared" si="104"/>
        <v>6.03558038564228E-2</v>
      </c>
      <c r="O66" s="787">
        <v>5.7951933952409398E-2</v>
      </c>
      <c r="P66" s="787">
        <v>5.9595905269008001E-2</v>
      </c>
      <c r="Q66" s="787">
        <v>6.17670269612366E-2</v>
      </c>
    </row>
  </sheetData>
  <phoneticPr fontId="93" type="noConversion"/>
  <hyperlinks>
    <hyperlink ref="O1" location="Content!A1" display="content" xr:uid="{00000000-0004-0000-0E00-000000000000}"/>
  </hyperlinks>
  <pageMargins left="0.7" right="0.7" top="0.75" bottom="0.75" header="0.3" footer="0.3"/>
  <pageSetup orientation="portrait"/>
  <ignoredErrors>
    <ignoredError sqref="O13" formulaRange="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ED184"/>
  <sheetViews>
    <sheetView zoomScale="70" zoomScaleNormal="70" workbookViewId="0">
      <pane xSplit="1" ySplit="4" topLeftCell="I85" activePane="bottomRight" state="frozenSplit"/>
      <selection pane="topRight"/>
      <selection pane="bottomLeft"/>
      <selection pane="bottomRight" activeCell="AA27" sqref="AA27"/>
    </sheetView>
  </sheetViews>
  <sheetFormatPr defaultColWidth="8.6640625" defaultRowHeight="14.4"/>
  <cols>
    <col min="1" max="1" width="23.77734375" style="475" customWidth="1"/>
    <col min="2" max="2" width="8.6640625" style="475"/>
    <col min="3" max="3" width="39.77734375" style="475" customWidth="1"/>
    <col min="4" max="4" width="8.6640625" style="475"/>
    <col min="5" max="5" width="39.77734375" style="475" customWidth="1"/>
    <col min="6" max="6" width="8.6640625" style="475"/>
    <col min="7" max="7" width="39.77734375" style="475" customWidth="1"/>
    <col min="8" max="8" width="8.6640625" style="475"/>
    <col min="9" max="9" width="39.77734375" style="475" customWidth="1"/>
    <col min="10" max="10" width="8.6640625" style="475"/>
    <col min="11" max="11" width="39.77734375" style="475" customWidth="1"/>
    <col min="12" max="12" width="8.6640625" style="475"/>
    <col min="13" max="13" width="39.77734375" style="475" customWidth="1"/>
    <col min="14" max="14" width="8.6640625" style="475"/>
    <col min="15" max="15" width="39.77734375" style="475" customWidth="1"/>
    <col min="16" max="16" width="8.6640625" style="475"/>
    <col min="17" max="17" width="39.77734375" style="475" customWidth="1"/>
    <col min="18" max="18" width="8.6640625" style="475"/>
    <col min="19" max="19" width="39.77734375" style="475" customWidth="1"/>
    <col min="20" max="20" width="8.6640625" style="475"/>
    <col min="21" max="21" width="39.77734375" style="473" customWidth="1"/>
    <col min="22" max="22" width="8.6640625" style="473"/>
    <col min="23" max="23" width="39.77734375" style="473" customWidth="1"/>
    <col min="24" max="24" width="9.109375" style="473" customWidth="1"/>
    <col min="25" max="25" width="38.77734375" style="473" customWidth="1"/>
    <col min="26" max="26" width="9.109375" style="473" customWidth="1"/>
    <col min="27" max="27" width="29.88671875" style="473" customWidth="1"/>
    <col min="28" max="28" width="9.109375" style="473" customWidth="1"/>
    <col min="29" max="29" width="8.6640625" style="473"/>
    <col min="30" max="30" width="28" style="474" customWidth="1"/>
    <col min="31" max="41" width="6.77734375" style="474" customWidth="1"/>
    <col min="42" max="43" width="9.77734375" style="474" customWidth="1"/>
    <col min="44" max="44" width="6.77734375" style="474" customWidth="1"/>
    <col min="45" max="45" width="9.21875" style="474" customWidth="1"/>
    <col min="46" max="46" width="9.33203125" style="474" customWidth="1"/>
    <col min="47" max="47" width="10" style="474" customWidth="1"/>
    <col min="48" max="48" width="17" style="474" customWidth="1"/>
    <col min="49" max="64" width="6.77734375" style="474" customWidth="1"/>
    <col min="65" max="65" width="16.77734375" style="474" customWidth="1"/>
    <col min="66" max="82" width="6.77734375" style="474" customWidth="1"/>
    <col min="83" max="83" width="18.109375" style="474" customWidth="1"/>
    <col min="84" max="100" width="6.77734375" style="474" customWidth="1"/>
    <col min="101" max="101" width="16" style="474" customWidth="1"/>
    <col min="102" max="118" width="7" style="474" customWidth="1"/>
    <col min="119" max="133" width="8.6640625" style="474"/>
    <col min="134" max="134" width="8.6640625" style="473"/>
    <col min="135" max="16384" width="8.6640625" style="475"/>
  </cols>
  <sheetData>
    <row r="1" spans="1:14" ht="21">
      <c r="A1" s="476" t="s">
        <v>47</v>
      </c>
      <c r="N1" s="159" t="s">
        <v>48</v>
      </c>
    </row>
    <row r="2" spans="1:14" ht="18">
      <c r="A2" s="477" t="s">
        <v>366</v>
      </c>
    </row>
    <row r="3" spans="1:14" ht="18">
      <c r="A3" s="477" t="s">
        <v>376</v>
      </c>
    </row>
    <row r="4" spans="1:14" ht="18">
      <c r="A4" s="477" t="s">
        <v>377</v>
      </c>
      <c r="B4" s="475">
        <v>3.6568655550277003E-2</v>
      </c>
    </row>
    <row r="45" spans="1:133" ht="15.6">
      <c r="A45" s="478" t="s">
        <v>94</v>
      </c>
      <c r="B45" s="479" t="s">
        <v>74</v>
      </c>
      <c r="C45" s="1396">
        <v>2012</v>
      </c>
      <c r="D45" s="1397"/>
      <c r="E45" s="1397">
        <f>C45+1</f>
        <v>2013</v>
      </c>
      <c r="F45" s="1396"/>
      <c r="G45" s="1397">
        <f>E45+1</f>
        <v>2014</v>
      </c>
      <c r="H45" s="1396"/>
      <c r="I45" s="1397">
        <f>G45+1</f>
        <v>2015</v>
      </c>
      <c r="J45" s="1396"/>
      <c r="K45" s="1397">
        <f>I45+1</f>
        <v>2016</v>
      </c>
      <c r="L45" s="1396"/>
      <c r="M45" s="1397">
        <f>K45+1</f>
        <v>2017</v>
      </c>
      <c r="N45" s="1396"/>
      <c r="O45" s="1397">
        <f>M45+1</f>
        <v>2018</v>
      </c>
      <c r="P45" s="1396"/>
      <c r="Q45" s="1397">
        <f>O45+1</f>
        <v>2019</v>
      </c>
      <c r="R45" s="1396"/>
      <c r="S45" s="1397">
        <f>Q45+1</f>
        <v>2020</v>
      </c>
      <c r="T45" s="1396"/>
      <c r="U45" s="1399">
        <f>S45+1</f>
        <v>2021</v>
      </c>
      <c r="V45" s="1398"/>
      <c r="W45" s="1398">
        <f>U45+1</f>
        <v>2022</v>
      </c>
      <c r="X45" s="1398"/>
      <c r="Y45" s="1399">
        <f>W45+1</f>
        <v>2023</v>
      </c>
      <c r="Z45" s="1398"/>
      <c r="AA45" s="1398">
        <v>2024</v>
      </c>
      <c r="AB45" s="1398"/>
    </row>
    <row r="46" spans="1:133" s="473" customFormat="1">
      <c r="A46" s="748" t="s">
        <v>186</v>
      </c>
      <c r="B46" s="749">
        <v>1</v>
      </c>
      <c r="C46" s="750" t="s">
        <v>378</v>
      </c>
      <c r="D46" s="751">
        <v>7.0472990750672995E-2</v>
      </c>
      <c r="E46" s="748" t="s">
        <v>378</v>
      </c>
      <c r="F46" s="494">
        <v>7.2980017376194598E-2</v>
      </c>
      <c r="G46" s="748" t="s">
        <v>378</v>
      </c>
      <c r="H46" s="494">
        <v>7.3731327610196601E-2</v>
      </c>
      <c r="I46" s="748" t="s">
        <v>378</v>
      </c>
      <c r="J46" s="494">
        <v>7.8E-2</v>
      </c>
      <c r="K46" s="748" t="s">
        <v>378</v>
      </c>
      <c r="L46" s="494">
        <v>7.6999999999999999E-2</v>
      </c>
      <c r="M46" s="748" t="s">
        <v>378</v>
      </c>
      <c r="N46" s="494">
        <v>7.9220504130480804E-2</v>
      </c>
      <c r="O46" s="748" t="s">
        <v>378</v>
      </c>
      <c r="P46" s="494">
        <v>7.93007507559296E-2</v>
      </c>
      <c r="Q46" s="748" t="s">
        <v>379</v>
      </c>
      <c r="R46" s="494">
        <v>7.8522720348325095E-2</v>
      </c>
      <c r="S46" s="748" t="s">
        <v>378</v>
      </c>
      <c r="T46" s="494">
        <v>0.08</v>
      </c>
      <c r="U46" s="754" t="s">
        <v>379</v>
      </c>
      <c r="V46" s="494">
        <v>8.1817843727918504E-2</v>
      </c>
      <c r="W46" s="493" t="s">
        <v>379</v>
      </c>
      <c r="X46" s="489">
        <v>8.6999999999999994E-2</v>
      </c>
      <c r="Y46" s="759" t="s">
        <v>379</v>
      </c>
      <c r="Z46" s="759">
        <v>8.9253297529430106E-2</v>
      </c>
      <c r="AA46" s="496" t="s">
        <v>380</v>
      </c>
      <c r="AB46" s="494">
        <v>8.46037735849057E-2</v>
      </c>
      <c r="AC46" s="508">
        <v>1</v>
      </c>
      <c r="AD46" s="1346"/>
      <c r="AE46" s="1346"/>
      <c r="AF46" s="1346"/>
      <c r="AG46" s="1346"/>
      <c r="AH46" s="1346"/>
      <c r="AI46" s="1346"/>
      <c r="AJ46" s="1346"/>
      <c r="AK46" s="1346"/>
      <c r="AL46" s="1346"/>
      <c r="AM46" s="1346"/>
      <c r="AN46" s="1346"/>
      <c r="AO46" s="1346"/>
      <c r="AP46" s="1346"/>
      <c r="AQ46" s="1346"/>
      <c r="AR46" s="1346"/>
      <c r="AS46" s="1346"/>
      <c r="AT46" s="1346"/>
      <c r="AU46" s="1346"/>
      <c r="AV46" s="1346"/>
      <c r="AW46" s="1346"/>
      <c r="AX46" s="1346"/>
      <c r="AY46" s="1346"/>
      <c r="AZ46" s="1346"/>
      <c r="BA46" s="1346"/>
      <c r="BB46" s="760"/>
      <c r="BC46" s="760"/>
      <c r="BD46" s="760"/>
      <c r="BE46" s="760"/>
      <c r="BF46" s="760"/>
      <c r="BG46" s="760"/>
      <c r="BH46" s="760"/>
      <c r="BI46" s="760"/>
      <c r="BJ46" s="760"/>
      <c r="BK46" s="760"/>
      <c r="BL46" s="760"/>
      <c r="BM46" s="760"/>
      <c r="BN46" s="760"/>
      <c r="BO46" s="760"/>
      <c r="BP46" s="760"/>
      <c r="BQ46" s="760"/>
      <c r="BR46" s="760"/>
      <c r="BS46" s="760"/>
      <c r="BT46" s="760"/>
      <c r="BU46" s="760"/>
      <c r="BV46" s="760"/>
      <c r="BW46" s="760"/>
      <c r="BX46" s="760"/>
      <c r="BY46" s="760"/>
      <c r="BZ46" s="760"/>
      <c r="CA46" s="760"/>
      <c r="CB46" s="760"/>
      <c r="CC46" s="760"/>
      <c r="CD46" s="760"/>
      <c r="CE46" s="760"/>
      <c r="CF46" s="760"/>
      <c r="CG46" s="760"/>
      <c r="CH46" s="760"/>
      <c r="CI46" s="760"/>
      <c r="CJ46" s="760"/>
      <c r="CK46" s="760"/>
      <c r="CL46" s="760"/>
      <c r="CM46" s="760"/>
      <c r="CN46" s="760"/>
      <c r="CO46" s="760"/>
      <c r="CP46" s="760"/>
      <c r="CQ46" s="760"/>
      <c r="CR46" s="760"/>
      <c r="CS46" s="760"/>
      <c r="CT46" s="760"/>
      <c r="CU46" s="760"/>
      <c r="CV46" s="760"/>
      <c r="CW46" s="760"/>
      <c r="CX46" s="760"/>
      <c r="CY46" s="760"/>
      <c r="CZ46" s="760"/>
      <c r="DA46" s="760"/>
      <c r="DB46" s="760"/>
      <c r="DC46" s="760"/>
      <c r="DD46" s="760"/>
      <c r="DE46" s="760"/>
      <c r="DF46" s="760"/>
      <c r="DG46" s="760"/>
      <c r="DH46" s="760"/>
      <c r="DI46" s="760"/>
      <c r="DJ46" s="760"/>
      <c r="DK46" s="760"/>
      <c r="DL46" s="760"/>
      <c r="DM46" s="760"/>
      <c r="DN46" s="760"/>
      <c r="DO46" s="760"/>
      <c r="DP46" s="760"/>
      <c r="DQ46" s="760"/>
      <c r="DR46" s="765"/>
      <c r="DS46" s="474"/>
      <c r="DT46" s="474"/>
      <c r="DU46" s="474"/>
      <c r="DV46" s="474"/>
      <c r="DW46" s="474"/>
      <c r="DX46" s="474"/>
      <c r="DY46" s="474"/>
      <c r="DZ46" s="474"/>
      <c r="EA46" s="474"/>
      <c r="EB46" s="474"/>
      <c r="EC46" s="474"/>
    </row>
    <row r="47" spans="1:133" s="473" customFormat="1">
      <c r="A47" s="488"/>
      <c r="B47" s="752">
        <v>2</v>
      </c>
      <c r="C47" s="473" t="s">
        <v>381</v>
      </c>
      <c r="D47" s="753">
        <v>6.6964857954353793E-2</v>
      </c>
      <c r="E47" s="488" t="s">
        <v>381</v>
      </c>
      <c r="F47" s="489">
        <v>7.0510408614214301E-2</v>
      </c>
      <c r="G47" s="488" t="s">
        <v>379</v>
      </c>
      <c r="H47" s="489">
        <v>6.8434800871597007E-2</v>
      </c>
      <c r="I47" s="488" t="s">
        <v>379</v>
      </c>
      <c r="J47" s="489">
        <v>6.7000000000000004E-2</v>
      </c>
      <c r="K47" s="488" t="s">
        <v>379</v>
      </c>
      <c r="L47" s="489">
        <v>6.9000000000000006E-2</v>
      </c>
      <c r="M47" s="488" t="s">
        <v>379</v>
      </c>
      <c r="N47" s="489">
        <v>7.0771930886313394E-2</v>
      </c>
      <c r="O47" s="488" t="s">
        <v>379</v>
      </c>
      <c r="P47" s="489">
        <v>6.8637257268995999E-2</v>
      </c>
      <c r="Q47" s="488" t="s">
        <v>378</v>
      </c>
      <c r="R47" s="489">
        <v>7.6628203920873494E-2</v>
      </c>
      <c r="S47" s="488" t="s">
        <v>379</v>
      </c>
      <c r="T47" s="489">
        <v>7.9000000000000001E-2</v>
      </c>
      <c r="U47" s="755" t="s">
        <v>378</v>
      </c>
      <c r="V47" s="489">
        <v>8.1398128815288295E-2</v>
      </c>
      <c r="W47" s="491" t="s">
        <v>378</v>
      </c>
      <c r="X47" s="489">
        <v>8.1000000000000003E-2</v>
      </c>
      <c r="Y47" s="759" t="s">
        <v>378</v>
      </c>
      <c r="Z47" s="759">
        <v>8.0382779931711099E-2</v>
      </c>
      <c r="AA47" s="498" t="s">
        <v>381</v>
      </c>
      <c r="AB47" s="489">
        <v>8.1217610062893103E-2</v>
      </c>
      <c r="AC47" s="761">
        <f t="shared" ref="AC47:AC95" si="0">AC46+1</f>
        <v>2</v>
      </c>
      <c r="AD47" s="1347"/>
      <c r="AE47" s="1347"/>
      <c r="AF47" s="1347"/>
      <c r="AG47" s="1347"/>
      <c r="AH47" s="1347"/>
      <c r="AI47" s="1347"/>
      <c r="AJ47" s="1347"/>
      <c r="AK47" s="1347"/>
      <c r="AL47" s="1347"/>
      <c r="AM47" s="1347"/>
      <c r="AN47" s="1347"/>
      <c r="AO47" s="1347"/>
      <c r="AP47" s="1347"/>
      <c r="AQ47" s="1347"/>
      <c r="AR47" s="1347"/>
      <c r="AS47" s="1347"/>
      <c r="AT47" s="1347"/>
      <c r="AU47" s="1347"/>
      <c r="AV47" s="1347"/>
      <c r="AW47" s="1347"/>
      <c r="AX47" s="1347"/>
      <c r="AY47" s="1347"/>
      <c r="AZ47" s="1347"/>
      <c r="BA47" s="1347"/>
      <c r="BB47" s="475"/>
      <c r="BC47" s="475"/>
      <c r="BD47" s="475"/>
      <c r="BE47" s="475"/>
      <c r="BF47" s="475"/>
      <c r="BG47" s="475"/>
      <c r="BH47" s="475"/>
      <c r="BI47" s="475"/>
      <c r="BJ47" s="475"/>
      <c r="BK47" s="475"/>
      <c r="BL47" s="475"/>
      <c r="BM47" s="475"/>
      <c r="BN47" s="475"/>
      <c r="BO47" s="475"/>
      <c r="BP47" s="475"/>
      <c r="BQ47" s="475"/>
      <c r="BR47" s="475"/>
      <c r="BS47" s="475"/>
      <c r="BT47" s="475"/>
      <c r="BU47" s="475"/>
      <c r="BV47" s="475"/>
      <c r="BW47" s="475"/>
      <c r="BX47" s="475"/>
      <c r="BY47" s="475"/>
      <c r="BZ47" s="475"/>
      <c r="CA47" s="475"/>
      <c r="CB47" s="475"/>
      <c r="CC47" s="475"/>
      <c r="CD47" s="475"/>
      <c r="CE47" s="475"/>
      <c r="CF47" s="475"/>
      <c r="CG47" s="475"/>
      <c r="CH47" s="475"/>
      <c r="CI47" s="475"/>
      <c r="CJ47" s="475"/>
      <c r="CK47" s="475"/>
      <c r="CL47" s="475"/>
      <c r="CM47" s="475"/>
      <c r="CN47" s="475"/>
      <c r="CO47" s="475"/>
      <c r="CP47" s="475"/>
      <c r="CQ47" s="475"/>
      <c r="CR47" s="475"/>
      <c r="CS47" s="475"/>
      <c r="CT47" s="475"/>
      <c r="CU47" s="475"/>
      <c r="CV47" s="475"/>
      <c r="CW47" s="475"/>
      <c r="CX47" s="475"/>
      <c r="CY47" s="475"/>
      <c r="CZ47" s="475"/>
      <c r="DA47" s="475"/>
      <c r="DB47" s="475"/>
      <c r="DC47" s="475"/>
      <c r="DD47" s="475"/>
      <c r="DE47" s="475"/>
      <c r="DF47" s="475"/>
      <c r="DG47" s="475"/>
      <c r="DH47" s="475"/>
      <c r="DI47" s="475"/>
      <c r="DJ47" s="475"/>
      <c r="DK47" s="475"/>
      <c r="DL47" s="475"/>
      <c r="DM47" s="475"/>
      <c r="DN47" s="475"/>
      <c r="DO47" s="475"/>
      <c r="DP47" s="475"/>
      <c r="DQ47" s="475"/>
      <c r="DR47" s="766"/>
      <c r="DS47" s="474"/>
      <c r="DT47" s="474"/>
      <c r="DU47" s="474"/>
      <c r="DV47" s="474"/>
      <c r="DW47" s="474"/>
      <c r="DX47" s="474"/>
      <c r="DY47" s="474"/>
      <c r="DZ47" s="474"/>
      <c r="EA47" s="474"/>
      <c r="EB47" s="474"/>
      <c r="EC47" s="474"/>
    </row>
    <row r="48" spans="1:133" s="473" customFormat="1">
      <c r="A48" s="488"/>
      <c r="B48" s="752">
        <v>3</v>
      </c>
      <c r="C48" s="473" t="s">
        <v>379</v>
      </c>
      <c r="D48" s="753">
        <v>6.5777489930984201E-2</v>
      </c>
      <c r="E48" s="488" t="s">
        <v>379</v>
      </c>
      <c r="F48" s="489">
        <v>6.22601366836096E-2</v>
      </c>
      <c r="G48" s="488" t="s">
        <v>381</v>
      </c>
      <c r="H48" s="489">
        <v>6.81722716652228E-2</v>
      </c>
      <c r="I48" s="488" t="s">
        <v>380</v>
      </c>
      <c r="J48" s="489">
        <v>6.6000000000000003E-2</v>
      </c>
      <c r="K48" s="488" t="s">
        <v>380</v>
      </c>
      <c r="L48" s="489">
        <v>6.7000000000000004E-2</v>
      </c>
      <c r="M48" s="488" t="s">
        <v>380</v>
      </c>
      <c r="N48" s="489">
        <v>6.76248978727267E-2</v>
      </c>
      <c r="O48" s="488" t="s">
        <v>380</v>
      </c>
      <c r="P48" s="489">
        <v>6.7361087158969393E-2</v>
      </c>
      <c r="Q48" s="488" t="s">
        <v>380</v>
      </c>
      <c r="R48" s="489">
        <v>7.0761850421834596E-2</v>
      </c>
      <c r="S48" s="488" t="s">
        <v>380</v>
      </c>
      <c r="T48" s="489">
        <v>7.2999999999999995E-2</v>
      </c>
      <c r="U48" s="755" t="s">
        <v>380</v>
      </c>
      <c r="V48" s="489">
        <v>7.7944778268330697E-2</v>
      </c>
      <c r="W48" s="491" t="s">
        <v>380</v>
      </c>
      <c r="X48" s="489">
        <v>7.9000000000000001E-2</v>
      </c>
      <c r="Y48" s="759" t="s">
        <v>380</v>
      </c>
      <c r="Z48" s="759">
        <v>7.9180935427258195E-2</v>
      </c>
      <c r="AA48" s="498" t="s">
        <v>379</v>
      </c>
      <c r="AB48" s="489">
        <v>8.0417610062893094E-2</v>
      </c>
      <c r="AC48" s="761">
        <f t="shared" si="0"/>
        <v>3</v>
      </c>
      <c r="AD48" s="1347"/>
      <c r="AE48" s="1347"/>
      <c r="AF48" s="1347"/>
      <c r="AG48" s="1347"/>
      <c r="AH48" s="1347"/>
      <c r="AI48" s="1347"/>
      <c r="AJ48" s="1347"/>
      <c r="AK48" s="1347"/>
      <c r="AL48" s="1347"/>
      <c r="AM48" s="1347"/>
      <c r="AN48" s="1347"/>
      <c r="AO48" s="1347"/>
      <c r="AP48" s="1347"/>
      <c r="AQ48" s="1347"/>
      <c r="AR48" s="1347"/>
      <c r="AS48" s="1347"/>
      <c r="AT48" s="1347"/>
      <c r="AU48" s="1347"/>
      <c r="AV48" s="1347"/>
      <c r="AW48" s="1347"/>
      <c r="AX48" s="1347"/>
      <c r="AY48" s="1347"/>
      <c r="AZ48" s="1347"/>
      <c r="BA48" s="1347"/>
      <c r="BB48" s="475"/>
      <c r="BC48" s="475"/>
      <c r="BD48" s="475"/>
      <c r="BE48" s="475"/>
      <c r="BF48" s="475"/>
      <c r="BG48" s="475"/>
      <c r="BH48" s="475"/>
      <c r="BI48" s="475"/>
      <c r="BJ48" s="475"/>
      <c r="BK48" s="475"/>
      <c r="BL48" s="475"/>
      <c r="BM48" s="475"/>
      <c r="BN48" s="475"/>
      <c r="BO48" s="475"/>
      <c r="BP48" s="475"/>
      <c r="BQ48" s="475"/>
      <c r="BR48" s="475"/>
      <c r="BS48" s="475"/>
      <c r="BT48" s="475"/>
      <c r="BU48" s="475"/>
      <c r="BV48" s="475"/>
      <c r="BW48" s="475"/>
      <c r="BX48" s="475"/>
      <c r="BY48" s="475"/>
      <c r="BZ48" s="475"/>
      <c r="CA48" s="475"/>
      <c r="CB48" s="475"/>
      <c r="CC48" s="475"/>
      <c r="CD48" s="475"/>
      <c r="CE48" s="475"/>
      <c r="CF48" s="475"/>
      <c r="CG48" s="475"/>
      <c r="CH48" s="475"/>
      <c r="CI48" s="475"/>
      <c r="CJ48" s="475"/>
      <c r="CK48" s="475"/>
      <c r="CL48" s="475"/>
      <c r="CM48" s="475"/>
      <c r="CN48" s="475"/>
      <c r="CO48" s="475"/>
      <c r="CP48" s="475"/>
      <c r="CQ48" s="475"/>
      <c r="CR48" s="475"/>
      <c r="CS48" s="475"/>
      <c r="CT48" s="475"/>
      <c r="CU48" s="475"/>
      <c r="CV48" s="475"/>
      <c r="CW48" s="475"/>
      <c r="CX48" s="475"/>
      <c r="CY48" s="475"/>
      <c r="CZ48" s="475"/>
      <c r="DA48" s="475"/>
      <c r="DB48" s="475"/>
      <c r="DC48" s="475"/>
      <c r="DD48" s="475"/>
      <c r="DE48" s="475"/>
      <c r="DF48" s="475"/>
      <c r="DG48" s="475"/>
      <c r="DH48" s="475"/>
      <c r="DI48" s="475"/>
      <c r="DJ48" s="475"/>
      <c r="DK48" s="475"/>
      <c r="DL48" s="475"/>
      <c r="DM48" s="475"/>
      <c r="DN48" s="475"/>
      <c r="DO48" s="475"/>
      <c r="DP48" s="475"/>
      <c r="DQ48" s="475"/>
      <c r="DR48" s="766"/>
      <c r="DS48" s="474"/>
      <c r="DT48" s="474"/>
      <c r="DU48" s="474"/>
      <c r="DV48" s="474"/>
      <c r="DW48" s="474"/>
      <c r="DX48" s="474"/>
      <c r="DY48" s="474"/>
      <c r="DZ48" s="474"/>
      <c r="EA48" s="474"/>
      <c r="EB48" s="474"/>
      <c r="EC48" s="474"/>
    </row>
    <row r="49" spans="1:133" s="473" customFormat="1">
      <c r="A49" s="488"/>
      <c r="B49" s="752">
        <v>4</v>
      </c>
      <c r="C49" s="473" t="s">
        <v>380</v>
      </c>
      <c r="D49" s="753">
        <v>5.7965148049950399E-2</v>
      </c>
      <c r="E49" s="488" t="s">
        <v>380</v>
      </c>
      <c r="F49" s="489">
        <v>6.19728137805537E-2</v>
      </c>
      <c r="G49" s="488" t="s">
        <v>380</v>
      </c>
      <c r="H49" s="489">
        <v>6.42343335696096E-2</v>
      </c>
      <c r="I49" s="488" t="s">
        <v>381</v>
      </c>
      <c r="J49" s="489">
        <v>6.4000000000000001E-2</v>
      </c>
      <c r="K49" s="488" t="s">
        <v>381</v>
      </c>
      <c r="L49" s="489">
        <v>6.5000000000000002E-2</v>
      </c>
      <c r="M49" s="488" t="s">
        <v>381</v>
      </c>
      <c r="N49" s="489">
        <v>6.2952764244863402E-2</v>
      </c>
      <c r="O49" s="488" t="s">
        <v>381</v>
      </c>
      <c r="P49" s="489">
        <v>6.1635567205877297E-2</v>
      </c>
      <c r="Q49" s="488" t="s">
        <v>381</v>
      </c>
      <c r="R49" s="489">
        <v>6.2347316932656001E-2</v>
      </c>
      <c r="S49" s="488" t="s">
        <v>381</v>
      </c>
      <c r="T49" s="489">
        <v>6.3E-2</v>
      </c>
      <c r="U49" s="755" t="s">
        <v>381</v>
      </c>
      <c r="V49" s="489">
        <v>6.4041057681579805E-2</v>
      </c>
      <c r="W49" s="491" t="s">
        <v>381</v>
      </c>
      <c r="X49" s="489">
        <v>7.1999999999999995E-2</v>
      </c>
      <c r="Y49" s="759" t="s">
        <v>381</v>
      </c>
      <c r="Z49" s="759">
        <v>7.69582773897345E-2</v>
      </c>
      <c r="AA49" s="498" t="s">
        <v>378</v>
      </c>
      <c r="AB49" s="489">
        <v>7.8998742138364803E-2</v>
      </c>
      <c r="AC49" s="761">
        <f t="shared" si="0"/>
        <v>4</v>
      </c>
      <c r="AD49" s="1347"/>
      <c r="AE49" s="1347"/>
      <c r="AF49" s="1347"/>
      <c r="AG49" s="1347"/>
      <c r="AH49" s="1347"/>
      <c r="AI49" s="1347"/>
      <c r="AJ49" s="1347"/>
      <c r="AK49" s="1347"/>
      <c r="AL49" s="1347"/>
      <c r="AM49" s="1347"/>
      <c r="AN49" s="1347"/>
      <c r="AO49" s="1347"/>
      <c r="AP49" s="1347"/>
      <c r="AQ49" s="1347"/>
      <c r="AR49" s="1347"/>
      <c r="AS49" s="1347"/>
      <c r="AT49" s="1347"/>
      <c r="AU49" s="1347"/>
      <c r="AV49" s="1347"/>
      <c r="AW49" s="1347"/>
      <c r="AX49" s="1347"/>
      <c r="AY49" s="1347"/>
      <c r="AZ49" s="1347"/>
      <c r="BA49" s="1347"/>
      <c r="BB49" s="475"/>
      <c r="BC49" s="475"/>
      <c r="BD49" s="475"/>
      <c r="BE49" s="475"/>
      <c r="BF49" s="475"/>
      <c r="BG49" s="475"/>
      <c r="BH49" s="475"/>
      <c r="BI49" s="475"/>
      <c r="BJ49" s="475"/>
      <c r="BK49" s="475"/>
      <c r="BL49" s="475"/>
      <c r="BM49" s="475"/>
      <c r="BN49" s="475"/>
      <c r="BO49" s="475"/>
      <c r="BP49" s="475"/>
      <c r="BQ49" s="475"/>
      <c r="BR49" s="475"/>
      <c r="BS49" s="475"/>
      <c r="BT49" s="475"/>
      <c r="BU49" s="475"/>
      <c r="BV49" s="475"/>
      <c r="BW49" s="475"/>
      <c r="BX49" s="475"/>
      <c r="BY49" s="475"/>
      <c r="BZ49" s="475"/>
      <c r="CA49" s="475"/>
      <c r="CB49" s="475"/>
      <c r="CC49" s="475"/>
      <c r="CD49" s="475"/>
      <c r="CE49" s="475"/>
      <c r="CF49" s="475"/>
      <c r="CG49" s="475"/>
      <c r="CH49" s="475"/>
      <c r="CI49" s="475"/>
      <c r="CJ49" s="475"/>
      <c r="CK49" s="475"/>
      <c r="CL49" s="475"/>
      <c r="CM49" s="475"/>
      <c r="CN49" s="475"/>
      <c r="CO49" s="475"/>
      <c r="CP49" s="475"/>
      <c r="CQ49" s="475"/>
      <c r="CR49" s="475"/>
      <c r="CS49" s="475"/>
      <c r="CT49" s="475"/>
      <c r="CU49" s="475"/>
      <c r="CV49" s="475"/>
      <c r="CW49" s="475"/>
      <c r="CX49" s="475"/>
      <c r="CY49" s="475"/>
      <c r="CZ49" s="475"/>
      <c r="DA49" s="475"/>
      <c r="DB49" s="475"/>
      <c r="DC49" s="475"/>
      <c r="DD49" s="475"/>
      <c r="DE49" s="475"/>
      <c r="DF49" s="475"/>
      <c r="DG49" s="475"/>
      <c r="DH49" s="475"/>
      <c r="DI49" s="475"/>
      <c r="DJ49" s="475"/>
      <c r="DK49" s="475"/>
      <c r="DL49" s="475"/>
      <c r="DM49" s="475"/>
      <c r="DN49" s="475"/>
      <c r="DO49" s="475"/>
      <c r="DP49" s="475"/>
      <c r="DQ49" s="475"/>
      <c r="DR49" s="766"/>
      <c r="DS49" s="474"/>
      <c r="DT49" s="474"/>
      <c r="DU49" s="474"/>
      <c r="DV49" s="474"/>
      <c r="DW49" s="474"/>
      <c r="DX49" s="474"/>
      <c r="DY49" s="474"/>
      <c r="DZ49" s="474"/>
      <c r="EA49" s="474"/>
      <c r="EB49" s="474"/>
      <c r="EC49" s="474"/>
    </row>
    <row r="50" spans="1:133" s="473" customFormat="1">
      <c r="A50" s="488"/>
      <c r="B50" s="752">
        <v>5</v>
      </c>
      <c r="C50" s="473" t="s">
        <v>382</v>
      </c>
      <c r="D50" s="753">
        <v>4.66851518279396E-2</v>
      </c>
      <c r="E50" s="488" t="s">
        <v>382</v>
      </c>
      <c r="F50" s="489">
        <v>4.9556359755638699E-2</v>
      </c>
      <c r="G50" s="488" t="s">
        <v>382</v>
      </c>
      <c r="H50" s="489">
        <v>5.2020162243049499E-2</v>
      </c>
      <c r="I50" s="488" t="s">
        <v>382</v>
      </c>
      <c r="J50" s="489">
        <v>4.9000000000000002E-2</v>
      </c>
      <c r="K50" s="488" t="s">
        <v>382</v>
      </c>
      <c r="L50" s="489">
        <v>5.2999999999999999E-2</v>
      </c>
      <c r="M50" s="488" t="s">
        <v>382</v>
      </c>
      <c r="N50" s="489">
        <v>4.9729173601234598E-2</v>
      </c>
      <c r="O50" s="488" t="s">
        <v>382</v>
      </c>
      <c r="P50" s="489">
        <v>5.1960818128513803E-2</v>
      </c>
      <c r="Q50" s="488" t="s">
        <v>382</v>
      </c>
      <c r="R50" s="489">
        <v>5.3373291749990302E-2</v>
      </c>
      <c r="S50" s="488" t="s">
        <v>382</v>
      </c>
      <c r="T50" s="489">
        <v>0.05</v>
      </c>
      <c r="U50" s="755" t="s">
        <v>382</v>
      </c>
      <c r="V50" s="489">
        <v>4.9935448909006898E-2</v>
      </c>
      <c r="W50" s="491" t="s">
        <v>383</v>
      </c>
      <c r="X50" s="489">
        <v>4.8000000000000001E-2</v>
      </c>
      <c r="Y50" s="759" t="s">
        <v>384</v>
      </c>
      <c r="Z50" s="759">
        <v>4.8098923368584103E-2</v>
      </c>
      <c r="AA50" s="498" t="s">
        <v>382</v>
      </c>
      <c r="AB50" s="489">
        <v>5.0445283018867901E-2</v>
      </c>
      <c r="AC50" s="761">
        <v>5</v>
      </c>
      <c r="AD50" s="1347"/>
      <c r="AE50" s="1347"/>
      <c r="AF50" s="1347"/>
      <c r="AG50" s="1347"/>
      <c r="AH50" s="1347"/>
      <c r="AI50" s="1347"/>
      <c r="AJ50" s="1347"/>
      <c r="AK50" s="1347"/>
      <c r="AL50" s="1347"/>
      <c r="AM50" s="1347"/>
      <c r="AN50" s="1347"/>
      <c r="AO50" s="1347"/>
      <c r="AP50" s="1347"/>
      <c r="AQ50" s="1347"/>
      <c r="AR50" s="1347"/>
      <c r="AS50" s="1347"/>
      <c r="AT50" s="1347"/>
      <c r="AU50" s="1347"/>
      <c r="AV50" s="1347"/>
      <c r="AW50" s="1347"/>
      <c r="AX50" s="1347"/>
      <c r="AY50" s="1347"/>
      <c r="AZ50" s="1347"/>
      <c r="BA50" s="1347"/>
      <c r="BB50" s="475"/>
      <c r="BC50" s="475"/>
      <c r="BD50" s="475"/>
      <c r="BE50" s="475"/>
      <c r="BF50" s="475"/>
      <c r="BG50" s="475"/>
      <c r="BH50" s="475"/>
      <c r="BI50" s="475"/>
      <c r="BJ50" s="475"/>
      <c r="BK50" s="475"/>
      <c r="BL50" s="475"/>
      <c r="BM50" s="475"/>
      <c r="BN50" s="475"/>
      <c r="BO50" s="475"/>
      <c r="BP50" s="475"/>
      <c r="BQ50" s="475"/>
      <c r="BR50" s="475"/>
      <c r="BS50" s="475"/>
      <c r="BT50" s="475"/>
      <c r="BU50" s="475"/>
      <c r="BV50" s="475"/>
      <c r="BW50" s="475"/>
      <c r="BX50" s="475"/>
      <c r="BY50" s="475"/>
      <c r="BZ50" s="475"/>
      <c r="CA50" s="475"/>
      <c r="CB50" s="475"/>
      <c r="CC50" s="475"/>
      <c r="CD50" s="475"/>
      <c r="CE50" s="475"/>
      <c r="CF50" s="475"/>
      <c r="CG50" s="475"/>
      <c r="CH50" s="475"/>
      <c r="CI50" s="475"/>
      <c r="CJ50" s="475"/>
      <c r="CK50" s="475"/>
      <c r="CL50" s="475"/>
      <c r="CM50" s="475"/>
      <c r="CN50" s="475"/>
      <c r="CO50" s="475"/>
      <c r="CP50" s="475"/>
      <c r="CQ50" s="475"/>
      <c r="CR50" s="475"/>
      <c r="CS50" s="475"/>
      <c r="CT50" s="475"/>
      <c r="CU50" s="475"/>
      <c r="CV50" s="475"/>
      <c r="CW50" s="475"/>
      <c r="CX50" s="475"/>
      <c r="CY50" s="475"/>
      <c r="CZ50" s="475"/>
      <c r="DA50" s="475"/>
      <c r="DB50" s="475"/>
      <c r="DC50" s="475"/>
      <c r="DD50" s="475"/>
      <c r="DE50" s="475"/>
      <c r="DF50" s="475"/>
      <c r="DG50" s="475"/>
      <c r="DH50" s="475"/>
      <c r="DI50" s="475"/>
      <c r="DJ50" s="475"/>
      <c r="DK50" s="475"/>
      <c r="DL50" s="475"/>
      <c r="DM50" s="475"/>
      <c r="DN50" s="475"/>
      <c r="DO50" s="475"/>
      <c r="DP50" s="475"/>
      <c r="DQ50" s="475"/>
      <c r="DR50" s="766"/>
      <c r="DS50" s="474"/>
      <c r="DT50" s="474"/>
      <c r="DU50" s="474"/>
      <c r="DV50" s="474"/>
      <c r="DW50" s="474"/>
      <c r="DX50" s="474"/>
      <c r="DY50" s="474"/>
      <c r="DZ50" s="474"/>
      <c r="EA50" s="474"/>
      <c r="EB50" s="474"/>
      <c r="EC50" s="474"/>
    </row>
    <row r="51" spans="1:133" s="473" customFormat="1">
      <c r="A51" s="488"/>
      <c r="B51" s="752">
        <v>6</v>
      </c>
      <c r="C51" s="473" t="s">
        <v>384</v>
      </c>
      <c r="D51" s="753">
        <v>4.4890606974437898E-2</v>
      </c>
      <c r="E51" s="488" t="s">
        <v>384</v>
      </c>
      <c r="F51" s="489">
        <v>4.5424382768835002E-2</v>
      </c>
      <c r="G51" s="488" t="s">
        <v>384</v>
      </c>
      <c r="H51" s="489">
        <v>4.6966475020346003E-2</v>
      </c>
      <c r="I51" s="488" t="s">
        <v>384</v>
      </c>
      <c r="J51" s="489">
        <v>4.8000000000000001E-2</v>
      </c>
      <c r="K51" s="488" t="s">
        <v>384</v>
      </c>
      <c r="L51" s="489">
        <v>4.7E-2</v>
      </c>
      <c r="M51" s="488" t="s">
        <v>384</v>
      </c>
      <c r="N51" s="489">
        <v>4.8409840530154E-2</v>
      </c>
      <c r="O51" s="488" t="s">
        <v>384</v>
      </c>
      <c r="P51" s="489">
        <v>5.0265006495820802E-2</v>
      </c>
      <c r="Q51" s="488" t="s">
        <v>384</v>
      </c>
      <c r="R51" s="489">
        <v>5.01049739365503E-2</v>
      </c>
      <c r="S51" s="488" t="s">
        <v>384</v>
      </c>
      <c r="T51" s="489">
        <v>4.8000000000000001E-2</v>
      </c>
      <c r="U51" s="755" t="s">
        <v>384</v>
      </c>
      <c r="V51" s="489">
        <v>4.8702868406092802E-2</v>
      </c>
      <c r="W51" s="491" t="s">
        <v>382</v>
      </c>
      <c r="X51" s="489">
        <v>4.8000000000000001E-2</v>
      </c>
      <c r="Y51" s="759" t="s">
        <v>382</v>
      </c>
      <c r="Z51" s="759">
        <v>4.74954867973107E-2</v>
      </c>
      <c r="AA51" s="498" t="s">
        <v>384</v>
      </c>
      <c r="AB51" s="489">
        <v>4.8306918238993697E-2</v>
      </c>
      <c r="AC51" s="761">
        <f t="shared" si="0"/>
        <v>6</v>
      </c>
      <c r="AD51" s="1347"/>
      <c r="AE51" s="1347"/>
      <c r="AF51" s="1347"/>
      <c r="AG51" s="1347"/>
      <c r="AH51" s="1347"/>
      <c r="AI51" s="1347"/>
      <c r="AJ51" s="1347"/>
      <c r="AK51" s="1347"/>
      <c r="AL51" s="1347"/>
      <c r="AM51" s="1347"/>
      <c r="AN51" s="1347"/>
      <c r="AO51" s="1347"/>
      <c r="AP51" s="1347"/>
      <c r="AQ51" s="1347"/>
      <c r="AR51" s="1347"/>
      <c r="AS51" s="1347"/>
      <c r="AT51" s="1347"/>
      <c r="AU51" s="1347"/>
      <c r="AV51" s="1347"/>
      <c r="AW51" s="1347"/>
      <c r="AX51" s="1347"/>
      <c r="AY51" s="1347"/>
      <c r="AZ51" s="1347"/>
      <c r="BA51" s="1347"/>
      <c r="BB51" s="475"/>
      <c r="BC51" s="475"/>
      <c r="BD51" s="475"/>
      <c r="BE51" s="475"/>
      <c r="BF51" s="475"/>
      <c r="BG51" s="475"/>
      <c r="BH51" s="475"/>
      <c r="BI51" s="475"/>
      <c r="BJ51" s="475"/>
      <c r="BK51" s="475"/>
      <c r="BL51" s="475"/>
      <c r="BM51" s="475"/>
      <c r="BN51" s="475"/>
      <c r="BO51" s="475"/>
      <c r="BP51" s="475"/>
      <c r="BQ51" s="475"/>
      <c r="BR51" s="475"/>
      <c r="BS51" s="475"/>
      <c r="BT51" s="475"/>
      <c r="BU51" s="475"/>
      <c r="BV51" s="475"/>
      <c r="BW51" s="475"/>
      <c r="BX51" s="475"/>
      <c r="BY51" s="475"/>
      <c r="BZ51" s="475"/>
      <c r="CA51" s="475"/>
      <c r="CB51" s="475"/>
      <c r="CC51" s="475"/>
      <c r="CD51" s="475"/>
      <c r="CE51" s="475"/>
      <c r="CF51" s="475"/>
      <c r="CG51" s="475"/>
      <c r="CH51" s="475"/>
      <c r="CI51" s="475"/>
      <c r="CJ51" s="475"/>
      <c r="CK51" s="475"/>
      <c r="CL51" s="475"/>
      <c r="CM51" s="475"/>
      <c r="CN51" s="475"/>
      <c r="CO51" s="475"/>
      <c r="CP51" s="475"/>
      <c r="CQ51" s="475"/>
      <c r="CR51" s="475"/>
      <c r="CS51" s="475"/>
      <c r="CT51" s="475"/>
      <c r="CU51" s="475"/>
      <c r="CV51" s="475"/>
      <c r="CW51" s="475"/>
      <c r="CX51" s="475"/>
      <c r="CY51" s="475"/>
      <c r="CZ51" s="475"/>
      <c r="DA51" s="475"/>
      <c r="DB51" s="475"/>
      <c r="DC51" s="475"/>
      <c r="DD51" s="475"/>
      <c r="DE51" s="475"/>
      <c r="DF51" s="475"/>
      <c r="DG51" s="475"/>
      <c r="DH51" s="475"/>
      <c r="DI51" s="475"/>
      <c r="DJ51" s="475"/>
      <c r="DK51" s="475"/>
      <c r="DL51" s="475"/>
      <c r="DM51" s="475"/>
      <c r="DN51" s="475"/>
      <c r="DO51" s="475"/>
      <c r="DP51" s="475"/>
      <c r="DQ51" s="475"/>
      <c r="DR51" s="766"/>
      <c r="DS51" s="474"/>
      <c r="DT51" s="474"/>
      <c r="DU51" s="474"/>
      <c r="DV51" s="474"/>
      <c r="DW51" s="474"/>
      <c r="DX51" s="474"/>
      <c r="DY51" s="474"/>
      <c r="DZ51" s="474"/>
      <c r="EA51" s="474"/>
      <c r="EB51" s="474"/>
      <c r="EC51" s="474"/>
    </row>
    <row r="52" spans="1:133" s="473" customFormat="1">
      <c r="A52" s="488"/>
      <c r="B52" s="752">
        <v>7</v>
      </c>
      <c r="C52" s="473" t="s">
        <v>385</v>
      </c>
      <c r="D52" s="753">
        <v>4.4290176553529403E-2</v>
      </c>
      <c r="E52" s="488" t="s">
        <v>385</v>
      </c>
      <c r="F52" s="489">
        <v>4.1942302824657801E-2</v>
      </c>
      <c r="G52" s="488" t="s">
        <v>385</v>
      </c>
      <c r="H52" s="489">
        <v>4.1236775091228903E-2</v>
      </c>
      <c r="I52" s="488" t="s">
        <v>385</v>
      </c>
      <c r="J52" s="489">
        <v>0.04</v>
      </c>
      <c r="K52" s="488" t="s">
        <v>386</v>
      </c>
      <c r="L52" s="489">
        <v>0.04</v>
      </c>
      <c r="M52" s="488" t="s">
        <v>385</v>
      </c>
      <c r="N52" s="489">
        <v>3.9107937180379498E-2</v>
      </c>
      <c r="O52" s="488" t="s">
        <v>383</v>
      </c>
      <c r="P52" s="489">
        <v>4.2774692741926197E-2</v>
      </c>
      <c r="Q52" s="488" t="s">
        <v>383</v>
      </c>
      <c r="R52" s="489">
        <v>4.2637698661097602E-2</v>
      </c>
      <c r="S52" s="488" t="s">
        <v>383</v>
      </c>
      <c r="T52" s="489">
        <v>4.8000000000000001E-2</v>
      </c>
      <c r="U52" s="755" t="s">
        <v>383</v>
      </c>
      <c r="V52" s="489">
        <v>4.7953756979752703E-2</v>
      </c>
      <c r="W52" s="491" t="s">
        <v>384</v>
      </c>
      <c r="X52" s="489">
        <v>4.8000000000000001E-2</v>
      </c>
      <c r="Y52" s="759" t="s">
        <v>383</v>
      </c>
      <c r="Z52" s="759">
        <v>4.6630561045152098E-2</v>
      </c>
      <c r="AA52" s="498" t="s">
        <v>387</v>
      </c>
      <c r="AB52" s="489">
        <v>4.2661635220125803E-2</v>
      </c>
      <c r="AC52" s="761">
        <f t="shared" si="0"/>
        <v>7</v>
      </c>
      <c r="AD52" s="1347"/>
      <c r="AE52" s="1347"/>
      <c r="AF52" s="1347"/>
      <c r="AG52" s="1347"/>
      <c r="AH52" s="1347"/>
      <c r="AI52" s="1347"/>
      <c r="AJ52" s="1347"/>
      <c r="AK52" s="1347"/>
      <c r="AL52" s="1347"/>
      <c r="AM52" s="1347"/>
      <c r="AN52" s="1347"/>
      <c r="AO52" s="1347"/>
      <c r="AP52" s="1347"/>
      <c r="AQ52" s="1347"/>
      <c r="AR52" s="1347"/>
      <c r="AS52" s="1347"/>
      <c r="AT52" s="1347"/>
      <c r="AU52" s="1347"/>
      <c r="AV52" s="1347"/>
      <c r="AW52" s="1347"/>
      <c r="AX52" s="1347"/>
      <c r="AY52" s="1347"/>
      <c r="AZ52" s="1347"/>
      <c r="BA52" s="1347"/>
      <c r="BB52" s="475"/>
      <c r="BC52" s="475"/>
      <c r="BD52" s="475"/>
      <c r="BE52" s="475"/>
      <c r="BF52" s="475"/>
      <c r="BG52" s="475"/>
      <c r="BH52" s="475"/>
      <c r="BI52" s="475"/>
      <c r="BJ52" s="475"/>
      <c r="BK52" s="475"/>
      <c r="BL52" s="475"/>
      <c r="BM52" s="475"/>
      <c r="BN52" s="475"/>
      <c r="BO52" s="475"/>
      <c r="BP52" s="475"/>
      <c r="BQ52" s="475"/>
      <c r="BR52" s="475"/>
      <c r="BS52" s="475"/>
      <c r="BT52" s="475"/>
      <c r="BU52" s="475"/>
      <c r="BV52" s="475"/>
      <c r="BW52" s="475"/>
      <c r="BX52" s="475"/>
      <c r="BY52" s="475"/>
      <c r="BZ52" s="475"/>
      <c r="CA52" s="475"/>
      <c r="CB52" s="475"/>
      <c r="CC52" s="475"/>
      <c r="CD52" s="475"/>
      <c r="CE52" s="475"/>
      <c r="CF52" s="475"/>
      <c r="CG52" s="475"/>
      <c r="CH52" s="475"/>
      <c r="CI52" s="475"/>
      <c r="CJ52" s="475"/>
      <c r="CK52" s="475"/>
      <c r="CL52" s="475"/>
      <c r="CM52" s="475"/>
      <c r="CN52" s="475"/>
      <c r="CO52" s="475"/>
      <c r="CP52" s="475"/>
      <c r="CQ52" s="475"/>
      <c r="CR52" s="475"/>
      <c r="CS52" s="475"/>
      <c r="CT52" s="475"/>
      <c r="CU52" s="475"/>
      <c r="CV52" s="475"/>
      <c r="CW52" s="475"/>
      <c r="CX52" s="475"/>
      <c r="CY52" s="475"/>
      <c r="CZ52" s="475"/>
      <c r="DA52" s="475"/>
      <c r="DB52" s="475"/>
      <c r="DC52" s="475"/>
      <c r="DD52" s="475"/>
      <c r="DE52" s="475"/>
      <c r="DF52" s="475"/>
      <c r="DG52" s="475"/>
      <c r="DH52" s="475"/>
      <c r="DI52" s="475"/>
      <c r="DJ52" s="475"/>
      <c r="DK52" s="475"/>
      <c r="DL52" s="475"/>
      <c r="DM52" s="475"/>
      <c r="DN52" s="475"/>
      <c r="DO52" s="475"/>
      <c r="DP52" s="475"/>
      <c r="DQ52" s="475"/>
      <c r="DR52" s="766"/>
      <c r="DS52" s="474"/>
      <c r="DT52" s="474"/>
      <c r="DU52" s="474"/>
      <c r="DV52" s="474"/>
      <c r="DW52" s="474"/>
      <c r="DX52" s="474"/>
      <c r="DY52" s="474"/>
      <c r="DZ52" s="474"/>
      <c r="EA52" s="474"/>
      <c r="EB52" s="474"/>
      <c r="EC52" s="474"/>
    </row>
    <row r="53" spans="1:133" s="473" customFormat="1">
      <c r="A53" s="488"/>
      <c r="B53" s="752">
        <v>8</v>
      </c>
      <c r="C53" s="473" t="s">
        <v>383</v>
      </c>
      <c r="D53" s="753">
        <v>4.2340464287882802E-2</v>
      </c>
      <c r="E53" s="488" t="s">
        <v>386</v>
      </c>
      <c r="F53" s="489">
        <v>3.7016767343699797E-2</v>
      </c>
      <c r="G53" s="488" t="s">
        <v>387</v>
      </c>
      <c r="H53" s="489">
        <v>3.7764826336929999E-2</v>
      </c>
      <c r="I53" s="488" t="s">
        <v>386</v>
      </c>
      <c r="J53" s="489">
        <v>0.04</v>
      </c>
      <c r="K53" s="488" t="s">
        <v>385</v>
      </c>
      <c r="L53" s="489">
        <v>3.9E-2</v>
      </c>
      <c r="M53" s="488" t="s">
        <v>383</v>
      </c>
      <c r="N53" s="489">
        <v>3.8309074953853599E-2</v>
      </c>
      <c r="O53" s="488" t="s">
        <v>387</v>
      </c>
      <c r="P53" s="489">
        <v>3.8756481449545299E-2</v>
      </c>
      <c r="Q53" s="488" t="s">
        <v>387</v>
      </c>
      <c r="R53" s="489">
        <v>3.7674287202043001E-2</v>
      </c>
      <c r="S53" s="488" t="s">
        <v>387</v>
      </c>
      <c r="T53" s="489">
        <v>0.04</v>
      </c>
      <c r="U53" s="755" t="s">
        <v>387</v>
      </c>
      <c r="V53" s="489">
        <v>4.0436078481375801E-2</v>
      </c>
      <c r="W53" s="491" t="s">
        <v>387</v>
      </c>
      <c r="X53" s="489">
        <v>4.2000000000000003E-2</v>
      </c>
      <c r="Y53" s="759" t="s">
        <v>387</v>
      </c>
      <c r="Z53" s="759">
        <v>4.2074614932037999E-2</v>
      </c>
      <c r="AA53" s="498" t="s">
        <v>383</v>
      </c>
      <c r="AB53" s="489">
        <v>4.2057861635220101E-2</v>
      </c>
      <c r="AC53" s="761">
        <f t="shared" si="0"/>
        <v>8</v>
      </c>
      <c r="AD53" s="1347"/>
      <c r="AE53" s="1347"/>
      <c r="AF53" s="1347"/>
      <c r="AG53" s="1347"/>
      <c r="AH53" s="1347"/>
      <c r="AI53" s="1347"/>
      <c r="AJ53" s="1347"/>
      <c r="AK53" s="1347"/>
      <c r="AL53" s="1347"/>
      <c r="AM53" s="1347"/>
      <c r="AN53" s="1347"/>
      <c r="AO53" s="1347"/>
      <c r="AP53" s="1347"/>
      <c r="AQ53" s="1347"/>
      <c r="AR53" s="1347"/>
      <c r="AS53" s="1347"/>
      <c r="AT53" s="1347"/>
      <c r="AU53" s="1347"/>
      <c r="AV53" s="1347"/>
      <c r="AW53" s="1347"/>
      <c r="AX53" s="1347"/>
      <c r="AY53" s="1347"/>
      <c r="AZ53" s="1347"/>
      <c r="BA53" s="1347"/>
      <c r="BB53" s="475"/>
      <c r="BC53" s="475"/>
      <c r="BD53" s="475"/>
      <c r="BE53" s="475"/>
      <c r="BF53" s="475"/>
      <c r="BG53" s="475"/>
      <c r="BH53" s="475"/>
      <c r="BI53" s="475"/>
      <c r="BJ53" s="475"/>
      <c r="BK53" s="475"/>
      <c r="BL53" s="475"/>
      <c r="BM53" s="475"/>
      <c r="BN53" s="475"/>
      <c r="BO53" s="475"/>
      <c r="BP53" s="475"/>
      <c r="BQ53" s="475"/>
      <c r="BR53" s="475"/>
      <c r="BS53" s="475"/>
      <c r="BT53" s="475"/>
      <c r="BU53" s="475"/>
      <c r="BV53" s="475"/>
      <c r="BW53" s="475"/>
      <c r="BX53" s="475"/>
      <c r="BY53" s="475"/>
      <c r="BZ53" s="475"/>
      <c r="CA53" s="475"/>
      <c r="CB53" s="475"/>
      <c r="CC53" s="475"/>
      <c r="CD53" s="475"/>
      <c r="CE53" s="475"/>
      <c r="CF53" s="475"/>
      <c r="CG53" s="475"/>
      <c r="CH53" s="475"/>
      <c r="CI53" s="475"/>
      <c r="CJ53" s="475"/>
      <c r="CK53" s="475"/>
      <c r="CL53" s="475"/>
      <c r="CM53" s="475"/>
      <c r="CN53" s="475"/>
      <c r="CO53" s="475"/>
      <c r="CP53" s="475"/>
      <c r="CQ53" s="475"/>
      <c r="CR53" s="475"/>
      <c r="CS53" s="475"/>
      <c r="CT53" s="475"/>
      <c r="CU53" s="475"/>
      <c r="CV53" s="475"/>
      <c r="CW53" s="475"/>
      <c r="CX53" s="475"/>
      <c r="CY53" s="475"/>
      <c r="CZ53" s="475"/>
      <c r="DA53" s="475"/>
      <c r="DB53" s="475"/>
      <c r="DC53" s="475"/>
      <c r="DD53" s="475"/>
      <c r="DE53" s="475"/>
      <c r="DF53" s="475"/>
      <c r="DG53" s="475"/>
      <c r="DH53" s="475"/>
      <c r="DI53" s="475"/>
      <c r="DJ53" s="475"/>
      <c r="DK53" s="475"/>
      <c r="DL53" s="475"/>
      <c r="DM53" s="475"/>
      <c r="DN53" s="475"/>
      <c r="DO53" s="475"/>
      <c r="DP53" s="475"/>
      <c r="DQ53" s="475"/>
      <c r="DR53" s="766"/>
      <c r="DS53" s="474"/>
      <c r="DT53" s="474"/>
      <c r="DU53" s="474"/>
      <c r="DV53" s="474"/>
      <c r="DW53" s="474"/>
      <c r="DX53" s="474"/>
      <c r="DY53" s="474"/>
      <c r="DZ53" s="474"/>
      <c r="EA53" s="474"/>
      <c r="EB53" s="474"/>
      <c r="EC53" s="474"/>
    </row>
    <row r="54" spans="1:133" s="473" customFormat="1">
      <c r="A54" s="488"/>
      <c r="B54" s="752">
        <v>9</v>
      </c>
      <c r="C54" s="473" t="s">
        <v>386</v>
      </c>
      <c r="D54" s="753">
        <v>3.97430967367619E-2</v>
      </c>
      <c r="E54" s="488" t="s">
        <v>383</v>
      </c>
      <c r="F54" s="489">
        <v>3.69141520211798E-2</v>
      </c>
      <c r="G54" s="488" t="s">
        <v>386</v>
      </c>
      <c r="H54" s="489">
        <v>3.5474259011314999E-2</v>
      </c>
      <c r="I54" s="488" t="s">
        <v>387</v>
      </c>
      <c r="J54" s="489">
        <v>3.7999999999999999E-2</v>
      </c>
      <c r="K54" s="488" t="s">
        <v>383</v>
      </c>
      <c r="L54" s="489">
        <v>3.5999999999999997E-2</v>
      </c>
      <c r="M54" s="488" t="s">
        <v>387</v>
      </c>
      <c r="N54" s="489">
        <v>3.7994371652494897E-2</v>
      </c>
      <c r="O54" s="488" t="s">
        <v>388</v>
      </c>
      <c r="P54" s="489">
        <v>3.66697708642316E-2</v>
      </c>
      <c r="Q54" s="488" t="s">
        <v>388</v>
      </c>
      <c r="R54" s="489">
        <v>3.5652361775084303E-2</v>
      </c>
      <c r="S54" s="488" t="s">
        <v>388</v>
      </c>
      <c r="T54" s="489">
        <v>3.5000000000000003E-2</v>
      </c>
      <c r="U54" s="755" t="s">
        <v>388</v>
      </c>
      <c r="V54" s="489">
        <v>3.4267863119809998E-2</v>
      </c>
      <c r="W54" s="491" t="s">
        <v>388</v>
      </c>
      <c r="X54" s="489">
        <v>3.3000000000000002E-2</v>
      </c>
      <c r="Y54" s="759" t="s">
        <v>388</v>
      </c>
      <c r="Z54" s="759">
        <v>3.2877235858212499E-2</v>
      </c>
      <c r="AA54" s="498" t="s">
        <v>388</v>
      </c>
      <c r="AB54" s="489">
        <v>3.1486792452830203E-2</v>
      </c>
      <c r="AC54" s="761">
        <f t="shared" si="0"/>
        <v>9</v>
      </c>
      <c r="AD54" s="1347"/>
      <c r="AE54" s="1347"/>
      <c r="AF54" s="1347"/>
      <c r="AG54" s="1347"/>
      <c r="AH54" s="1347"/>
      <c r="AI54" s="1347"/>
      <c r="AJ54" s="1347"/>
      <c r="AK54" s="1347"/>
      <c r="AL54" s="1347"/>
      <c r="AM54" s="1347"/>
      <c r="AN54" s="1347"/>
      <c r="AO54" s="1347"/>
      <c r="AP54" s="1347"/>
      <c r="AQ54" s="1347"/>
      <c r="AR54" s="1347"/>
      <c r="AS54" s="1347"/>
      <c r="AT54" s="1347"/>
      <c r="AU54" s="1347"/>
      <c r="AV54" s="1347"/>
      <c r="AW54" s="1347"/>
      <c r="AX54" s="1347"/>
      <c r="AY54" s="1347"/>
      <c r="AZ54" s="1347"/>
      <c r="BA54" s="1347"/>
      <c r="BB54" s="475"/>
      <c r="BC54" s="475"/>
      <c r="BD54" s="475"/>
      <c r="BE54" s="475"/>
      <c r="BF54" s="475"/>
      <c r="BG54" s="475"/>
      <c r="BH54" s="475"/>
      <c r="BI54" s="475"/>
      <c r="BJ54" s="475"/>
      <c r="BK54" s="475"/>
      <c r="BL54" s="475"/>
      <c r="BM54" s="475"/>
      <c r="BN54" s="475"/>
      <c r="BO54" s="475"/>
      <c r="BP54" s="475"/>
      <c r="BQ54" s="475"/>
      <c r="BR54" s="475"/>
      <c r="BS54" s="475"/>
      <c r="BT54" s="475"/>
      <c r="BU54" s="475"/>
      <c r="BV54" s="475"/>
      <c r="BW54" s="475"/>
      <c r="BX54" s="475"/>
      <c r="BY54" s="475"/>
      <c r="BZ54" s="475"/>
      <c r="CA54" s="475"/>
      <c r="CB54" s="475"/>
      <c r="CC54" s="475"/>
      <c r="CD54" s="475"/>
      <c r="CE54" s="475"/>
      <c r="CF54" s="475"/>
      <c r="CG54" s="475"/>
      <c r="CH54" s="475"/>
      <c r="CI54" s="475"/>
      <c r="CJ54" s="475"/>
      <c r="CK54" s="475"/>
      <c r="CL54" s="475"/>
      <c r="CM54" s="475"/>
      <c r="CN54" s="475"/>
      <c r="CO54" s="475"/>
      <c r="CP54" s="475"/>
      <c r="CQ54" s="475"/>
      <c r="CR54" s="475"/>
      <c r="CS54" s="475"/>
      <c r="CT54" s="475"/>
      <c r="CU54" s="475"/>
      <c r="CV54" s="475"/>
      <c r="CW54" s="475"/>
      <c r="CX54" s="475"/>
      <c r="CY54" s="475"/>
      <c r="CZ54" s="475"/>
      <c r="DA54" s="475"/>
      <c r="DB54" s="475"/>
      <c r="DC54" s="475"/>
      <c r="DD54" s="475"/>
      <c r="DE54" s="475"/>
      <c r="DF54" s="475"/>
      <c r="DG54" s="475"/>
      <c r="DH54" s="475"/>
      <c r="DI54" s="475"/>
      <c r="DJ54" s="475"/>
      <c r="DK54" s="475"/>
      <c r="DL54" s="475"/>
      <c r="DM54" s="475"/>
      <c r="DN54" s="475"/>
      <c r="DO54" s="475"/>
      <c r="DP54" s="475"/>
      <c r="DQ54" s="475"/>
      <c r="DR54" s="766"/>
      <c r="DS54" s="474"/>
      <c r="DT54" s="474"/>
      <c r="DU54" s="474"/>
      <c r="DV54" s="474"/>
      <c r="DW54" s="474"/>
      <c r="DX54" s="474"/>
      <c r="DY54" s="474"/>
      <c r="DZ54" s="474"/>
      <c r="EA54" s="474"/>
      <c r="EB54" s="474"/>
      <c r="EC54" s="474"/>
    </row>
    <row r="55" spans="1:133" s="473" customFormat="1">
      <c r="A55" s="488"/>
      <c r="B55" s="752">
        <v>10</v>
      </c>
      <c r="C55" s="473" t="s">
        <v>387</v>
      </c>
      <c r="D55" s="753">
        <v>3.7692188332759897E-2</v>
      </c>
      <c r="E55" s="488" t="s">
        <v>387</v>
      </c>
      <c r="F55" s="489">
        <v>3.6811536698659802E-2</v>
      </c>
      <c r="G55" s="488" t="s">
        <v>383</v>
      </c>
      <c r="H55" s="489">
        <v>3.5237982725578203E-2</v>
      </c>
      <c r="I55" s="488" t="s">
        <v>383</v>
      </c>
      <c r="J55" s="489">
        <v>3.6999999999999998E-2</v>
      </c>
      <c r="K55" s="488" t="s">
        <v>387</v>
      </c>
      <c r="L55" s="489">
        <v>3.5999999999999997E-2</v>
      </c>
      <c r="M55" s="488" t="s">
        <v>388</v>
      </c>
      <c r="N55" s="489">
        <v>3.3576421460344397E-2</v>
      </c>
      <c r="O55" s="488" t="s">
        <v>385</v>
      </c>
      <c r="P55" s="489">
        <v>3.5830487818898797E-2</v>
      </c>
      <c r="Q55" s="488" t="s">
        <v>385</v>
      </c>
      <c r="R55" s="489">
        <v>3.4162230433024403E-2</v>
      </c>
      <c r="S55" s="488" t="s">
        <v>385</v>
      </c>
      <c r="T55" s="489">
        <v>3.3000000000000002E-2</v>
      </c>
      <c r="U55" s="755" t="s">
        <v>385</v>
      </c>
      <c r="V55" s="489">
        <v>3.1467992753276698E-2</v>
      </c>
      <c r="W55" s="756" t="s">
        <v>385</v>
      </c>
      <c r="X55" s="500">
        <v>3.1E-2</v>
      </c>
      <c r="Y55" s="762" t="s">
        <v>385</v>
      </c>
      <c r="Z55" s="762">
        <v>3.0714921477816199E-2</v>
      </c>
      <c r="AA55" s="499" t="s">
        <v>385</v>
      </c>
      <c r="AB55" s="500">
        <v>3.0651572327044001E-2</v>
      </c>
      <c r="AC55" s="761">
        <f t="shared" si="0"/>
        <v>10</v>
      </c>
      <c r="AD55" s="1347"/>
      <c r="AE55" s="1347"/>
      <c r="AF55" s="1347"/>
      <c r="AG55" s="1347"/>
      <c r="AH55" s="1347"/>
      <c r="AI55" s="1347"/>
      <c r="AJ55" s="1347"/>
      <c r="AK55" s="1347"/>
      <c r="AL55" s="1347"/>
      <c r="AM55" s="1347"/>
      <c r="AN55" s="1347"/>
      <c r="AO55" s="1347"/>
      <c r="AP55" s="1347"/>
      <c r="AQ55" s="1347"/>
      <c r="AR55" s="1347"/>
      <c r="AS55" s="1347"/>
      <c r="AT55" s="1347"/>
      <c r="AU55" s="1347"/>
      <c r="AV55" s="1347"/>
      <c r="AW55" s="1347"/>
      <c r="AX55" s="1347"/>
      <c r="AY55" s="1347"/>
      <c r="AZ55" s="1347"/>
      <c r="BA55" s="1347"/>
      <c r="BB55" s="475"/>
      <c r="BC55" s="475"/>
      <c r="BD55" s="475"/>
      <c r="BE55" s="475"/>
      <c r="BF55" s="475"/>
      <c r="BG55" s="475"/>
      <c r="BH55" s="475"/>
      <c r="BI55" s="475"/>
      <c r="BJ55" s="475"/>
      <c r="BK55" s="475"/>
      <c r="BL55" s="475"/>
      <c r="BM55" s="475"/>
      <c r="BN55" s="475"/>
      <c r="BO55" s="475"/>
      <c r="BP55" s="475"/>
      <c r="BQ55" s="475"/>
      <c r="BR55" s="475"/>
      <c r="BS55" s="475"/>
      <c r="BT55" s="475"/>
      <c r="BU55" s="475"/>
      <c r="BV55" s="475"/>
      <c r="BW55" s="475"/>
      <c r="BX55" s="475"/>
      <c r="BY55" s="475"/>
      <c r="BZ55" s="475"/>
      <c r="CA55" s="475"/>
      <c r="CB55" s="475"/>
      <c r="CC55" s="475"/>
      <c r="CD55" s="475"/>
      <c r="CE55" s="475"/>
      <c r="CF55" s="475"/>
      <c r="CG55" s="475"/>
      <c r="CH55" s="475"/>
      <c r="CI55" s="475"/>
      <c r="CJ55" s="475"/>
      <c r="CK55" s="475"/>
      <c r="CL55" s="475"/>
      <c r="CM55" s="475"/>
      <c r="CN55" s="475"/>
      <c r="CO55" s="475"/>
      <c r="CP55" s="475"/>
      <c r="CQ55" s="475"/>
      <c r="CR55" s="475"/>
      <c r="CS55" s="475"/>
      <c r="CT55" s="475"/>
      <c r="CU55" s="475"/>
      <c r="CV55" s="475"/>
      <c r="CW55" s="475"/>
      <c r="CX55" s="475"/>
      <c r="CY55" s="475"/>
      <c r="CZ55" s="475"/>
      <c r="DA55" s="475"/>
      <c r="DB55" s="475"/>
      <c r="DC55" s="475"/>
      <c r="DD55" s="475"/>
      <c r="DE55" s="475"/>
      <c r="DF55" s="475"/>
      <c r="DG55" s="475"/>
      <c r="DH55" s="475"/>
      <c r="DI55" s="475"/>
      <c r="DJ55" s="475"/>
      <c r="DK55" s="475"/>
      <c r="DL55" s="475"/>
      <c r="DM55" s="475"/>
      <c r="DN55" s="475"/>
      <c r="DO55" s="475"/>
      <c r="DP55" s="475"/>
      <c r="DQ55" s="475"/>
      <c r="DR55" s="766"/>
      <c r="DS55" s="474"/>
      <c r="DT55" s="474"/>
      <c r="DU55" s="474"/>
      <c r="DV55" s="474"/>
      <c r="DW55" s="474"/>
      <c r="DX55" s="474"/>
      <c r="DY55" s="474"/>
      <c r="DZ55" s="474"/>
      <c r="EA55" s="474"/>
      <c r="EB55" s="474"/>
      <c r="EC55" s="474"/>
    </row>
    <row r="56" spans="1:133" s="473" customFormat="1">
      <c r="A56" s="748" t="s">
        <v>129</v>
      </c>
      <c r="B56" s="749">
        <v>1</v>
      </c>
      <c r="C56" s="750" t="s">
        <v>381</v>
      </c>
      <c r="D56" s="751">
        <v>0.10148520876728701</v>
      </c>
      <c r="E56" s="748" t="s">
        <v>381</v>
      </c>
      <c r="F56" s="494">
        <v>0.10302420789165601</v>
      </c>
      <c r="G56" s="748" t="s">
        <v>381</v>
      </c>
      <c r="H56" s="494">
        <v>0.100802501509019</v>
      </c>
      <c r="I56" s="748" t="s">
        <v>381</v>
      </c>
      <c r="J56" s="494">
        <v>9.7902958579881696E-2</v>
      </c>
      <c r="K56" s="748" t="s">
        <v>381</v>
      </c>
      <c r="L56" s="494">
        <v>9.4195297344092599E-2</v>
      </c>
      <c r="M56" s="748" t="s">
        <v>381</v>
      </c>
      <c r="N56" s="494">
        <v>9.3439758808169196E-2</v>
      </c>
      <c r="O56" s="748" t="s">
        <v>381</v>
      </c>
      <c r="P56" s="494">
        <v>9.2126574779578099E-2</v>
      </c>
      <c r="Q56" s="748" t="s">
        <v>381</v>
      </c>
      <c r="R56" s="494">
        <v>9.0999999999999998E-2</v>
      </c>
      <c r="S56" s="493" t="s">
        <v>381</v>
      </c>
      <c r="T56" s="494">
        <v>8.8752981213127094E-2</v>
      </c>
      <c r="U56" s="750" t="s">
        <v>381</v>
      </c>
      <c r="V56" s="757">
        <v>8.7999999999999995E-2</v>
      </c>
      <c r="W56" s="750" t="s">
        <v>381</v>
      </c>
      <c r="X56" s="757">
        <v>9.0397363641730302E-2</v>
      </c>
      <c r="Y56" s="763" t="s">
        <v>381</v>
      </c>
      <c r="Z56" s="757">
        <v>8.6197145390961002E-2</v>
      </c>
      <c r="AA56" s="753"/>
      <c r="AB56" s="753"/>
      <c r="AC56" s="761">
        <f t="shared" si="0"/>
        <v>11</v>
      </c>
      <c r="AD56" s="1347"/>
      <c r="AE56" s="1347"/>
      <c r="AF56" s="1347"/>
      <c r="AG56" s="1347"/>
      <c r="AH56" s="1347"/>
      <c r="AI56" s="1347"/>
      <c r="AJ56" s="1347"/>
      <c r="AK56" s="1347"/>
      <c r="AL56" s="1347"/>
      <c r="AM56" s="1347"/>
      <c r="AN56" s="1347"/>
      <c r="AO56" s="1347"/>
      <c r="AP56" s="1347"/>
      <c r="AQ56" s="1347"/>
      <c r="AR56" s="1347"/>
      <c r="AS56" s="1347"/>
      <c r="AT56" s="1347"/>
      <c r="AU56" s="1347"/>
      <c r="AV56" s="1347"/>
      <c r="AW56" s="1347"/>
      <c r="AX56" s="1347"/>
      <c r="AY56" s="1347"/>
      <c r="AZ56" s="1347"/>
      <c r="BA56" s="1347"/>
      <c r="BB56" s="475"/>
      <c r="BC56" s="475"/>
      <c r="BD56" s="475"/>
      <c r="BE56" s="475"/>
      <c r="BF56" s="475"/>
      <c r="BG56" s="475"/>
      <c r="BH56" s="475"/>
      <c r="BI56" s="475"/>
      <c r="BJ56" s="475"/>
      <c r="BK56" s="475"/>
      <c r="BL56" s="475"/>
      <c r="BM56" s="475"/>
      <c r="BN56" s="475"/>
      <c r="BO56" s="475"/>
      <c r="BP56" s="475"/>
      <c r="BQ56" s="475"/>
      <c r="BR56" s="475"/>
      <c r="BS56" s="475"/>
      <c r="BT56" s="475"/>
      <c r="BU56" s="475"/>
      <c r="BV56" s="475"/>
      <c r="BW56" s="475"/>
      <c r="BX56" s="475"/>
      <c r="BY56" s="475"/>
      <c r="BZ56" s="475"/>
      <c r="CA56" s="475"/>
      <c r="CB56" s="475"/>
      <c r="CC56" s="475"/>
      <c r="CD56" s="475"/>
      <c r="CE56" s="475"/>
      <c r="CF56" s="475"/>
      <c r="CG56" s="475"/>
      <c r="CH56" s="475"/>
      <c r="CI56" s="475"/>
      <c r="CJ56" s="475"/>
      <c r="CK56" s="475"/>
      <c r="CL56" s="475"/>
      <c r="CM56" s="475"/>
      <c r="CN56" s="475"/>
      <c r="CO56" s="475"/>
      <c r="CP56" s="475"/>
      <c r="CQ56" s="475"/>
      <c r="CR56" s="475"/>
      <c r="CS56" s="475"/>
      <c r="CT56" s="475"/>
      <c r="CU56" s="475"/>
      <c r="CV56" s="475"/>
      <c r="CW56" s="475"/>
      <c r="CX56" s="475"/>
      <c r="CY56" s="475"/>
      <c r="CZ56" s="475"/>
      <c r="DA56" s="475"/>
      <c r="DB56" s="475"/>
      <c r="DC56" s="475"/>
      <c r="DD56" s="475"/>
      <c r="DE56" s="475"/>
      <c r="DF56" s="475"/>
      <c r="DG56" s="475"/>
      <c r="DH56" s="475"/>
      <c r="DI56" s="475"/>
      <c r="DJ56" s="475"/>
      <c r="DK56" s="475"/>
      <c r="DL56" s="475"/>
      <c r="DM56" s="475"/>
      <c r="DN56" s="475"/>
      <c r="DO56" s="475"/>
      <c r="DP56" s="475"/>
      <c r="DQ56" s="475"/>
      <c r="DR56" s="766"/>
      <c r="DS56" s="474"/>
      <c r="DT56" s="474"/>
      <c r="DU56" s="474"/>
      <c r="DV56" s="474"/>
      <c r="DW56" s="474"/>
      <c r="DX56" s="474"/>
      <c r="DY56" s="474"/>
      <c r="DZ56" s="474"/>
      <c r="EA56" s="474"/>
      <c r="EB56" s="474"/>
      <c r="EC56" s="474"/>
    </row>
    <row r="57" spans="1:133" s="473" customFormat="1">
      <c r="A57" s="488"/>
      <c r="B57" s="752">
        <v>2</v>
      </c>
      <c r="C57" s="473" t="s">
        <v>389</v>
      </c>
      <c r="D57" s="753">
        <v>6.8053232441605299E-2</v>
      </c>
      <c r="E57" s="488" t="s">
        <v>380</v>
      </c>
      <c r="F57" s="489">
        <v>6.4089794915243303E-2</v>
      </c>
      <c r="G57" s="488" t="s">
        <v>380</v>
      </c>
      <c r="H57" s="489">
        <v>6.5519482018754696E-2</v>
      </c>
      <c r="I57" s="488" t="s">
        <v>380</v>
      </c>
      <c r="J57" s="489">
        <v>5.7871400394477301E-2</v>
      </c>
      <c r="K57" s="488" t="s">
        <v>390</v>
      </c>
      <c r="L57" s="489">
        <v>6.5187581753037904E-2</v>
      </c>
      <c r="M57" s="488" t="s">
        <v>390</v>
      </c>
      <c r="N57" s="489">
        <v>6.51041338160534E-2</v>
      </c>
      <c r="O57" s="488" t="s">
        <v>390</v>
      </c>
      <c r="P57" s="489">
        <v>6.0359985630825702E-2</v>
      </c>
      <c r="Q57" s="488" t="s">
        <v>390</v>
      </c>
      <c r="R57" s="489">
        <v>6.7000000000000004E-2</v>
      </c>
      <c r="S57" s="488" t="s">
        <v>390</v>
      </c>
      <c r="T57" s="489">
        <v>6.4596437886162997E-2</v>
      </c>
      <c r="U57" s="473" t="s">
        <v>380</v>
      </c>
      <c r="V57" s="758">
        <v>0.06</v>
      </c>
      <c r="W57" s="473" t="s">
        <v>380</v>
      </c>
      <c r="X57" s="758">
        <v>6.0234813680449202E-2</v>
      </c>
      <c r="Y57" s="764" t="s">
        <v>377</v>
      </c>
      <c r="Z57" s="758">
        <v>6.4364238743034999E-2</v>
      </c>
      <c r="AA57" s="753"/>
      <c r="AB57" s="753"/>
      <c r="AC57" s="761">
        <f t="shared" si="0"/>
        <v>12</v>
      </c>
      <c r="AD57" s="1347"/>
      <c r="AE57" s="1347"/>
      <c r="AF57" s="1347"/>
      <c r="AG57" s="1347"/>
      <c r="AH57" s="1347"/>
      <c r="AI57" s="1347"/>
      <c r="AJ57" s="1347"/>
      <c r="AK57" s="1347"/>
      <c r="AL57" s="1347"/>
      <c r="AM57" s="1347"/>
      <c r="AN57" s="1347"/>
      <c r="AO57" s="1347"/>
      <c r="AP57" s="1347"/>
      <c r="AQ57" s="1347"/>
      <c r="AR57" s="1347"/>
      <c r="AS57" s="1347"/>
      <c r="AT57" s="1347"/>
      <c r="AU57" s="1347"/>
      <c r="AV57" s="1347"/>
      <c r="AW57" s="1347"/>
      <c r="AX57" s="1347"/>
      <c r="AY57" s="1347"/>
      <c r="AZ57" s="1347"/>
      <c r="BA57" s="1347"/>
      <c r="BB57" s="475"/>
      <c r="BC57" s="475"/>
      <c r="BD57" s="475"/>
      <c r="BE57" s="475"/>
      <c r="BF57" s="475"/>
      <c r="BG57" s="475"/>
      <c r="BH57" s="475"/>
      <c r="BI57" s="475"/>
      <c r="BJ57" s="475"/>
      <c r="BK57" s="475"/>
      <c r="BL57" s="475"/>
      <c r="BM57" s="475"/>
      <c r="BN57" s="475"/>
      <c r="BO57" s="475"/>
      <c r="BP57" s="475"/>
      <c r="BQ57" s="475"/>
      <c r="BR57" s="475"/>
      <c r="BS57" s="475"/>
      <c r="BT57" s="475"/>
      <c r="BU57" s="475"/>
      <c r="BV57" s="475"/>
      <c r="BW57" s="475"/>
      <c r="BX57" s="475"/>
      <c r="BY57" s="475"/>
      <c r="BZ57" s="475"/>
      <c r="CA57" s="475"/>
      <c r="CB57" s="475"/>
      <c r="CC57" s="475"/>
      <c r="CD57" s="475"/>
      <c r="CE57" s="475"/>
      <c r="CF57" s="475"/>
      <c r="CG57" s="475"/>
      <c r="CH57" s="475"/>
      <c r="CI57" s="475"/>
      <c r="CJ57" s="475"/>
      <c r="CK57" s="475"/>
      <c r="CL57" s="475"/>
      <c r="CM57" s="475"/>
      <c r="CN57" s="475"/>
      <c r="CO57" s="475"/>
      <c r="CP57" s="475"/>
      <c r="CQ57" s="475"/>
      <c r="CR57" s="475"/>
      <c r="CS57" s="475"/>
      <c r="CT57" s="475"/>
      <c r="CU57" s="475"/>
      <c r="CV57" s="475"/>
      <c r="CW57" s="475"/>
      <c r="CX57" s="475"/>
      <c r="CY57" s="475"/>
      <c r="CZ57" s="475"/>
      <c r="DA57" s="475"/>
      <c r="DB57" s="475"/>
      <c r="DC57" s="475"/>
      <c r="DD57" s="475"/>
      <c r="DE57" s="475"/>
      <c r="DF57" s="475"/>
      <c r="DG57" s="475"/>
      <c r="DH57" s="475"/>
      <c r="DI57" s="475"/>
      <c r="DJ57" s="475"/>
      <c r="DK57" s="475"/>
      <c r="DL57" s="475"/>
      <c r="DM57" s="475"/>
      <c r="DN57" s="475"/>
      <c r="DO57" s="475"/>
      <c r="DP57" s="475"/>
      <c r="DQ57" s="475"/>
      <c r="DR57" s="766"/>
      <c r="DS57" s="474"/>
      <c r="DT57" s="474"/>
      <c r="DU57" s="474"/>
      <c r="DV57" s="474"/>
      <c r="DW57" s="474"/>
      <c r="DX57" s="474"/>
      <c r="DY57" s="474"/>
      <c r="DZ57" s="474"/>
      <c r="EA57" s="474"/>
      <c r="EB57" s="474"/>
      <c r="EC57" s="474"/>
    </row>
    <row r="58" spans="1:133" s="473" customFormat="1">
      <c r="A58" s="488"/>
      <c r="B58" s="752">
        <v>3</v>
      </c>
      <c r="C58" s="473" t="s">
        <v>380</v>
      </c>
      <c r="D58" s="753">
        <v>6.6220628788221297E-2</v>
      </c>
      <c r="E58" s="488" t="s">
        <v>389</v>
      </c>
      <c r="F58" s="489">
        <v>6.1800296211979099E-2</v>
      </c>
      <c r="G58" s="488" t="s">
        <v>389</v>
      </c>
      <c r="H58" s="489">
        <v>5.66038980529526E-2</v>
      </c>
      <c r="I58" s="488" t="s">
        <v>391</v>
      </c>
      <c r="J58" s="489">
        <v>5.7243392504930997E-2</v>
      </c>
      <c r="K58" s="488" t="s">
        <v>380</v>
      </c>
      <c r="L58" s="489">
        <v>5.5156049566827403E-2</v>
      </c>
      <c r="M58" s="488" t="s">
        <v>380</v>
      </c>
      <c r="N58" s="489">
        <v>5.5611620602222703E-2</v>
      </c>
      <c r="O58" s="488" t="s">
        <v>380</v>
      </c>
      <c r="P58" s="489">
        <v>5.6868528357061403E-2</v>
      </c>
      <c r="Q58" s="488" t="s">
        <v>380</v>
      </c>
      <c r="R58" s="489">
        <v>5.7000000000000002E-2</v>
      </c>
      <c r="S58" s="488" t="s">
        <v>380</v>
      </c>
      <c r="T58" s="489">
        <v>5.8090070991227198E-2</v>
      </c>
      <c r="U58" s="473" t="s">
        <v>390</v>
      </c>
      <c r="V58" s="758">
        <v>5.8000000000000003E-2</v>
      </c>
      <c r="W58" s="473" t="s">
        <v>390</v>
      </c>
      <c r="X58" s="758">
        <v>5.9522941386866098E-2</v>
      </c>
      <c r="Y58" s="764" t="s">
        <v>390</v>
      </c>
      <c r="Z58" s="758">
        <v>6.2339574653213499E-2</v>
      </c>
      <c r="AA58" s="753"/>
      <c r="AB58" s="753"/>
      <c r="AC58" s="761">
        <f t="shared" si="0"/>
        <v>13</v>
      </c>
      <c r="AD58" s="1347"/>
      <c r="AE58" s="1347"/>
      <c r="AF58" s="1347"/>
      <c r="AG58" s="1347"/>
      <c r="AH58" s="1347"/>
      <c r="AI58" s="1347"/>
      <c r="AJ58" s="1347"/>
      <c r="AK58" s="1347"/>
      <c r="AL58" s="1347"/>
      <c r="AM58" s="1347"/>
      <c r="AN58" s="1347"/>
      <c r="AO58" s="1347"/>
      <c r="AP58" s="1347"/>
      <c r="AQ58" s="1347"/>
      <c r="AR58" s="1347"/>
      <c r="AS58" s="1347"/>
      <c r="AT58" s="1347"/>
      <c r="AU58" s="1347"/>
      <c r="AV58" s="1347"/>
      <c r="AW58" s="1347"/>
      <c r="AX58" s="1347"/>
      <c r="AY58" s="1347"/>
      <c r="AZ58" s="1347"/>
      <c r="BA58" s="1347"/>
      <c r="BB58" s="475"/>
      <c r="BC58" s="475"/>
      <c r="BD58" s="475"/>
      <c r="BE58" s="475"/>
      <c r="BF58" s="475"/>
      <c r="BG58" s="475"/>
      <c r="BH58" s="475"/>
      <c r="BI58" s="475"/>
      <c r="BJ58" s="475"/>
      <c r="BK58" s="475"/>
      <c r="BL58" s="475"/>
      <c r="BM58" s="475"/>
      <c r="BN58" s="475"/>
      <c r="BO58" s="475"/>
      <c r="BP58" s="475"/>
      <c r="BQ58" s="475"/>
      <c r="BR58" s="475"/>
      <c r="BS58" s="475"/>
      <c r="BT58" s="475"/>
      <c r="BU58" s="475"/>
      <c r="BV58" s="475"/>
      <c r="BW58" s="475"/>
      <c r="BX58" s="475"/>
      <c r="BY58" s="475"/>
      <c r="BZ58" s="475"/>
      <c r="CA58" s="475"/>
      <c r="CB58" s="475"/>
      <c r="CC58" s="475"/>
      <c r="CD58" s="475"/>
      <c r="CE58" s="475"/>
      <c r="CF58" s="475"/>
      <c r="CG58" s="475"/>
      <c r="CH58" s="475"/>
      <c r="CI58" s="475"/>
      <c r="CJ58" s="475"/>
      <c r="CK58" s="475"/>
      <c r="CL58" s="475"/>
      <c r="CM58" s="475"/>
      <c r="CN58" s="475"/>
      <c r="CO58" s="475"/>
      <c r="CP58" s="475"/>
      <c r="CQ58" s="475"/>
      <c r="CR58" s="475"/>
      <c r="CS58" s="475"/>
      <c r="CT58" s="475"/>
      <c r="CU58" s="475"/>
      <c r="CV58" s="475"/>
      <c r="CW58" s="475"/>
      <c r="CX58" s="475"/>
      <c r="CY58" s="475"/>
      <c r="CZ58" s="475"/>
      <c r="DA58" s="475"/>
      <c r="DB58" s="475"/>
      <c r="DC58" s="475"/>
      <c r="DD58" s="475"/>
      <c r="DE58" s="475"/>
      <c r="DF58" s="475"/>
      <c r="DG58" s="475"/>
      <c r="DH58" s="475"/>
      <c r="DI58" s="475"/>
      <c r="DJ58" s="475"/>
      <c r="DK58" s="475"/>
      <c r="DL58" s="475"/>
      <c r="DM58" s="475"/>
      <c r="DN58" s="475"/>
      <c r="DO58" s="475"/>
      <c r="DP58" s="475"/>
      <c r="DQ58" s="475"/>
      <c r="DR58" s="766"/>
      <c r="DS58" s="474"/>
      <c r="DT58" s="474"/>
      <c r="DU58" s="474"/>
      <c r="DV58" s="474"/>
      <c r="DW58" s="474"/>
      <c r="DX58" s="474"/>
      <c r="DY58" s="474"/>
      <c r="DZ58" s="474"/>
      <c r="EA58" s="474"/>
      <c r="EB58" s="474"/>
      <c r="EC58" s="474"/>
    </row>
    <row r="59" spans="1:133" s="473" customFormat="1">
      <c r="A59" s="488"/>
      <c r="B59" s="752">
        <v>4</v>
      </c>
      <c r="C59" s="473" t="s">
        <v>392</v>
      </c>
      <c r="D59" s="753">
        <v>5.9098859751920398E-2</v>
      </c>
      <c r="E59" s="488" t="s">
        <v>392</v>
      </c>
      <c r="F59" s="489">
        <v>5.50805528427942E-2</v>
      </c>
      <c r="G59" s="488" t="s">
        <v>390</v>
      </c>
      <c r="H59" s="489">
        <v>5.1514461849018901E-2</v>
      </c>
      <c r="I59" s="488" t="s">
        <v>389</v>
      </c>
      <c r="J59" s="489">
        <v>5.5425641025641001E-2</v>
      </c>
      <c r="K59" s="488" t="s">
        <v>389</v>
      </c>
      <c r="L59" s="489">
        <v>5.45051848013599E-2</v>
      </c>
      <c r="M59" s="488" t="s">
        <v>389</v>
      </c>
      <c r="N59" s="489">
        <v>5.0335549304302903E-2</v>
      </c>
      <c r="O59" s="488" t="s">
        <v>384</v>
      </c>
      <c r="P59" s="489">
        <v>5.0610374795964003E-2</v>
      </c>
      <c r="Q59" s="488" t="s">
        <v>384</v>
      </c>
      <c r="R59" s="489">
        <v>4.9000000000000002E-2</v>
      </c>
      <c r="S59" s="488" t="s">
        <v>378</v>
      </c>
      <c r="T59" s="489">
        <v>5.6625615420019801E-2</v>
      </c>
      <c r="U59" s="473" t="s">
        <v>378</v>
      </c>
      <c r="V59" s="758">
        <v>5.7000000000000002E-2</v>
      </c>
      <c r="W59" s="473" t="s">
        <v>378</v>
      </c>
      <c r="X59" s="758">
        <v>5.6432373868383498E-2</v>
      </c>
      <c r="Y59" s="764" t="s">
        <v>380</v>
      </c>
      <c r="Z59" s="758">
        <v>5.9802888074561203E-2</v>
      </c>
      <c r="AA59" s="753"/>
      <c r="AB59" s="753"/>
      <c r="AC59" s="761">
        <f t="shared" si="0"/>
        <v>14</v>
      </c>
      <c r="AD59" s="1347"/>
      <c r="AE59" s="1347"/>
      <c r="AF59" s="1347"/>
      <c r="AG59" s="1347"/>
      <c r="AH59" s="1347"/>
      <c r="AI59" s="1347"/>
      <c r="AJ59" s="1347"/>
      <c r="AK59" s="1347"/>
      <c r="AL59" s="1347"/>
      <c r="AM59" s="1347"/>
      <c r="AN59" s="1347"/>
      <c r="AO59" s="1347"/>
      <c r="AP59" s="1347"/>
      <c r="AQ59" s="1347"/>
      <c r="AR59" s="1347"/>
      <c r="AS59" s="1347"/>
      <c r="AT59" s="1347"/>
      <c r="AU59" s="1347"/>
      <c r="AV59" s="1347"/>
      <c r="AW59" s="1347"/>
      <c r="AX59" s="1347"/>
      <c r="AY59" s="1347"/>
      <c r="AZ59" s="1347"/>
      <c r="BA59" s="1347"/>
      <c r="BB59" s="475"/>
      <c r="BC59" s="475"/>
      <c r="BD59" s="475"/>
      <c r="BE59" s="475"/>
      <c r="BF59" s="475"/>
      <c r="BG59" s="475"/>
      <c r="BH59" s="475"/>
      <c r="BI59" s="475"/>
      <c r="BJ59" s="475"/>
      <c r="BK59" s="475"/>
      <c r="BL59" s="475"/>
      <c r="BM59" s="475"/>
      <c r="BN59" s="475"/>
      <c r="BO59" s="475"/>
      <c r="BP59" s="475"/>
      <c r="BQ59" s="475"/>
      <c r="BR59" s="475"/>
      <c r="BS59" s="475"/>
      <c r="BT59" s="475"/>
      <c r="BU59" s="475"/>
      <c r="BV59" s="475"/>
      <c r="BW59" s="475"/>
      <c r="BX59" s="475"/>
      <c r="BY59" s="475"/>
      <c r="BZ59" s="475"/>
      <c r="CA59" s="475"/>
      <c r="CB59" s="475"/>
      <c r="CC59" s="475"/>
      <c r="CD59" s="475"/>
      <c r="CE59" s="475"/>
      <c r="CF59" s="475"/>
      <c r="CG59" s="475"/>
      <c r="CH59" s="475"/>
      <c r="CI59" s="475"/>
      <c r="CJ59" s="475"/>
      <c r="CK59" s="475"/>
      <c r="CL59" s="475"/>
      <c r="CM59" s="475"/>
      <c r="CN59" s="475"/>
      <c r="CO59" s="475"/>
      <c r="CP59" s="475"/>
      <c r="CQ59" s="475"/>
      <c r="CR59" s="475"/>
      <c r="CS59" s="475"/>
      <c r="CT59" s="475"/>
      <c r="CU59" s="475"/>
      <c r="CV59" s="475"/>
      <c r="CW59" s="475"/>
      <c r="CX59" s="475"/>
      <c r="CY59" s="475"/>
      <c r="CZ59" s="475"/>
      <c r="DA59" s="475"/>
      <c r="DB59" s="475"/>
      <c r="DC59" s="475"/>
      <c r="DD59" s="475"/>
      <c r="DE59" s="475"/>
      <c r="DF59" s="475"/>
      <c r="DG59" s="475"/>
      <c r="DH59" s="475"/>
      <c r="DI59" s="475"/>
      <c r="DJ59" s="475"/>
      <c r="DK59" s="475"/>
      <c r="DL59" s="475"/>
      <c r="DM59" s="475"/>
      <c r="DN59" s="475"/>
      <c r="DO59" s="475"/>
      <c r="DP59" s="475"/>
      <c r="DQ59" s="475"/>
      <c r="DR59" s="766"/>
      <c r="DS59" s="474"/>
      <c r="DT59" s="474"/>
      <c r="DU59" s="474"/>
      <c r="DV59" s="474"/>
      <c r="DW59" s="474"/>
      <c r="DX59" s="474"/>
      <c r="DY59" s="474"/>
      <c r="DZ59" s="474"/>
      <c r="EA59" s="474"/>
      <c r="EB59" s="474"/>
      <c r="EC59" s="474"/>
    </row>
    <row r="60" spans="1:133" s="473" customFormat="1">
      <c r="A60" s="488"/>
      <c r="B60" s="752">
        <v>5</v>
      </c>
      <c r="C60" s="473" t="s">
        <v>393</v>
      </c>
      <c r="D60" s="753">
        <v>5.8914556158695799E-2</v>
      </c>
      <c r="E60" s="488" t="s">
        <v>393</v>
      </c>
      <c r="F60" s="489">
        <v>5.2069926723106501E-2</v>
      </c>
      <c r="G60" s="488" t="s">
        <v>392</v>
      </c>
      <c r="H60" s="489">
        <v>4.8545898930327798E-2</v>
      </c>
      <c r="I60" s="488" t="s">
        <v>384</v>
      </c>
      <c r="J60" s="489">
        <v>4.70848126232742E-2</v>
      </c>
      <c r="K60" s="488" t="s">
        <v>378</v>
      </c>
      <c r="L60" s="489">
        <v>4.8678997289116697E-2</v>
      </c>
      <c r="M60" s="488" t="s">
        <v>378</v>
      </c>
      <c r="N60" s="489">
        <v>4.9890883402924101E-2</v>
      </c>
      <c r="O60" s="488" t="s">
        <v>378</v>
      </c>
      <c r="P60" s="489">
        <v>4.9964392177623197E-2</v>
      </c>
      <c r="Q60" s="488" t="s">
        <v>378</v>
      </c>
      <c r="R60" s="489">
        <v>5.1999999999999998E-2</v>
      </c>
      <c r="S60" s="488" t="s">
        <v>384</v>
      </c>
      <c r="T60" s="489">
        <v>4.8693147742646298E-2</v>
      </c>
      <c r="U60" s="473" t="s">
        <v>384</v>
      </c>
      <c r="V60" s="758">
        <v>4.9000000000000002E-2</v>
      </c>
      <c r="W60" s="473" t="s">
        <v>384</v>
      </c>
      <c r="X60" s="758">
        <v>4.7355133988255797E-2</v>
      </c>
      <c r="Y60" s="764" t="s">
        <v>378</v>
      </c>
      <c r="Z60" s="758">
        <v>5.6951625587738197E-2</v>
      </c>
      <c r="AA60" s="753"/>
      <c r="AB60" s="753"/>
      <c r="AC60" s="761">
        <f t="shared" si="0"/>
        <v>15</v>
      </c>
      <c r="AD60" s="1347"/>
      <c r="AE60" s="1347"/>
      <c r="AF60" s="1347"/>
      <c r="AG60" s="1347"/>
      <c r="AH60" s="1347"/>
      <c r="AI60" s="1347"/>
      <c r="AJ60" s="1347"/>
      <c r="AK60" s="1347"/>
      <c r="AL60" s="1347"/>
      <c r="AM60" s="1347"/>
      <c r="AN60" s="1347"/>
      <c r="AO60" s="1347"/>
      <c r="AP60" s="1347"/>
      <c r="AQ60" s="1347"/>
      <c r="AR60" s="1347"/>
      <c r="AS60" s="1347"/>
      <c r="AT60" s="1347"/>
      <c r="AU60" s="1347"/>
      <c r="AV60" s="1347"/>
      <c r="AW60" s="1347"/>
      <c r="AX60" s="1347"/>
      <c r="AY60" s="1347"/>
      <c r="AZ60" s="1347"/>
      <c r="BA60" s="1347"/>
      <c r="BB60" s="475"/>
      <c r="BC60" s="475"/>
      <c r="BD60" s="475"/>
      <c r="BE60" s="475"/>
      <c r="BF60" s="475"/>
      <c r="BG60" s="475"/>
      <c r="BH60" s="475"/>
      <c r="BI60" s="475"/>
      <c r="BJ60" s="475"/>
      <c r="BK60" s="475"/>
      <c r="BL60" s="475"/>
      <c r="BM60" s="475"/>
      <c r="BN60" s="475"/>
      <c r="BO60" s="475"/>
      <c r="BP60" s="475"/>
      <c r="BQ60" s="475"/>
      <c r="BR60" s="475"/>
      <c r="BS60" s="475"/>
      <c r="BT60" s="475"/>
      <c r="BU60" s="475"/>
      <c r="BV60" s="475"/>
      <c r="BW60" s="475"/>
      <c r="BX60" s="475"/>
      <c r="BY60" s="475"/>
      <c r="BZ60" s="475"/>
      <c r="CA60" s="475"/>
      <c r="CB60" s="475"/>
      <c r="CC60" s="475"/>
      <c r="CD60" s="475"/>
      <c r="CE60" s="475"/>
      <c r="CF60" s="475"/>
      <c r="CG60" s="475"/>
      <c r="CH60" s="475"/>
      <c r="CI60" s="475"/>
      <c r="CJ60" s="475"/>
      <c r="CK60" s="475"/>
      <c r="CL60" s="475"/>
      <c r="CM60" s="475"/>
      <c r="CN60" s="475"/>
      <c r="CO60" s="475"/>
      <c r="CP60" s="475"/>
      <c r="CQ60" s="475"/>
      <c r="CR60" s="475"/>
      <c r="CS60" s="475"/>
      <c r="CT60" s="475"/>
      <c r="CU60" s="475"/>
      <c r="CV60" s="475"/>
      <c r="CW60" s="475"/>
      <c r="CX60" s="475"/>
      <c r="CY60" s="475"/>
      <c r="CZ60" s="475"/>
      <c r="DA60" s="475"/>
      <c r="DB60" s="475"/>
      <c r="DC60" s="475"/>
      <c r="DD60" s="475"/>
      <c r="DE60" s="475"/>
      <c r="DF60" s="475"/>
      <c r="DG60" s="475"/>
      <c r="DH60" s="475"/>
      <c r="DI60" s="475"/>
      <c r="DJ60" s="475"/>
      <c r="DK60" s="475"/>
      <c r="DL60" s="475"/>
      <c r="DM60" s="475"/>
      <c r="DN60" s="475"/>
      <c r="DO60" s="475"/>
      <c r="DP60" s="475"/>
      <c r="DQ60" s="475"/>
      <c r="DR60" s="766"/>
      <c r="DS60" s="474"/>
      <c r="DT60" s="474"/>
      <c r="DU60" s="474"/>
      <c r="DV60" s="474"/>
      <c r="DW60" s="474"/>
      <c r="DX60" s="474"/>
      <c r="DY60" s="474"/>
      <c r="DZ60" s="474"/>
      <c r="EA60" s="474"/>
      <c r="EB60" s="474"/>
      <c r="EC60" s="474"/>
    </row>
    <row r="61" spans="1:133" s="473" customFormat="1">
      <c r="A61" s="488"/>
      <c r="B61" s="752">
        <v>6</v>
      </c>
      <c r="C61" s="473" t="s">
        <v>384</v>
      </c>
      <c r="D61" s="753">
        <v>5.0572210495568003E-2</v>
      </c>
      <c r="E61" s="488" t="s">
        <v>384</v>
      </c>
      <c r="F61" s="489">
        <v>4.8024498929626999E-2</v>
      </c>
      <c r="G61" s="488" t="s">
        <v>384</v>
      </c>
      <c r="H61" s="489">
        <v>4.6415130435356201E-2</v>
      </c>
      <c r="I61" s="488" t="s">
        <v>378</v>
      </c>
      <c r="J61" s="489">
        <v>4.6794477317554199E-2</v>
      </c>
      <c r="K61" s="488" t="s">
        <v>384</v>
      </c>
      <c r="L61" s="489">
        <v>4.7927027317362897E-2</v>
      </c>
      <c r="M61" s="488" t="s">
        <v>384</v>
      </c>
      <c r="N61" s="489">
        <v>4.9077239413167197E-2</v>
      </c>
      <c r="O61" s="488" t="s">
        <v>389</v>
      </c>
      <c r="P61" s="489">
        <v>4.8669275806217799E-2</v>
      </c>
      <c r="Q61" s="488" t="s">
        <v>389</v>
      </c>
      <c r="R61" s="489">
        <v>4.8000000000000001E-2</v>
      </c>
      <c r="S61" s="488" t="s">
        <v>389</v>
      </c>
      <c r="T61" s="489">
        <v>4.4561290952454001E-2</v>
      </c>
      <c r="U61" s="473" t="s">
        <v>382</v>
      </c>
      <c r="V61" s="758">
        <v>4.2999999999999997E-2</v>
      </c>
      <c r="W61" s="473" t="s">
        <v>392</v>
      </c>
      <c r="X61" s="758">
        <v>4.13198459577808E-2</v>
      </c>
      <c r="Y61" s="764" t="s">
        <v>384</v>
      </c>
      <c r="Z61" s="758">
        <v>4.52654652544216E-2</v>
      </c>
      <c r="AA61" s="753"/>
      <c r="AB61" s="753"/>
      <c r="AC61" s="761">
        <f t="shared" si="0"/>
        <v>16</v>
      </c>
      <c r="AD61" s="1347"/>
      <c r="AE61" s="1347"/>
      <c r="AF61" s="1347"/>
      <c r="AG61" s="1347"/>
      <c r="AH61" s="1347"/>
      <c r="AI61" s="1347"/>
      <c r="AJ61" s="1347"/>
      <c r="AK61" s="1347"/>
      <c r="AL61" s="1347"/>
      <c r="AM61" s="1347"/>
      <c r="AN61" s="1347"/>
      <c r="AO61" s="1347"/>
      <c r="AP61" s="1347"/>
      <c r="AQ61" s="1347"/>
      <c r="AR61" s="1347"/>
      <c r="AS61" s="1347"/>
      <c r="AT61" s="1347"/>
      <c r="AU61" s="1347"/>
      <c r="AV61" s="1347"/>
      <c r="AW61" s="1347"/>
      <c r="AX61" s="1347"/>
      <c r="AY61" s="1347"/>
      <c r="AZ61" s="1347"/>
      <c r="BA61" s="1347"/>
      <c r="BB61" s="475"/>
      <c r="BC61" s="475"/>
      <c r="BD61" s="475"/>
      <c r="BE61" s="475"/>
      <c r="BF61" s="475"/>
      <c r="BG61" s="475"/>
      <c r="BH61" s="475"/>
      <c r="BI61" s="475"/>
      <c r="BJ61" s="475"/>
      <c r="BK61" s="475"/>
      <c r="BL61" s="475"/>
      <c r="BM61" s="475"/>
      <c r="BN61" s="475"/>
      <c r="BO61" s="475"/>
      <c r="BP61" s="475"/>
      <c r="BQ61" s="475"/>
      <c r="BR61" s="475"/>
      <c r="BS61" s="475"/>
      <c r="BT61" s="475"/>
      <c r="BU61" s="475"/>
      <c r="BV61" s="475"/>
      <c r="BW61" s="475"/>
      <c r="BX61" s="475"/>
      <c r="BY61" s="475"/>
      <c r="BZ61" s="475"/>
      <c r="CA61" s="475"/>
      <c r="CB61" s="475"/>
      <c r="CC61" s="475"/>
      <c r="CD61" s="475"/>
      <c r="CE61" s="475"/>
      <c r="CF61" s="475"/>
      <c r="CG61" s="475"/>
      <c r="CH61" s="475"/>
      <c r="CI61" s="475"/>
      <c r="CJ61" s="475"/>
      <c r="CK61" s="475"/>
      <c r="CL61" s="475"/>
      <c r="CM61" s="475"/>
      <c r="CN61" s="475"/>
      <c r="CO61" s="475"/>
      <c r="CP61" s="475"/>
      <c r="CQ61" s="475"/>
      <c r="CR61" s="475"/>
      <c r="CS61" s="475"/>
      <c r="CT61" s="475"/>
      <c r="CU61" s="475"/>
      <c r="CV61" s="475"/>
      <c r="CW61" s="475"/>
      <c r="CX61" s="475"/>
      <c r="CY61" s="475"/>
      <c r="CZ61" s="475"/>
      <c r="DA61" s="475"/>
      <c r="DB61" s="475"/>
      <c r="DC61" s="475"/>
      <c r="DD61" s="475"/>
      <c r="DE61" s="475"/>
      <c r="DF61" s="475"/>
      <c r="DG61" s="475"/>
      <c r="DH61" s="475"/>
      <c r="DI61" s="475"/>
      <c r="DJ61" s="475"/>
      <c r="DK61" s="475"/>
      <c r="DL61" s="475"/>
      <c r="DM61" s="475"/>
      <c r="DN61" s="475"/>
      <c r="DO61" s="475"/>
      <c r="DP61" s="475"/>
      <c r="DQ61" s="475"/>
      <c r="DR61" s="766"/>
      <c r="DS61" s="474"/>
      <c r="DT61" s="474"/>
      <c r="DU61" s="474"/>
      <c r="DV61" s="474"/>
      <c r="DW61" s="474"/>
      <c r="DX61" s="474"/>
      <c r="DY61" s="474"/>
      <c r="DZ61" s="474"/>
      <c r="EA61" s="474"/>
      <c r="EB61" s="474"/>
      <c r="EC61" s="474"/>
    </row>
    <row r="62" spans="1:133" s="473" customFormat="1">
      <c r="A62" s="488"/>
      <c r="B62" s="752">
        <v>7</v>
      </c>
      <c r="C62" s="473" t="s">
        <v>382</v>
      </c>
      <c r="D62" s="753">
        <v>4.5898549565495599E-2</v>
      </c>
      <c r="E62" s="488" t="s">
        <v>382</v>
      </c>
      <c r="F62" s="489">
        <v>4.7364812862584801E-2</v>
      </c>
      <c r="G62" s="488" t="s">
        <v>394</v>
      </c>
      <c r="H62" s="489">
        <v>4.6180943805103999E-2</v>
      </c>
      <c r="I62" s="488" t="s">
        <v>382</v>
      </c>
      <c r="J62" s="489">
        <v>4.5882445759368798E-2</v>
      </c>
      <c r="K62" s="488" t="s">
        <v>382</v>
      </c>
      <c r="L62" s="489">
        <v>4.6081857302639501E-2</v>
      </c>
      <c r="M62" s="488" t="s">
        <v>382</v>
      </c>
      <c r="N62" s="489">
        <v>4.82446734701601E-2</v>
      </c>
      <c r="O62" s="488" t="s">
        <v>382</v>
      </c>
      <c r="P62" s="489">
        <v>4.81461874420979E-2</v>
      </c>
      <c r="Q62" s="488" t="s">
        <v>382</v>
      </c>
      <c r="R62" s="489">
        <v>4.7E-2</v>
      </c>
      <c r="S62" s="488" t="s">
        <v>382</v>
      </c>
      <c r="T62" s="489">
        <v>4.2019414496715403E-2</v>
      </c>
      <c r="U62" s="473" t="s">
        <v>389</v>
      </c>
      <c r="V62" s="758">
        <v>4.1000000000000002E-2</v>
      </c>
      <c r="W62" s="473" t="s">
        <v>389</v>
      </c>
      <c r="X62" s="758">
        <v>4.1274702836724297E-2</v>
      </c>
      <c r="Y62" s="764" t="s">
        <v>392</v>
      </c>
      <c r="Z62" s="758">
        <v>4.3839834011010201E-2</v>
      </c>
      <c r="AA62" s="753"/>
      <c r="AB62" s="753"/>
      <c r="AC62" s="761">
        <f t="shared" si="0"/>
        <v>17</v>
      </c>
      <c r="AD62" s="1347"/>
      <c r="AE62" s="1347"/>
      <c r="AF62" s="1347"/>
      <c r="AG62" s="1347"/>
      <c r="AH62" s="1347"/>
      <c r="AI62" s="1347"/>
      <c r="AJ62" s="1347"/>
      <c r="AK62" s="1347"/>
      <c r="AL62" s="1347"/>
      <c r="AM62" s="1347"/>
      <c r="AN62" s="1347"/>
      <c r="AO62" s="1347"/>
      <c r="AP62" s="1347"/>
      <c r="AQ62" s="1347"/>
      <c r="AR62" s="1347"/>
      <c r="AS62" s="1347"/>
      <c r="AT62" s="1347"/>
      <c r="AU62" s="1347"/>
      <c r="AV62" s="1347"/>
      <c r="AW62" s="1347"/>
      <c r="AX62" s="1347"/>
      <c r="AY62" s="1347"/>
      <c r="AZ62" s="1347"/>
      <c r="BA62" s="1347"/>
      <c r="BB62" s="475"/>
      <c r="BC62" s="475"/>
      <c r="BD62" s="475"/>
      <c r="BE62" s="475"/>
      <c r="BF62" s="475"/>
      <c r="BG62" s="475"/>
      <c r="BH62" s="475"/>
      <c r="BI62" s="475"/>
      <c r="BJ62" s="475"/>
      <c r="BK62" s="475"/>
      <c r="BL62" s="475"/>
      <c r="BM62" s="475"/>
      <c r="BN62" s="475"/>
      <c r="BO62" s="475"/>
      <c r="BP62" s="475"/>
      <c r="BQ62" s="475"/>
      <c r="BR62" s="475"/>
      <c r="BS62" s="475"/>
      <c r="BT62" s="475"/>
      <c r="BU62" s="475"/>
      <c r="BV62" s="475"/>
      <c r="BW62" s="475"/>
      <c r="BX62" s="475"/>
      <c r="BY62" s="475"/>
      <c r="BZ62" s="475"/>
      <c r="CA62" s="475"/>
      <c r="CB62" s="475"/>
      <c r="CC62" s="475"/>
      <c r="CD62" s="475"/>
      <c r="CE62" s="475"/>
      <c r="CF62" s="475"/>
      <c r="CG62" s="475"/>
      <c r="CH62" s="475"/>
      <c r="CI62" s="475"/>
      <c r="CJ62" s="475"/>
      <c r="CK62" s="475"/>
      <c r="CL62" s="475"/>
      <c r="CM62" s="475"/>
      <c r="CN62" s="475"/>
      <c r="CO62" s="475"/>
      <c r="CP62" s="475"/>
      <c r="CQ62" s="475"/>
      <c r="CR62" s="475"/>
      <c r="CS62" s="475"/>
      <c r="CT62" s="475"/>
      <c r="CU62" s="475"/>
      <c r="CV62" s="475"/>
      <c r="CW62" s="475"/>
      <c r="CX62" s="475"/>
      <c r="CY62" s="475"/>
      <c r="CZ62" s="475"/>
      <c r="DA62" s="475"/>
      <c r="DB62" s="475"/>
      <c r="DC62" s="475"/>
      <c r="DD62" s="475"/>
      <c r="DE62" s="475"/>
      <c r="DF62" s="475"/>
      <c r="DG62" s="475"/>
      <c r="DH62" s="475"/>
      <c r="DI62" s="475"/>
      <c r="DJ62" s="475"/>
      <c r="DK62" s="475"/>
      <c r="DL62" s="475"/>
      <c r="DM62" s="475"/>
      <c r="DN62" s="475"/>
      <c r="DO62" s="475"/>
      <c r="DP62" s="475"/>
      <c r="DQ62" s="475"/>
      <c r="DR62" s="766"/>
      <c r="DS62" s="474"/>
      <c r="DT62" s="474"/>
      <c r="DU62" s="474"/>
      <c r="DV62" s="474"/>
      <c r="DW62" s="474"/>
      <c r="DX62" s="474"/>
      <c r="DY62" s="474"/>
      <c r="DZ62" s="474"/>
      <c r="EA62" s="474"/>
      <c r="EB62" s="474"/>
      <c r="EC62" s="474"/>
    </row>
    <row r="63" spans="1:133" s="473" customFormat="1">
      <c r="A63" s="488"/>
      <c r="B63" s="752">
        <v>8</v>
      </c>
      <c r="C63" s="473" t="s">
        <v>390</v>
      </c>
      <c r="D63" s="753">
        <v>4.1948193303172503E-2</v>
      </c>
      <c r="E63" s="488" t="s">
        <v>390</v>
      </c>
      <c r="F63" s="489">
        <v>4.2756711658981102E-2</v>
      </c>
      <c r="G63" s="488" t="s">
        <v>382</v>
      </c>
      <c r="H63" s="489">
        <v>4.4973728218169598E-2</v>
      </c>
      <c r="I63" s="488" t="s">
        <v>392</v>
      </c>
      <c r="J63" s="489">
        <v>4.0441814595660701E-2</v>
      </c>
      <c r="K63" s="488" t="s">
        <v>393</v>
      </c>
      <c r="L63" s="489">
        <v>3.9257255878319901E-2</v>
      </c>
      <c r="M63" s="488" t="s">
        <v>392</v>
      </c>
      <c r="N63" s="489">
        <v>3.7547462566069202E-2</v>
      </c>
      <c r="O63" s="488" t="s">
        <v>392</v>
      </c>
      <c r="P63" s="489">
        <v>3.7041588676082302E-2</v>
      </c>
      <c r="Q63" s="488" t="s">
        <v>392</v>
      </c>
      <c r="R63" s="489">
        <v>3.6999999999999998E-2</v>
      </c>
      <c r="S63" s="488" t="s">
        <v>392</v>
      </c>
      <c r="T63" s="489">
        <v>3.6541653300603903E-2</v>
      </c>
      <c r="U63" s="473" t="s">
        <v>392</v>
      </c>
      <c r="V63" s="758">
        <v>3.9E-2</v>
      </c>
      <c r="W63" s="473" t="s">
        <v>382</v>
      </c>
      <c r="X63" s="758">
        <v>4.0035003281557603E-2</v>
      </c>
      <c r="Y63" s="764" t="s">
        <v>382</v>
      </c>
      <c r="Z63" s="758">
        <v>3.8769807405920099E-2</v>
      </c>
      <c r="AA63" s="753"/>
      <c r="AB63" s="753"/>
      <c r="AC63" s="761">
        <f t="shared" si="0"/>
        <v>18</v>
      </c>
      <c r="AD63" s="1347"/>
      <c r="AE63" s="1347"/>
      <c r="AF63" s="1347"/>
      <c r="AG63" s="1347"/>
      <c r="AH63" s="1347"/>
      <c r="AI63" s="1347"/>
      <c r="AJ63" s="1347"/>
      <c r="AK63" s="1347"/>
      <c r="AL63" s="1347"/>
      <c r="AM63" s="1347"/>
      <c r="AN63" s="1347"/>
      <c r="AO63" s="1347"/>
      <c r="AP63" s="1347"/>
      <c r="AQ63" s="1347"/>
      <c r="AR63" s="1347"/>
      <c r="AS63" s="1347"/>
      <c r="AT63" s="1347"/>
      <c r="AU63" s="1347"/>
      <c r="AV63" s="1347"/>
      <c r="AW63" s="1347"/>
      <c r="AX63" s="1347"/>
      <c r="AY63" s="1347"/>
      <c r="AZ63" s="1347"/>
      <c r="BA63" s="1347"/>
      <c r="BB63" s="475"/>
      <c r="BC63" s="475"/>
      <c r="BD63" s="475"/>
      <c r="BE63" s="475"/>
      <c r="BF63" s="475"/>
      <c r="BG63" s="475"/>
      <c r="BH63" s="475"/>
      <c r="BI63" s="475"/>
      <c r="BJ63" s="475"/>
      <c r="BK63" s="475"/>
      <c r="BL63" s="475"/>
      <c r="BM63" s="475"/>
      <c r="BN63" s="475"/>
      <c r="BO63" s="475"/>
      <c r="BP63" s="475"/>
      <c r="BQ63" s="475"/>
      <c r="BR63" s="475"/>
      <c r="BS63" s="475"/>
      <c r="BT63" s="475"/>
      <c r="BU63" s="475"/>
      <c r="BV63" s="475"/>
      <c r="BW63" s="475"/>
      <c r="BX63" s="475"/>
      <c r="BY63" s="475"/>
      <c r="BZ63" s="475"/>
      <c r="CA63" s="475"/>
      <c r="CB63" s="475"/>
      <c r="CC63" s="475"/>
      <c r="CD63" s="475"/>
      <c r="CE63" s="475"/>
      <c r="CF63" s="475"/>
      <c r="CG63" s="475"/>
      <c r="CH63" s="475"/>
      <c r="CI63" s="475"/>
      <c r="CJ63" s="475"/>
      <c r="CK63" s="475"/>
      <c r="CL63" s="475"/>
      <c r="CM63" s="475"/>
      <c r="CN63" s="475"/>
      <c r="CO63" s="475"/>
      <c r="CP63" s="475"/>
      <c r="CQ63" s="475"/>
      <c r="CR63" s="475"/>
      <c r="CS63" s="475"/>
      <c r="CT63" s="475"/>
      <c r="CU63" s="475"/>
      <c r="CV63" s="475"/>
      <c r="CW63" s="475"/>
      <c r="CX63" s="475"/>
      <c r="CY63" s="475"/>
      <c r="CZ63" s="475"/>
      <c r="DA63" s="475"/>
      <c r="DB63" s="475"/>
      <c r="DC63" s="475"/>
      <c r="DD63" s="475"/>
      <c r="DE63" s="475"/>
      <c r="DF63" s="475"/>
      <c r="DG63" s="475"/>
      <c r="DH63" s="475"/>
      <c r="DI63" s="475"/>
      <c r="DJ63" s="475"/>
      <c r="DK63" s="475"/>
      <c r="DL63" s="475"/>
      <c r="DM63" s="475"/>
      <c r="DN63" s="475"/>
      <c r="DO63" s="475"/>
      <c r="DP63" s="475"/>
      <c r="DQ63" s="475"/>
      <c r="DR63" s="766"/>
      <c r="DS63" s="474"/>
      <c r="DT63" s="474"/>
      <c r="DU63" s="474"/>
      <c r="DV63" s="474"/>
      <c r="DW63" s="474"/>
      <c r="DX63" s="474"/>
      <c r="DY63" s="474"/>
      <c r="DZ63" s="474"/>
      <c r="EA63" s="474"/>
      <c r="EB63" s="474"/>
      <c r="EC63" s="474"/>
    </row>
    <row r="64" spans="1:133" s="473" customFormat="1">
      <c r="A64" s="488"/>
      <c r="B64" s="752">
        <v>9</v>
      </c>
      <c r="C64" s="473" t="s">
        <v>378</v>
      </c>
      <c r="D64" s="753">
        <v>3.9298394472283199E-2</v>
      </c>
      <c r="E64" s="488" t="s">
        <v>394</v>
      </c>
      <c r="F64" s="489">
        <v>4.0221447558191403E-2</v>
      </c>
      <c r="G64" s="488" t="s">
        <v>393</v>
      </c>
      <c r="H64" s="489">
        <v>4.4208498665795903E-2</v>
      </c>
      <c r="I64" s="488" t="s">
        <v>393</v>
      </c>
      <c r="J64" s="489">
        <v>3.8030769230769201E-2</v>
      </c>
      <c r="K64" s="488" t="s">
        <v>392</v>
      </c>
      <c r="L64" s="489">
        <v>3.8012398025920803E-2</v>
      </c>
      <c r="M64" s="488" t="s">
        <v>393</v>
      </c>
      <c r="N64" s="489">
        <v>3.7036569828314797E-2</v>
      </c>
      <c r="O64" s="488" t="s">
        <v>393</v>
      </c>
      <c r="P64" s="489">
        <v>3.4003894802518399E-2</v>
      </c>
      <c r="Q64" s="488" t="s">
        <v>395</v>
      </c>
      <c r="R64" s="489">
        <v>3.4000000000000002E-2</v>
      </c>
      <c r="S64" s="488" t="s">
        <v>395</v>
      </c>
      <c r="T64" s="489">
        <v>3.3529058982691498E-2</v>
      </c>
      <c r="U64" s="473" t="s">
        <v>393</v>
      </c>
      <c r="V64" s="758">
        <v>3.5999999999999997E-2</v>
      </c>
      <c r="W64" s="473" t="s">
        <v>377</v>
      </c>
      <c r="X64" s="758">
        <v>3.6423553597038603E-2</v>
      </c>
      <c r="Y64" s="764" t="s">
        <v>389</v>
      </c>
      <c r="Z64" s="758">
        <v>3.8482003915466099E-2</v>
      </c>
      <c r="AA64" s="753"/>
      <c r="AB64" s="753"/>
      <c r="AC64" s="761">
        <f t="shared" si="0"/>
        <v>19</v>
      </c>
      <c r="AD64" s="1347"/>
      <c r="AE64" s="1347"/>
      <c r="AF64" s="1347"/>
      <c r="AG64" s="1347"/>
      <c r="AH64" s="1347"/>
      <c r="AI64" s="1347"/>
      <c r="AJ64" s="1347"/>
      <c r="AK64" s="1347"/>
      <c r="AL64" s="1347"/>
      <c r="AM64" s="1347"/>
      <c r="AN64" s="1347"/>
      <c r="AO64" s="1347"/>
      <c r="AP64" s="1347"/>
      <c r="AQ64" s="1347"/>
      <c r="AR64" s="1347"/>
      <c r="AS64" s="1347"/>
      <c r="AT64" s="1347"/>
      <c r="AU64" s="1347"/>
      <c r="AV64" s="1347"/>
      <c r="AW64" s="1347"/>
      <c r="AX64" s="1347"/>
      <c r="AY64" s="1347"/>
      <c r="AZ64" s="1347"/>
      <c r="BA64" s="1347"/>
      <c r="BB64" s="475"/>
      <c r="BC64" s="475"/>
      <c r="BD64" s="475"/>
      <c r="BE64" s="475"/>
      <c r="BF64" s="475"/>
      <c r="BG64" s="475"/>
      <c r="BH64" s="475"/>
      <c r="BI64" s="475"/>
      <c r="BJ64" s="475"/>
      <c r="BK64" s="475"/>
      <c r="BL64" s="475"/>
      <c r="BM64" s="475"/>
      <c r="BN64" s="475"/>
      <c r="BO64" s="475"/>
      <c r="BP64" s="475"/>
      <c r="BQ64" s="475"/>
      <c r="BR64" s="475"/>
      <c r="BS64" s="475"/>
      <c r="BT64" s="475"/>
      <c r="BU64" s="475"/>
      <c r="BV64" s="475"/>
      <c r="BW64" s="475"/>
      <c r="BX64" s="475"/>
      <c r="BY64" s="475"/>
      <c r="BZ64" s="475"/>
      <c r="CA64" s="475"/>
      <c r="CB64" s="475"/>
      <c r="CC64" s="475"/>
      <c r="CD64" s="475"/>
      <c r="CE64" s="475"/>
      <c r="CF64" s="475"/>
      <c r="CG64" s="475"/>
      <c r="CH64" s="475"/>
      <c r="CI64" s="475"/>
      <c r="CJ64" s="475"/>
      <c r="CK64" s="475"/>
      <c r="CL64" s="475"/>
      <c r="CM64" s="475"/>
      <c r="CN64" s="475"/>
      <c r="CO64" s="475"/>
      <c r="CP64" s="475"/>
      <c r="CQ64" s="475"/>
      <c r="CR64" s="475"/>
      <c r="CS64" s="475"/>
      <c r="CT64" s="475"/>
      <c r="CU64" s="475"/>
      <c r="CV64" s="475"/>
      <c r="CW64" s="475"/>
      <c r="CX64" s="475"/>
      <c r="CY64" s="475"/>
      <c r="CZ64" s="475"/>
      <c r="DA64" s="475"/>
      <c r="DB64" s="475"/>
      <c r="DC64" s="475"/>
      <c r="DD64" s="475"/>
      <c r="DE64" s="475"/>
      <c r="DF64" s="475"/>
      <c r="DG64" s="475"/>
      <c r="DH64" s="475"/>
      <c r="DI64" s="475"/>
      <c r="DJ64" s="475"/>
      <c r="DK64" s="475"/>
      <c r="DL64" s="475"/>
      <c r="DM64" s="475"/>
      <c r="DN64" s="475"/>
      <c r="DO64" s="475"/>
      <c r="DP64" s="475"/>
      <c r="DQ64" s="475"/>
      <c r="DR64" s="766"/>
      <c r="DS64" s="474"/>
      <c r="DT64" s="474"/>
      <c r="DU64" s="474"/>
      <c r="DV64" s="474"/>
      <c r="DW64" s="474"/>
      <c r="DX64" s="474"/>
      <c r="DY64" s="474"/>
      <c r="DZ64" s="474"/>
      <c r="EA64" s="474"/>
      <c r="EB64" s="474"/>
      <c r="EC64" s="474"/>
    </row>
    <row r="65" spans="1:133" s="473" customFormat="1">
      <c r="A65" s="488"/>
      <c r="B65" s="752">
        <v>10</v>
      </c>
      <c r="C65" s="473" t="s">
        <v>386</v>
      </c>
      <c r="D65" s="753">
        <v>3.2301812782323497E-2</v>
      </c>
      <c r="E65" s="488" t="s">
        <v>386</v>
      </c>
      <c r="F65" s="489">
        <v>3.4141987724665097E-2</v>
      </c>
      <c r="G65" s="488" t="s">
        <v>386</v>
      </c>
      <c r="H65" s="489">
        <v>3.1654775922975699E-2</v>
      </c>
      <c r="I65" s="488" t="s">
        <v>395</v>
      </c>
      <c r="J65" s="489">
        <v>3.0144378698224901E-2</v>
      </c>
      <c r="K65" s="488" t="s">
        <v>395</v>
      </c>
      <c r="L65" s="489">
        <v>3.1197275214690599E-2</v>
      </c>
      <c r="M65" s="488" t="s">
        <v>395</v>
      </c>
      <c r="N65" s="489">
        <v>3.2908430360904697E-2</v>
      </c>
      <c r="O65" s="488" t="s">
        <v>395</v>
      </c>
      <c r="P65" s="489">
        <v>3.25764307727213E-2</v>
      </c>
      <c r="Q65" s="488" t="s">
        <v>393</v>
      </c>
      <c r="R65" s="489">
        <v>3.4000000000000002E-2</v>
      </c>
      <c r="S65" s="488" t="s">
        <v>393</v>
      </c>
      <c r="T65" s="489">
        <v>3.3372153028633597E-2</v>
      </c>
      <c r="U65" s="473" t="s">
        <v>377</v>
      </c>
      <c r="V65" s="758">
        <v>3.5000000000000003E-2</v>
      </c>
      <c r="W65" s="507" t="s">
        <v>393</v>
      </c>
      <c r="X65" s="770">
        <v>3.6166585061794002E-2</v>
      </c>
      <c r="Y65" s="771" t="s">
        <v>393</v>
      </c>
      <c r="Z65" s="770">
        <v>3.4288773990596197E-2</v>
      </c>
      <c r="AA65" s="753"/>
      <c r="AB65" s="753"/>
      <c r="AC65" s="761">
        <f t="shared" si="0"/>
        <v>20</v>
      </c>
      <c r="AD65" s="1347"/>
      <c r="AE65" s="1347"/>
      <c r="AF65" s="1347"/>
      <c r="AG65" s="1347"/>
      <c r="AH65" s="1347"/>
      <c r="AI65" s="1347"/>
      <c r="AJ65" s="1347"/>
      <c r="AK65" s="1347"/>
      <c r="AL65" s="1347"/>
      <c r="AM65" s="1347"/>
      <c r="AN65" s="1347"/>
      <c r="AO65" s="1347"/>
      <c r="AP65" s="1347"/>
      <c r="AQ65" s="1347"/>
      <c r="AR65" s="1347"/>
      <c r="AS65" s="1347"/>
      <c r="AT65" s="1347"/>
      <c r="AU65" s="1347"/>
      <c r="AV65" s="1347"/>
      <c r="AW65" s="1347"/>
      <c r="AX65" s="1347"/>
      <c r="AY65" s="1347"/>
      <c r="AZ65" s="1347"/>
      <c r="BA65" s="1347"/>
      <c r="BB65" s="475"/>
      <c r="BC65" s="475"/>
      <c r="BD65" s="475"/>
      <c r="BE65" s="475"/>
      <c r="BF65" s="475"/>
      <c r="BG65" s="475"/>
      <c r="BH65" s="475"/>
      <c r="BI65" s="475"/>
      <c r="BJ65" s="475"/>
      <c r="BK65" s="475"/>
      <c r="BL65" s="475"/>
      <c r="BM65" s="475"/>
      <c r="BN65" s="475"/>
      <c r="BO65" s="475"/>
      <c r="BP65" s="475"/>
      <c r="BQ65" s="475"/>
      <c r="BR65" s="475"/>
      <c r="BS65" s="475"/>
      <c r="BT65" s="475"/>
      <c r="BU65" s="475"/>
      <c r="BV65" s="475"/>
      <c r="BW65" s="475"/>
      <c r="BX65" s="475"/>
      <c r="BY65" s="475"/>
      <c r="BZ65" s="475"/>
      <c r="CA65" s="475"/>
      <c r="CB65" s="475"/>
      <c r="CC65" s="475"/>
      <c r="CD65" s="475"/>
      <c r="CE65" s="475"/>
      <c r="CF65" s="475"/>
      <c r="CG65" s="475"/>
      <c r="CH65" s="475"/>
      <c r="CI65" s="475"/>
      <c r="CJ65" s="475"/>
      <c r="CK65" s="475"/>
      <c r="CL65" s="475"/>
      <c r="CM65" s="475"/>
      <c r="CN65" s="475"/>
      <c r="CO65" s="475"/>
      <c r="CP65" s="475"/>
      <c r="CQ65" s="475"/>
      <c r="CR65" s="475"/>
      <c r="CS65" s="475"/>
      <c r="CT65" s="475"/>
      <c r="CU65" s="475"/>
      <c r="CV65" s="475"/>
      <c r="CW65" s="475"/>
      <c r="CX65" s="475"/>
      <c r="CY65" s="475"/>
      <c r="CZ65" s="475"/>
      <c r="DA65" s="475"/>
      <c r="DB65" s="475"/>
      <c r="DC65" s="475"/>
      <c r="DD65" s="475"/>
      <c r="DE65" s="475"/>
      <c r="DF65" s="475"/>
      <c r="DG65" s="475"/>
      <c r="DH65" s="475"/>
      <c r="DI65" s="475"/>
      <c r="DJ65" s="475"/>
      <c r="DK65" s="475"/>
      <c r="DL65" s="475"/>
      <c r="DM65" s="475"/>
      <c r="DN65" s="475"/>
      <c r="DO65" s="475"/>
      <c r="DP65" s="475"/>
      <c r="DQ65" s="475"/>
      <c r="DR65" s="766"/>
      <c r="DS65" s="474"/>
      <c r="DT65" s="474"/>
      <c r="DU65" s="474"/>
      <c r="DV65" s="474"/>
      <c r="DW65" s="474"/>
      <c r="DX65" s="474"/>
      <c r="DY65" s="474"/>
      <c r="DZ65" s="474"/>
      <c r="EA65" s="474"/>
      <c r="EB65" s="474"/>
      <c r="EC65" s="474"/>
    </row>
    <row r="66" spans="1:133" s="473" customFormat="1">
      <c r="A66" s="748" t="s">
        <v>146</v>
      </c>
      <c r="B66" s="749">
        <v>1</v>
      </c>
      <c r="C66" s="750" t="s">
        <v>381</v>
      </c>
      <c r="D66" s="751">
        <v>8.1410439717560096E-2</v>
      </c>
      <c r="E66" s="748" t="s">
        <v>381</v>
      </c>
      <c r="F66" s="494">
        <v>8.300768843787E-2</v>
      </c>
      <c r="G66" s="748" t="s">
        <v>381</v>
      </c>
      <c r="H66" s="494">
        <v>7.9894457535494304E-2</v>
      </c>
      <c r="I66" s="748" t="s">
        <v>381</v>
      </c>
      <c r="J66" s="494">
        <v>8.4257902955238703E-2</v>
      </c>
      <c r="K66" s="748" t="s">
        <v>381</v>
      </c>
      <c r="L66" s="494">
        <v>7.8513528998540194E-2</v>
      </c>
      <c r="M66" s="748" t="s">
        <v>381</v>
      </c>
      <c r="N66" s="494">
        <v>7.7432537524334294E-2</v>
      </c>
      <c r="O66" s="748" t="s">
        <v>381</v>
      </c>
      <c r="P66" s="494">
        <v>7.6978620072305007E-2</v>
      </c>
      <c r="Q66" s="748" t="s">
        <v>381</v>
      </c>
      <c r="R66" s="494">
        <v>7.3663501191782402E-2</v>
      </c>
      <c r="S66" s="748" t="s">
        <v>381</v>
      </c>
      <c r="T66" s="494">
        <v>7.4999999999999997E-2</v>
      </c>
      <c r="U66" s="754" t="s">
        <v>381</v>
      </c>
      <c r="V66" s="757">
        <v>7.6733726372090194E-2</v>
      </c>
      <c r="W66" s="473" t="s">
        <v>381</v>
      </c>
      <c r="X66" s="494">
        <v>8.2000000000000003E-2</v>
      </c>
      <c r="Y66" s="496" t="s">
        <v>381</v>
      </c>
      <c r="Z66" s="494">
        <v>8.6696669819684199E-2</v>
      </c>
      <c r="AA66" s="496" t="s">
        <v>381</v>
      </c>
      <c r="AB66" s="494">
        <v>9.8632865854427307E-2</v>
      </c>
      <c r="AC66" s="761">
        <f t="shared" si="0"/>
        <v>21</v>
      </c>
      <c r="AD66" s="1347"/>
      <c r="AE66" s="1347"/>
      <c r="AF66" s="1347"/>
      <c r="AG66" s="1347"/>
      <c r="AH66" s="1347"/>
      <c r="AI66" s="1347"/>
      <c r="AJ66" s="1347"/>
      <c r="AK66" s="1347"/>
      <c r="AL66" s="1347"/>
      <c r="AM66" s="1347"/>
      <c r="AN66" s="1347"/>
      <c r="AO66" s="1347"/>
      <c r="AP66" s="1347"/>
      <c r="AQ66" s="1347"/>
      <c r="AR66" s="1347"/>
      <c r="AS66" s="1347"/>
      <c r="AT66" s="1347"/>
      <c r="AU66" s="1347"/>
      <c r="AV66" s="1347"/>
      <c r="AW66" s="1347"/>
      <c r="AX66" s="1347"/>
      <c r="AY66" s="1347"/>
      <c r="AZ66" s="1347"/>
      <c r="BA66" s="1347"/>
      <c r="BB66" s="475"/>
      <c r="BC66" s="475"/>
      <c r="BD66" s="475"/>
      <c r="BE66" s="475"/>
      <c r="BF66" s="475"/>
      <c r="BG66" s="475"/>
      <c r="BH66" s="475"/>
      <c r="BI66" s="475"/>
      <c r="BJ66" s="475"/>
      <c r="BK66" s="475"/>
      <c r="BL66" s="475"/>
      <c r="BM66" s="475"/>
      <c r="BN66" s="475"/>
      <c r="BO66" s="475"/>
      <c r="BP66" s="475"/>
      <c r="BQ66" s="475"/>
      <c r="BR66" s="475"/>
      <c r="BS66" s="475"/>
      <c r="BT66" s="475"/>
      <c r="BU66" s="475"/>
      <c r="BV66" s="475"/>
      <c r="BW66" s="475"/>
      <c r="BX66" s="475"/>
      <c r="BY66" s="475"/>
      <c r="BZ66" s="475"/>
      <c r="CA66" s="475"/>
      <c r="CB66" s="475"/>
      <c r="CC66" s="475"/>
      <c r="CD66" s="475"/>
      <c r="CE66" s="475"/>
      <c r="CF66" s="475"/>
      <c r="CG66" s="475"/>
      <c r="CH66" s="475"/>
      <c r="CI66" s="475"/>
      <c r="CJ66" s="475"/>
      <c r="CK66" s="475"/>
      <c r="CL66" s="475"/>
      <c r="CM66" s="475"/>
      <c r="CN66" s="475"/>
      <c r="CO66" s="475"/>
      <c r="CP66" s="475"/>
      <c r="CQ66" s="475"/>
      <c r="CR66" s="475"/>
      <c r="CS66" s="475"/>
      <c r="CT66" s="475"/>
      <c r="CU66" s="475"/>
      <c r="CV66" s="475"/>
      <c r="CW66" s="475"/>
      <c r="CX66" s="475"/>
      <c r="CY66" s="475"/>
      <c r="CZ66" s="475"/>
      <c r="DA66" s="475"/>
      <c r="DB66" s="475"/>
      <c r="DC66" s="475"/>
      <c r="DD66" s="475"/>
      <c r="DE66" s="475"/>
      <c r="DF66" s="475"/>
      <c r="DG66" s="475"/>
      <c r="DH66" s="475"/>
      <c r="DI66" s="475"/>
      <c r="DJ66" s="475"/>
      <c r="DK66" s="475"/>
      <c r="DL66" s="475"/>
      <c r="DM66" s="475"/>
      <c r="DN66" s="475"/>
      <c r="DO66" s="475"/>
      <c r="DP66" s="475"/>
      <c r="DQ66" s="475"/>
      <c r="DR66" s="766"/>
      <c r="DS66" s="474"/>
      <c r="DT66" s="474"/>
      <c r="DU66" s="474"/>
      <c r="DV66" s="474"/>
      <c r="DW66" s="474"/>
      <c r="DX66" s="474"/>
      <c r="DY66" s="474"/>
      <c r="DZ66" s="474"/>
      <c r="EA66" s="474"/>
      <c r="EB66" s="474"/>
      <c r="EC66" s="474"/>
    </row>
    <row r="67" spans="1:133" s="473" customFormat="1">
      <c r="A67" s="488"/>
      <c r="B67" s="752">
        <v>2</v>
      </c>
      <c r="C67" s="473" t="s">
        <v>392</v>
      </c>
      <c r="D67" s="753">
        <v>6.5699170717758104E-2</v>
      </c>
      <c r="E67" s="488" t="s">
        <v>380</v>
      </c>
      <c r="F67" s="489">
        <v>7.4287688844396793E-2</v>
      </c>
      <c r="G67" s="488" t="s">
        <v>380</v>
      </c>
      <c r="H67" s="489">
        <v>6.8805568206570203E-2</v>
      </c>
      <c r="I67" s="488" t="s">
        <v>380</v>
      </c>
      <c r="J67" s="489">
        <v>5.7644800897255502E-2</v>
      </c>
      <c r="K67" s="488" t="s">
        <v>380</v>
      </c>
      <c r="L67" s="489">
        <v>5.9133008165725899E-2</v>
      </c>
      <c r="M67" s="488" t="s">
        <v>380</v>
      </c>
      <c r="N67" s="489">
        <v>5.9815288275329198E-2</v>
      </c>
      <c r="O67" s="488" t="s">
        <v>380</v>
      </c>
      <c r="P67" s="489">
        <v>5.6043798436194003E-2</v>
      </c>
      <c r="Q67" s="488" t="s">
        <v>380</v>
      </c>
      <c r="R67" s="489">
        <v>5.8912829631871701E-2</v>
      </c>
      <c r="S67" s="488" t="s">
        <v>380</v>
      </c>
      <c r="T67" s="489">
        <v>6.2E-2</v>
      </c>
      <c r="U67" s="473" t="s">
        <v>380</v>
      </c>
      <c r="V67" s="758">
        <v>6.9158034574675897E-2</v>
      </c>
      <c r="W67" s="473" t="s">
        <v>380</v>
      </c>
      <c r="X67" s="489">
        <v>7.2999999999999995E-2</v>
      </c>
      <c r="Y67" s="498" t="s">
        <v>380</v>
      </c>
      <c r="Z67" s="489">
        <v>7.4616229698031403E-2</v>
      </c>
      <c r="AA67" s="498" t="s">
        <v>380</v>
      </c>
      <c r="AB67" s="489">
        <v>7.8359102810336895E-2</v>
      </c>
      <c r="AC67" s="761">
        <f t="shared" si="0"/>
        <v>22</v>
      </c>
      <c r="AD67" s="1347"/>
      <c r="AE67" s="1347"/>
      <c r="AF67" s="1347"/>
      <c r="AG67" s="1347"/>
      <c r="AH67" s="1347"/>
      <c r="AI67" s="1347"/>
      <c r="AJ67" s="1347"/>
      <c r="AK67" s="1347"/>
      <c r="AL67" s="1347"/>
      <c r="AM67" s="1347"/>
      <c r="AN67" s="1347"/>
      <c r="AO67" s="1347"/>
      <c r="AP67" s="1347"/>
      <c r="AQ67" s="1347"/>
      <c r="AR67" s="1347"/>
      <c r="AS67" s="1347"/>
      <c r="AT67" s="1347"/>
      <c r="AU67" s="1347"/>
      <c r="AV67" s="1347"/>
      <c r="AW67" s="1347"/>
      <c r="AX67" s="1347"/>
      <c r="AY67" s="1347"/>
      <c r="AZ67" s="1347"/>
      <c r="BA67" s="1347"/>
      <c r="BB67" s="475"/>
      <c r="BC67" s="475"/>
      <c r="BD67" s="475"/>
      <c r="BE67" s="475"/>
      <c r="BF67" s="475"/>
      <c r="BG67" s="475"/>
      <c r="BH67" s="475"/>
      <c r="BI67" s="475"/>
      <c r="BJ67" s="475"/>
      <c r="BK67" s="475"/>
      <c r="BL67" s="475"/>
      <c r="BM67" s="475"/>
      <c r="BN67" s="475"/>
      <c r="BO67" s="475"/>
      <c r="BP67" s="475"/>
      <c r="BQ67" s="475"/>
      <c r="BR67" s="475"/>
      <c r="BS67" s="475"/>
      <c r="BT67" s="475"/>
      <c r="BU67" s="475"/>
      <c r="BV67" s="475"/>
      <c r="BW67" s="475"/>
      <c r="BX67" s="475"/>
      <c r="BY67" s="475"/>
      <c r="BZ67" s="475"/>
      <c r="CA67" s="475"/>
      <c r="CB67" s="475"/>
      <c r="CC67" s="475"/>
      <c r="CD67" s="475"/>
      <c r="CE67" s="475"/>
      <c r="CF67" s="475"/>
      <c r="CG67" s="475"/>
      <c r="CH67" s="475"/>
      <c r="CI67" s="475"/>
      <c r="CJ67" s="475"/>
      <c r="CK67" s="475"/>
      <c r="CL67" s="475"/>
      <c r="CM67" s="475"/>
      <c r="CN67" s="475"/>
      <c r="CO67" s="475"/>
      <c r="CP67" s="475"/>
      <c r="CQ67" s="475"/>
      <c r="CR67" s="475"/>
      <c r="CS67" s="475"/>
      <c r="CT67" s="475"/>
      <c r="CU67" s="475"/>
      <c r="CV67" s="475"/>
      <c r="CW67" s="475"/>
      <c r="CX67" s="475"/>
      <c r="CY67" s="475"/>
      <c r="CZ67" s="475"/>
      <c r="DA67" s="475"/>
      <c r="DB67" s="475"/>
      <c r="DC67" s="475"/>
      <c r="DD67" s="475"/>
      <c r="DE67" s="475"/>
      <c r="DF67" s="475"/>
      <c r="DG67" s="475"/>
      <c r="DH67" s="475"/>
      <c r="DI67" s="475"/>
      <c r="DJ67" s="475"/>
      <c r="DK67" s="475"/>
      <c r="DL67" s="475"/>
      <c r="DM67" s="475"/>
      <c r="DN67" s="475"/>
      <c r="DO67" s="475"/>
      <c r="DP67" s="475"/>
      <c r="DQ67" s="475"/>
      <c r="DR67" s="766"/>
      <c r="DS67" s="474"/>
      <c r="DT67" s="474"/>
      <c r="DU67" s="474"/>
      <c r="DV67" s="474"/>
      <c r="DW67" s="474"/>
      <c r="DX67" s="474"/>
      <c r="DY67" s="474"/>
      <c r="DZ67" s="474"/>
      <c r="EA67" s="474"/>
      <c r="EB67" s="474"/>
      <c r="EC67" s="474"/>
    </row>
    <row r="68" spans="1:133" s="473" customFormat="1">
      <c r="A68" s="488"/>
      <c r="B68" s="752">
        <v>3</v>
      </c>
      <c r="C68" s="473" t="s">
        <v>380</v>
      </c>
      <c r="D68" s="753">
        <v>6.4368359692923593E-2</v>
      </c>
      <c r="E68" s="488" t="s">
        <v>392</v>
      </c>
      <c r="F68" s="489">
        <v>6.01253118822698E-2</v>
      </c>
      <c r="G68" s="488" t="s">
        <v>382</v>
      </c>
      <c r="H68" s="489">
        <v>6.2087879447931697E-2</v>
      </c>
      <c r="I68" s="488" t="s">
        <v>382</v>
      </c>
      <c r="J68" s="489">
        <v>5.76351321953271E-2</v>
      </c>
      <c r="K68" s="488" t="s">
        <v>382</v>
      </c>
      <c r="L68" s="489">
        <v>5.5147296940468403E-2</v>
      </c>
      <c r="M68" s="488" t="s">
        <v>382</v>
      </c>
      <c r="N68" s="489">
        <v>5.1697934827360098E-2</v>
      </c>
      <c r="O68" s="488" t="s">
        <v>392</v>
      </c>
      <c r="P68" s="489">
        <v>5.4901359551728701E-2</v>
      </c>
      <c r="Q68" s="488" t="s">
        <v>392</v>
      </c>
      <c r="R68" s="489">
        <v>5.3866671711248197E-2</v>
      </c>
      <c r="S68" s="488" t="s">
        <v>377</v>
      </c>
      <c r="T68" s="489">
        <v>5.8000000000000003E-2</v>
      </c>
      <c r="U68" s="473" t="s">
        <v>377</v>
      </c>
      <c r="V68" s="758">
        <v>6.7634213473878005E-2</v>
      </c>
      <c r="W68" s="473" t="s">
        <v>377</v>
      </c>
      <c r="X68" s="489">
        <v>7.0999999999999994E-2</v>
      </c>
      <c r="Y68" s="498" t="s">
        <v>377</v>
      </c>
      <c r="Z68" s="489">
        <v>6.3999185588306404E-2</v>
      </c>
      <c r="AA68" s="498" t="s">
        <v>392</v>
      </c>
      <c r="AB68" s="489">
        <v>6.36412922422597E-2</v>
      </c>
      <c r="AC68" s="761">
        <f t="shared" si="0"/>
        <v>23</v>
      </c>
      <c r="AD68" s="1347"/>
      <c r="AE68" s="1347"/>
      <c r="AF68" s="1347"/>
      <c r="AG68" s="1347"/>
      <c r="AH68" s="1347"/>
      <c r="AI68" s="1347"/>
      <c r="AJ68" s="1347"/>
      <c r="AK68" s="1347"/>
      <c r="AL68" s="1347"/>
      <c r="AM68" s="1347"/>
      <c r="AN68" s="1347"/>
      <c r="AO68" s="1347"/>
      <c r="AP68" s="1347"/>
      <c r="AQ68" s="1347"/>
      <c r="AR68" s="1347"/>
      <c r="AS68" s="1347"/>
      <c r="AT68" s="1347"/>
      <c r="AU68" s="1347"/>
      <c r="AV68" s="1347"/>
      <c r="AW68" s="1347"/>
      <c r="AX68" s="1347"/>
      <c r="AY68" s="1347"/>
      <c r="AZ68" s="1347"/>
      <c r="BA68" s="1347"/>
      <c r="BB68" s="475"/>
      <c r="BC68" s="475"/>
      <c r="BD68" s="475"/>
      <c r="BE68" s="475"/>
      <c r="BF68" s="475"/>
      <c r="BG68" s="475"/>
      <c r="BH68" s="475"/>
      <c r="BI68" s="475"/>
      <c r="BJ68" s="475"/>
      <c r="BK68" s="475"/>
      <c r="BL68" s="475"/>
      <c r="BM68" s="475"/>
      <c r="BN68" s="475"/>
      <c r="BO68" s="475"/>
      <c r="BP68" s="475"/>
      <c r="BQ68" s="475"/>
      <c r="BR68" s="475"/>
      <c r="BS68" s="475"/>
      <c r="BT68" s="475"/>
      <c r="BU68" s="475"/>
      <c r="BV68" s="475"/>
      <c r="BW68" s="475"/>
      <c r="BX68" s="475"/>
      <c r="BY68" s="475"/>
      <c r="BZ68" s="475"/>
      <c r="CA68" s="475"/>
      <c r="CB68" s="475"/>
      <c r="CC68" s="475"/>
      <c r="CD68" s="475"/>
      <c r="CE68" s="475"/>
      <c r="CF68" s="475"/>
      <c r="CG68" s="475"/>
      <c r="CH68" s="475"/>
      <c r="CI68" s="475"/>
      <c r="CJ68" s="475"/>
      <c r="CK68" s="475"/>
      <c r="CL68" s="475"/>
      <c r="CM68" s="475"/>
      <c r="CN68" s="475"/>
      <c r="CO68" s="475"/>
      <c r="CP68" s="475"/>
      <c r="CQ68" s="475"/>
      <c r="CR68" s="475"/>
      <c r="CS68" s="475"/>
      <c r="CT68" s="475"/>
      <c r="CU68" s="475"/>
      <c r="CV68" s="475"/>
      <c r="CW68" s="475"/>
      <c r="CX68" s="475"/>
      <c r="CY68" s="475"/>
      <c r="CZ68" s="475"/>
      <c r="DA68" s="475"/>
      <c r="DB68" s="475"/>
      <c r="DC68" s="475"/>
      <c r="DD68" s="475"/>
      <c r="DE68" s="475"/>
      <c r="DF68" s="475"/>
      <c r="DG68" s="475"/>
      <c r="DH68" s="475"/>
      <c r="DI68" s="475"/>
      <c r="DJ68" s="475"/>
      <c r="DK68" s="475"/>
      <c r="DL68" s="475"/>
      <c r="DM68" s="475"/>
      <c r="DN68" s="475"/>
      <c r="DO68" s="475"/>
      <c r="DP68" s="475"/>
      <c r="DQ68" s="475"/>
      <c r="DR68" s="766"/>
      <c r="DS68" s="474"/>
      <c r="DT68" s="474"/>
      <c r="DU68" s="474"/>
      <c r="DV68" s="474"/>
      <c r="DW68" s="474"/>
      <c r="DX68" s="474"/>
      <c r="DY68" s="474"/>
      <c r="DZ68" s="474"/>
      <c r="EA68" s="474"/>
      <c r="EB68" s="474"/>
      <c r="EC68" s="474"/>
    </row>
    <row r="69" spans="1:133" s="473" customFormat="1">
      <c r="A69" s="488"/>
      <c r="B69" s="752">
        <v>4</v>
      </c>
      <c r="C69" s="473" t="s">
        <v>382</v>
      </c>
      <c r="D69" s="753">
        <v>5.5448626295066097E-2</v>
      </c>
      <c r="E69" s="488" t="s">
        <v>382</v>
      </c>
      <c r="F69" s="489">
        <v>5.6029554497456703E-2</v>
      </c>
      <c r="G69" s="488" t="s">
        <v>392</v>
      </c>
      <c r="H69" s="489">
        <v>6.0107720639195297E-2</v>
      </c>
      <c r="I69" s="488" t="s">
        <v>392</v>
      </c>
      <c r="J69" s="489">
        <v>5.6059133780994197E-2</v>
      </c>
      <c r="K69" s="488" t="s">
        <v>392</v>
      </c>
      <c r="L69" s="489">
        <v>5.0812835983000897E-2</v>
      </c>
      <c r="M69" s="488" t="s">
        <v>392</v>
      </c>
      <c r="N69" s="489">
        <v>5.1169315692363999E-2</v>
      </c>
      <c r="O69" s="488" t="s">
        <v>377</v>
      </c>
      <c r="P69" s="489">
        <v>5.09399156276737E-2</v>
      </c>
      <c r="Q69" s="488" t="s">
        <v>377</v>
      </c>
      <c r="R69" s="489">
        <v>5.1374333169384397E-2</v>
      </c>
      <c r="S69" s="488" t="s">
        <v>378</v>
      </c>
      <c r="T69" s="489">
        <v>5.3999999999999999E-2</v>
      </c>
      <c r="U69" s="473" t="s">
        <v>378</v>
      </c>
      <c r="V69" s="758">
        <v>5.3793923817627702E-2</v>
      </c>
      <c r="W69" s="473" t="s">
        <v>392</v>
      </c>
      <c r="X69" s="489">
        <v>5.8000000000000003E-2</v>
      </c>
      <c r="Y69" s="498" t="s">
        <v>392</v>
      </c>
      <c r="Z69" s="489">
        <v>6.1835904527195798E-2</v>
      </c>
      <c r="AA69" s="498" t="s">
        <v>377</v>
      </c>
      <c r="AB69" s="489">
        <v>6.1149098733730298E-2</v>
      </c>
      <c r="AC69" s="761">
        <f t="shared" si="0"/>
        <v>24</v>
      </c>
      <c r="AD69" s="1347"/>
      <c r="AE69" s="1347"/>
      <c r="AF69" s="1347"/>
      <c r="AG69" s="1347"/>
      <c r="AH69" s="1347"/>
      <c r="AI69" s="1347"/>
      <c r="AJ69" s="1347"/>
      <c r="AK69" s="1347"/>
      <c r="AL69" s="1347"/>
      <c r="AM69" s="1347"/>
      <c r="AN69" s="1347"/>
      <c r="AO69" s="1347"/>
      <c r="AP69" s="1347"/>
      <c r="AQ69" s="1347"/>
      <c r="AR69" s="1347"/>
      <c r="AS69" s="1347"/>
      <c r="AT69" s="1347"/>
      <c r="AU69" s="1347"/>
      <c r="AV69" s="1347"/>
      <c r="AW69" s="1347"/>
      <c r="AX69" s="1347"/>
      <c r="AY69" s="1347"/>
      <c r="AZ69" s="1347"/>
      <c r="BA69" s="1347"/>
      <c r="BB69" s="475"/>
      <c r="BC69" s="475"/>
      <c r="BD69" s="475"/>
      <c r="BE69" s="475"/>
      <c r="BF69" s="475"/>
      <c r="BG69" s="475"/>
      <c r="BH69" s="475"/>
      <c r="BI69" s="475"/>
      <c r="BJ69" s="475"/>
      <c r="BK69" s="475"/>
      <c r="BL69" s="475"/>
      <c r="BM69" s="475"/>
      <c r="BN69" s="475"/>
      <c r="BO69" s="475"/>
      <c r="BP69" s="475"/>
      <c r="BQ69" s="475"/>
      <c r="BR69" s="475"/>
      <c r="BS69" s="475"/>
      <c r="BT69" s="475"/>
      <c r="BU69" s="475"/>
      <c r="BV69" s="475"/>
      <c r="BW69" s="475"/>
      <c r="BX69" s="475"/>
      <c r="BY69" s="475"/>
      <c r="BZ69" s="475"/>
      <c r="CA69" s="475"/>
      <c r="CB69" s="475"/>
      <c r="CC69" s="475"/>
      <c r="CD69" s="475"/>
      <c r="CE69" s="475"/>
      <c r="CF69" s="475"/>
      <c r="CG69" s="475"/>
      <c r="CH69" s="475"/>
      <c r="CI69" s="475"/>
      <c r="CJ69" s="475"/>
      <c r="CK69" s="475"/>
      <c r="CL69" s="475"/>
      <c r="CM69" s="475"/>
      <c r="CN69" s="475"/>
      <c r="CO69" s="475"/>
      <c r="CP69" s="475"/>
      <c r="CQ69" s="475"/>
      <c r="CR69" s="475"/>
      <c r="CS69" s="475"/>
      <c r="CT69" s="475"/>
      <c r="CU69" s="475"/>
      <c r="CV69" s="475"/>
      <c r="CW69" s="475"/>
      <c r="CX69" s="475"/>
      <c r="CY69" s="475"/>
      <c r="CZ69" s="475"/>
      <c r="DA69" s="475"/>
      <c r="DB69" s="475"/>
      <c r="DC69" s="475"/>
      <c r="DD69" s="475"/>
      <c r="DE69" s="475"/>
      <c r="DF69" s="475"/>
      <c r="DG69" s="475"/>
      <c r="DH69" s="475"/>
      <c r="DI69" s="475"/>
      <c r="DJ69" s="475"/>
      <c r="DK69" s="475"/>
      <c r="DL69" s="475"/>
      <c r="DM69" s="475"/>
      <c r="DN69" s="475"/>
      <c r="DO69" s="475"/>
      <c r="DP69" s="475"/>
      <c r="DQ69" s="475"/>
      <c r="DR69" s="766"/>
      <c r="DS69" s="474"/>
      <c r="DT69" s="474"/>
      <c r="DU69" s="474"/>
      <c r="DV69" s="474"/>
      <c r="DW69" s="474"/>
      <c r="DX69" s="474"/>
      <c r="DY69" s="474"/>
      <c r="DZ69" s="474"/>
      <c r="EA69" s="474"/>
      <c r="EB69" s="474"/>
      <c r="EC69" s="474"/>
    </row>
    <row r="70" spans="1:133" s="473" customFormat="1">
      <c r="A70" s="488"/>
      <c r="B70" s="752">
        <v>5</v>
      </c>
      <c r="C70" s="473" t="s">
        <v>396</v>
      </c>
      <c r="D70" s="753">
        <v>4.6869844482083499E-2</v>
      </c>
      <c r="E70" s="488" t="s">
        <v>396</v>
      </c>
      <c r="F70" s="489">
        <v>4.73349628282069E-2</v>
      </c>
      <c r="G70" s="488" t="s">
        <v>379</v>
      </c>
      <c r="H70" s="489">
        <v>4.73604483079543E-2</v>
      </c>
      <c r="I70" s="488" t="s">
        <v>396</v>
      </c>
      <c r="J70" s="489">
        <v>4.61148738476116E-2</v>
      </c>
      <c r="K70" s="488" t="s">
        <v>377</v>
      </c>
      <c r="L70" s="489">
        <v>4.94377656102871E-2</v>
      </c>
      <c r="M70" s="488" t="s">
        <v>377</v>
      </c>
      <c r="N70" s="489">
        <v>4.7311412582151997E-2</v>
      </c>
      <c r="O70" s="488" t="s">
        <v>382</v>
      </c>
      <c r="P70" s="489">
        <v>5.0133779098808597E-2</v>
      </c>
      <c r="Q70" s="488" t="s">
        <v>379</v>
      </c>
      <c r="R70" s="489">
        <v>5.0357534713026397E-2</v>
      </c>
      <c r="S70" s="488" t="s">
        <v>392</v>
      </c>
      <c r="T70" s="489">
        <v>5.2999999999999999E-2</v>
      </c>
      <c r="U70" s="473" t="s">
        <v>392</v>
      </c>
      <c r="V70" s="758">
        <v>5.3047208064530102E-2</v>
      </c>
      <c r="W70" s="473" t="s">
        <v>378</v>
      </c>
      <c r="X70" s="489">
        <v>5.3999999999999999E-2</v>
      </c>
      <c r="Y70" s="498" t="s">
        <v>378</v>
      </c>
      <c r="Z70" s="489">
        <v>5.36408868604005E-2</v>
      </c>
      <c r="AA70" s="498" t="s">
        <v>378</v>
      </c>
      <c r="AB70" s="489">
        <v>5.1340026813144299E-2</v>
      </c>
      <c r="AC70" s="761">
        <f t="shared" si="0"/>
        <v>25</v>
      </c>
      <c r="AD70" s="1347"/>
      <c r="AE70" s="1347"/>
      <c r="AF70" s="1347"/>
      <c r="AG70" s="1347"/>
      <c r="AH70" s="1347"/>
      <c r="AI70" s="1347"/>
      <c r="AJ70" s="1347"/>
      <c r="AK70" s="1347"/>
      <c r="AL70" s="1347"/>
      <c r="AM70" s="1347"/>
      <c r="AN70" s="1347"/>
      <c r="AO70" s="1347"/>
      <c r="AP70" s="1347"/>
      <c r="AQ70" s="1347"/>
      <c r="AR70" s="1347"/>
      <c r="AS70" s="1347"/>
      <c r="AT70" s="1347"/>
      <c r="AU70" s="1347"/>
      <c r="AV70" s="1347"/>
      <c r="AW70" s="1347"/>
      <c r="AX70" s="1347"/>
      <c r="AY70" s="1347"/>
      <c r="AZ70" s="1347"/>
      <c r="BA70" s="1347"/>
      <c r="BB70" s="475"/>
      <c r="BC70" s="475"/>
      <c r="BD70" s="475"/>
      <c r="BE70" s="475"/>
      <c r="BF70" s="475"/>
      <c r="BG70" s="475"/>
      <c r="BH70" s="475"/>
      <c r="BI70" s="475"/>
      <c r="BJ70" s="475"/>
      <c r="BK70" s="475"/>
      <c r="BL70" s="475"/>
      <c r="BM70" s="475"/>
      <c r="BN70" s="475"/>
      <c r="BO70" s="475"/>
      <c r="BP70" s="475"/>
      <c r="BQ70" s="475"/>
      <c r="BR70" s="475"/>
      <c r="BS70" s="475"/>
      <c r="BT70" s="475"/>
      <c r="BU70" s="475"/>
      <c r="BV70" s="475"/>
      <c r="BW70" s="475"/>
      <c r="BX70" s="475"/>
      <c r="BY70" s="475"/>
      <c r="BZ70" s="475"/>
      <c r="CA70" s="475"/>
      <c r="CB70" s="475"/>
      <c r="CC70" s="475"/>
      <c r="CD70" s="475"/>
      <c r="CE70" s="475"/>
      <c r="CF70" s="475"/>
      <c r="CG70" s="475"/>
      <c r="CH70" s="475"/>
      <c r="CI70" s="475"/>
      <c r="CJ70" s="475"/>
      <c r="CK70" s="475"/>
      <c r="CL70" s="475"/>
      <c r="CM70" s="475"/>
      <c r="CN70" s="475"/>
      <c r="CO70" s="475"/>
      <c r="CP70" s="475"/>
      <c r="CQ70" s="475"/>
      <c r="CR70" s="475"/>
      <c r="CS70" s="475"/>
      <c r="CT70" s="475"/>
      <c r="CU70" s="475"/>
      <c r="CV70" s="475"/>
      <c r="CW70" s="475"/>
      <c r="CX70" s="475"/>
      <c r="CY70" s="475"/>
      <c r="CZ70" s="475"/>
      <c r="DA70" s="475"/>
      <c r="DB70" s="475"/>
      <c r="DC70" s="475"/>
      <c r="DD70" s="475"/>
      <c r="DE70" s="475"/>
      <c r="DF70" s="475"/>
      <c r="DG70" s="475"/>
      <c r="DH70" s="475"/>
      <c r="DI70" s="475"/>
      <c r="DJ70" s="475"/>
      <c r="DK70" s="475"/>
      <c r="DL70" s="475"/>
      <c r="DM70" s="475"/>
      <c r="DN70" s="475"/>
      <c r="DO70" s="475"/>
      <c r="DP70" s="475"/>
      <c r="DQ70" s="475"/>
      <c r="DR70" s="766"/>
      <c r="DS70" s="474"/>
      <c r="DT70" s="474"/>
      <c r="DU70" s="474"/>
      <c r="DV70" s="474"/>
      <c r="DW70" s="474"/>
      <c r="DX70" s="474"/>
      <c r="DY70" s="474"/>
      <c r="DZ70" s="474"/>
      <c r="EA70" s="474"/>
      <c r="EB70" s="474"/>
      <c r="EC70" s="474"/>
    </row>
    <row r="71" spans="1:133" s="473" customFormat="1">
      <c r="A71" s="488"/>
      <c r="B71" s="752">
        <v>6</v>
      </c>
      <c r="C71" s="473" t="s">
        <v>379</v>
      </c>
      <c r="D71" s="753">
        <v>4.2404478564043897E-2</v>
      </c>
      <c r="E71" s="488" t="s">
        <v>379</v>
      </c>
      <c r="F71" s="489">
        <v>4.2045033004893602E-2</v>
      </c>
      <c r="G71" s="488" t="s">
        <v>396</v>
      </c>
      <c r="H71" s="489">
        <v>4.5276331161759199E-2</v>
      </c>
      <c r="I71" s="488" t="s">
        <v>377</v>
      </c>
      <c r="J71" s="489">
        <v>4.4345501394710302E-2</v>
      </c>
      <c r="K71" s="488" t="s">
        <v>396</v>
      </c>
      <c r="L71" s="489">
        <v>4.5935321871092102E-2</v>
      </c>
      <c r="M71" s="488" t="s">
        <v>396</v>
      </c>
      <c r="N71" s="489">
        <v>4.5725555177163701E-2</v>
      </c>
      <c r="O71" s="488" t="s">
        <v>378</v>
      </c>
      <c r="P71" s="489">
        <v>4.7116949144160002E-2</v>
      </c>
      <c r="Q71" s="488" t="s">
        <v>382</v>
      </c>
      <c r="R71" s="489">
        <v>4.84800045401233E-2</v>
      </c>
      <c r="S71" s="488" t="s">
        <v>382</v>
      </c>
      <c r="T71" s="489">
        <v>0.05</v>
      </c>
      <c r="U71" s="473" t="s">
        <v>382</v>
      </c>
      <c r="V71" s="758">
        <v>4.8723202889616297E-2</v>
      </c>
      <c r="W71" s="473" t="s">
        <v>382</v>
      </c>
      <c r="X71" s="489">
        <v>4.8000000000000001E-2</v>
      </c>
      <c r="Y71" s="498" t="s">
        <v>379</v>
      </c>
      <c r="Z71" s="489">
        <v>4.70577256705111E-2</v>
      </c>
      <c r="AA71" s="498" t="s">
        <v>384</v>
      </c>
      <c r="AB71" s="489">
        <v>4.75113787755891E-2</v>
      </c>
      <c r="AC71" s="761">
        <f t="shared" si="0"/>
        <v>26</v>
      </c>
      <c r="AD71" s="1347"/>
      <c r="AE71" s="1347"/>
      <c r="AF71" s="1347"/>
      <c r="AG71" s="1347"/>
      <c r="AH71" s="1347"/>
      <c r="AI71" s="1347"/>
      <c r="AJ71" s="1347"/>
      <c r="AK71" s="1347"/>
      <c r="AL71" s="1347"/>
      <c r="AM71" s="1347"/>
      <c r="AN71" s="1347"/>
      <c r="AO71" s="1347"/>
      <c r="AP71" s="1347"/>
      <c r="AQ71" s="1347"/>
      <c r="AR71" s="1347"/>
      <c r="AS71" s="1347"/>
      <c r="AT71" s="1347"/>
      <c r="AU71" s="1347"/>
      <c r="AV71" s="1347"/>
      <c r="AW71" s="1347"/>
      <c r="AX71" s="1347"/>
      <c r="AY71" s="1347"/>
      <c r="AZ71" s="1347"/>
      <c r="BA71" s="1347"/>
      <c r="BB71" s="475"/>
      <c r="BC71" s="475"/>
      <c r="BD71" s="475"/>
      <c r="BE71" s="475"/>
      <c r="BF71" s="475"/>
      <c r="BG71" s="475"/>
      <c r="BH71" s="475"/>
      <c r="BI71" s="475"/>
      <c r="BJ71" s="475"/>
      <c r="BK71" s="475"/>
      <c r="BL71" s="475"/>
      <c r="BM71" s="475"/>
      <c r="BN71" s="475"/>
      <c r="BO71" s="475"/>
      <c r="BP71" s="475"/>
      <c r="BQ71" s="475"/>
      <c r="BR71" s="475"/>
      <c r="BS71" s="475"/>
      <c r="BT71" s="475"/>
      <c r="BU71" s="475"/>
      <c r="BV71" s="475"/>
      <c r="BW71" s="475"/>
      <c r="BX71" s="475"/>
      <c r="BY71" s="475"/>
      <c r="BZ71" s="475"/>
      <c r="CA71" s="475"/>
      <c r="CB71" s="475"/>
      <c r="CC71" s="475"/>
      <c r="CD71" s="475"/>
      <c r="CE71" s="475"/>
      <c r="CF71" s="475"/>
      <c r="CG71" s="475"/>
      <c r="CH71" s="475"/>
      <c r="CI71" s="475"/>
      <c r="CJ71" s="475"/>
      <c r="CK71" s="475"/>
      <c r="CL71" s="475"/>
      <c r="CM71" s="475"/>
      <c r="CN71" s="475"/>
      <c r="CO71" s="475"/>
      <c r="CP71" s="475"/>
      <c r="CQ71" s="475"/>
      <c r="CR71" s="475"/>
      <c r="CS71" s="475"/>
      <c r="CT71" s="475"/>
      <c r="CU71" s="475"/>
      <c r="CV71" s="475"/>
      <c r="CW71" s="475"/>
      <c r="CX71" s="475"/>
      <c r="CY71" s="475"/>
      <c r="CZ71" s="475"/>
      <c r="DA71" s="475"/>
      <c r="DB71" s="475"/>
      <c r="DC71" s="475"/>
      <c r="DD71" s="475"/>
      <c r="DE71" s="475"/>
      <c r="DF71" s="475"/>
      <c r="DG71" s="475"/>
      <c r="DH71" s="475"/>
      <c r="DI71" s="475"/>
      <c r="DJ71" s="475"/>
      <c r="DK71" s="475"/>
      <c r="DL71" s="475"/>
      <c r="DM71" s="475"/>
      <c r="DN71" s="475"/>
      <c r="DO71" s="475"/>
      <c r="DP71" s="475"/>
      <c r="DQ71" s="475"/>
      <c r="DR71" s="766"/>
      <c r="DS71" s="474"/>
      <c r="DT71" s="474"/>
      <c r="DU71" s="474"/>
      <c r="DV71" s="474"/>
      <c r="DW71" s="474"/>
      <c r="DX71" s="474"/>
      <c r="DY71" s="474"/>
      <c r="DZ71" s="474"/>
      <c r="EA71" s="474"/>
      <c r="EB71" s="474"/>
      <c r="EC71" s="474"/>
    </row>
    <row r="72" spans="1:133" s="473" customFormat="1">
      <c r="A72" s="488"/>
      <c r="B72" s="752">
        <v>7</v>
      </c>
      <c r="C72" s="473" t="s">
        <v>377</v>
      </c>
      <c r="D72" s="753">
        <v>4.1596093354743603E-2</v>
      </c>
      <c r="E72" s="488" t="s">
        <v>384</v>
      </c>
      <c r="F72" s="489">
        <v>3.8127131089644203E-2</v>
      </c>
      <c r="G72" s="488" t="s">
        <v>384</v>
      </c>
      <c r="H72" s="489">
        <v>3.8722005504841499E-2</v>
      </c>
      <c r="I72" s="488" t="s">
        <v>379</v>
      </c>
      <c r="J72" s="489">
        <v>4.4045771634929197E-2</v>
      </c>
      <c r="K72" s="488" t="s">
        <v>379</v>
      </c>
      <c r="L72" s="489">
        <v>4.2926109896022802E-2</v>
      </c>
      <c r="M72" s="488" t="s">
        <v>379</v>
      </c>
      <c r="N72" s="489">
        <v>4.20811328714693E-2</v>
      </c>
      <c r="O72" s="488" t="s">
        <v>396</v>
      </c>
      <c r="P72" s="489">
        <v>4.4565007739899798E-2</v>
      </c>
      <c r="Q72" s="488" t="s">
        <v>378</v>
      </c>
      <c r="R72" s="489">
        <v>4.78368204002875E-2</v>
      </c>
      <c r="S72" s="488" t="s">
        <v>396</v>
      </c>
      <c r="T72" s="489">
        <v>4.5999999999999999E-2</v>
      </c>
      <c r="U72" s="473" t="s">
        <v>384</v>
      </c>
      <c r="V72" s="758">
        <v>4.3370292868864603E-2</v>
      </c>
      <c r="W72" s="473" t="s">
        <v>379</v>
      </c>
      <c r="X72" s="489">
        <v>4.4999999999999998E-2</v>
      </c>
      <c r="Y72" s="498" t="s">
        <v>384</v>
      </c>
      <c r="Z72" s="489">
        <v>4.5607054841295798E-2</v>
      </c>
      <c r="AA72" s="498" t="s">
        <v>382</v>
      </c>
      <c r="AB72" s="489">
        <v>4.6557368781599003E-2</v>
      </c>
      <c r="AC72" s="761">
        <f t="shared" si="0"/>
        <v>27</v>
      </c>
      <c r="AD72" s="1347"/>
      <c r="AE72" s="1347"/>
      <c r="AF72" s="1347"/>
      <c r="AG72" s="1347"/>
      <c r="AH72" s="1347"/>
      <c r="AI72" s="1347"/>
      <c r="AJ72" s="1347"/>
      <c r="AK72" s="1347"/>
      <c r="AL72" s="1347"/>
      <c r="AM72" s="1347"/>
      <c r="AN72" s="1347"/>
      <c r="AO72" s="1347"/>
      <c r="AP72" s="1347"/>
      <c r="AQ72" s="1347"/>
      <c r="AR72" s="1347"/>
      <c r="AS72" s="1347"/>
      <c r="AT72" s="1347"/>
      <c r="AU72" s="1347"/>
      <c r="AV72" s="1347"/>
      <c r="AW72" s="1347"/>
      <c r="AX72" s="1347"/>
      <c r="AY72" s="1347"/>
      <c r="AZ72" s="1347"/>
      <c r="BA72" s="1347"/>
      <c r="BB72" s="475"/>
      <c r="BC72" s="475"/>
      <c r="BD72" s="475"/>
      <c r="BE72" s="475"/>
      <c r="BF72" s="475"/>
      <c r="BG72" s="475"/>
      <c r="BH72" s="475"/>
      <c r="BI72" s="475"/>
      <c r="BJ72" s="475"/>
      <c r="BK72" s="475"/>
      <c r="BL72" s="475"/>
      <c r="BM72" s="475"/>
      <c r="BN72" s="475"/>
      <c r="BO72" s="475"/>
      <c r="BP72" s="475"/>
      <c r="BQ72" s="475"/>
      <c r="BR72" s="475"/>
      <c r="BS72" s="475"/>
      <c r="BT72" s="475"/>
      <c r="BU72" s="475"/>
      <c r="BV72" s="475"/>
      <c r="BW72" s="475"/>
      <c r="BX72" s="475"/>
      <c r="BY72" s="475"/>
      <c r="BZ72" s="475"/>
      <c r="CA72" s="475"/>
      <c r="CB72" s="475"/>
      <c r="CC72" s="475"/>
      <c r="CD72" s="475"/>
      <c r="CE72" s="475"/>
      <c r="CF72" s="475"/>
      <c r="CG72" s="475"/>
      <c r="CH72" s="475"/>
      <c r="CI72" s="475"/>
      <c r="CJ72" s="475"/>
      <c r="CK72" s="475"/>
      <c r="CL72" s="475"/>
      <c r="CM72" s="475"/>
      <c r="CN72" s="475"/>
      <c r="CO72" s="475"/>
      <c r="CP72" s="475"/>
      <c r="CQ72" s="475"/>
      <c r="CR72" s="475"/>
      <c r="CS72" s="475"/>
      <c r="CT72" s="475"/>
      <c r="CU72" s="475"/>
      <c r="CV72" s="475"/>
      <c r="CW72" s="475"/>
      <c r="CX72" s="475"/>
      <c r="CY72" s="475"/>
      <c r="CZ72" s="475"/>
      <c r="DA72" s="475"/>
      <c r="DB72" s="475"/>
      <c r="DC72" s="475"/>
      <c r="DD72" s="475"/>
      <c r="DE72" s="475"/>
      <c r="DF72" s="475"/>
      <c r="DG72" s="475"/>
      <c r="DH72" s="475"/>
      <c r="DI72" s="475"/>
      <c r="DJ72" s="475"/>
      <c r="DK72" s="475"/>
      <c r="DL72" s="475"/>
      <c r="DM72" s="475"/>
      <c r="DN72" s="475"/>
      <c r="DO72" s="475"/>
      <c r="DP72" s="475"/>
      <c r="DQ72" s="475"/>
      <c r="DR72" s="766"/>
      <c r="DS72" s="474"/>
      <c r="DT72" s="474"/>
      <c r="DU72" s="474"/>
      <c r="DV72" s="474"/>
      <c r="DW72" s="474"/>
      <c r="DX72" s="474"/>
      <c r="DY72" s="474"/>
      <c r="DZ72" s="474"/>
      <c r="EA72" s="474"/>
      <c r="EB72" s="474"/>
      <c r="EC72" s="474"/>
    </row>
    <row r="73" spans="1:133" s="473" customFormat="1">
      <c r="A73" s="488"/>
      <c r="B73" s="752">
        <v>8</v>
      </c>
      <c r="C73" s="473" t="s">
        <v>393</v>
      </c>
      <c r="D73" s="753">
        <v>3.8219572820659499E-2</v>
      </c>
      <c r="E73" s="488" t="s">
        <v>393</v>
      </c>
      <c r="F73" s="489">
        <v>3.7044753517727097E-2</v>
      </c>
      <c r="G73" s="488" t="s">
        <v>377</v>
      </c>
      <c r="H73" s="489">
        <v>3.8558642403120701E-2</v>
      </c>
      <c r="I73" s="488" t="s">
        <v>384</v>
      </c>
      <c r="J73" s="489">
        <v>4.0018757281741098E-2</v>
      </c>
      <c r="K73" s="488" t="s">
        <v>384</v>
      </c>
      <c r="L73" s="489">
        <v>4.0639308080531303E-2</v>
      </c>
      <c r="M73" s="488" t="s">
        <v>378</v>
      </c>
      <c r="N73" s="489">
        <v>4.1222126777100597E-2</v>
      </c>
      <c r="O73" s="488" t="s">
        <v>379</v>
      </c>
      <c r="P73" s="489">
        <v>4.1093180480615603E-2</v>
      </c>
      <c r="Q73" s="488" t="s">
        <v>396</v>
      </c>
      <c r="R73" s="489">
        <v>4.4521584503045698E-2</v>
      </c>
      <c r="S73" s="488" t="s">
        <v>379</v>
      </c>
      <c r="T73" s="489">
        <v>4.2999999999999997E-2</v>
      </c>
      <c r="U73" s="473" t="s">
        <v>379</v>
      </c>
      <c r="V73" s="758">
        <v>4.09521494126125E-2</v>
      </c>
      <c r="W73" s="473" t="s">
        <v>384</v>
      </c>
      <c r="X73" s="489">
        <v>4.2999999999999997E-2</v>
      </c>
      <c r="Y73" s="498" t="s">
        <v>382</v>
      </c>
      <c r="Z73" s="489">
        <v>4.5462836103888397E-2</v>
      </c>
      <c r="AA73" s="498" t="s">
        <v>379</v>
      </c>
      <c r="AB73" s="489">
        <v>4.5737844777951002E-2</v>
      </c>
      <c r="AC73" s="761">
        <f t="shared" si="0"/>
        <v>28</v>
      </c>
      <c r="AD73" s="1347"/>
      <c r="AE73" s="1347"/>
      <c r="AF73" s="1347"/>
      <c r="AG73" s="1347"/>
      <c r="AH73" s="1347"/>
      <c r="AI73" s="1347"/>
      <c r="AJ73" s="1347"/>
      <c r="AK73" s="1347"/>
      <c r="AL73" s="1347"/>
      <c r="AM73" s="1347"/>
      <c r="AN73" s="1347"/>
      <c r="AO73" s="1347"/>
      <c r="AP73" s="1347"/>
      <c r="AQ73" s="1347"/>
      <c r="AR73" s="1347"/>
      <c r="AS73" s="1347"/>
      <c r="AT73" s="1347"/>
      <c r="AU73" s="1347"/>
      <c r="AV73" s="1347"/>
      <c r="AW73" s="1347"/>
      <c r="AX73" s="1347"/>
      <c r="AY73" s="1347"/>
      <c r="AZ73" s="1347"/>
      <c r="BA73" s="1347"/>
      <c r="BB73" s="475"/>
      <c r="BC73" s="475"/>
      <c r="BD73" s="475"/>
      <c r="BE73" s="475"/>
      <c r="BF73" s="475"/>
      <c r="BG73" s="475"/>
      <c r="BH73" s="475"/>
      <c r="BI73" s="475"/>
      <c r="BJ73" s="475"/>
      <c r="BK73" s="475"/>
      <c r="BL73" s="475"/>
      <c r="BM73" s="475"/>
      <c r="BN73" s="475"/>
      <c r="BO73" s="475"/>
      <c r="BP73" s="475"/>
      <c r="BQ73" s="475"/>
      <c r="BR73" s="475"/>
      <c r="BS73" s="475"/>
      <c r="BT73" s="475"/>
      <c r="BU73" s="475"/>
      <c r="BV73" s="475"/>
      <c r="BW73" s="475"/>
      <c r="BX73" s="475"/>
      <c r="BY73" s="475"/>
      <c r="BZ73" s="475"/>
      <c r="CA73" s="475"/>
      <c r="CB73" s="475"/>
      <c r="CC73" s="475"/>
      <c r="CD73" s="475"/>
      <c r="CE73" s="475"/>
      <c r="CF73" s="475"/>
      <c r="CG73" s="475"/>
      <c r="CH73" s="475"/>
      <c r="CI73" s="475"/>
      <c r="CJ73" s="475"/>
      <c r="CK73" s="475"/>
      <c r="CL73" s="475"/>
      <c r="CM73" s="475"/>
      <c r="CN73" s="475"/>
      <c r="CO73" s="475"/>
      <c r="CP73" s="475"/>
      <c r="CQ73" s="475"/>
      <c r="CR73" s="475"/>
      <c r="CS73" s="475"/>
      <c r="CT73" s="475"/>
      <c r="CU73" s="475"/>
      <c r="CV73" s="475"/>
      <c r="CW73" s="475"/>
      <c r="CX73" s="475"/>
      <c r="CY73" s="475"/>
      <c r="CZ73" s="475"/>
      <c r="DA73" s="475"/>
      <c r="DB73" s="475"/>
      <c r="DC73" s="475"/>
      <c r="DD73" s="475"/>
      <c r="DE73" s="475"/>
      <c r="DF73" s="475"/>
      <c r="DG73" s="475"/>
      <c r="DH73" s="475"/>
      <c r="DI73" s="475"/>
      <c r="DJ73" s="475"/>
      <c r="DK73" s="475"/>
      <c r="DL73" s="475"/>
      <c r="DM73" s="475"/>
      <c r="DN73" s="475"/>
      <c r="DO73" s="475"/>
      <c r="DP73" s="475"/>
      <c r="DQ73" s="475"/>
      <c r="DR73" s="766"/>
      <c r="DS73" s="474"/>
      <c r="DT73" s="474"/>
      <c r="DU73" s="474"/>
      <c r="DV73" s="474"/>
      <c r="DW73" s="474"/>
      <c r="DX73" s="474"/>
      <c r="DY73" s="474"/>
      <c r="DZ73" s="474"/>
      <c r="EA73" s="474"/>
      <c r="EB73" s="474"/>
      <c r="EC73" s="474"/>
    </row>
    <row r="74" spans="1:133" s="473" customFormat="1">
      <c r="A74" s="488"/>
      <c r="B74" s="752">
        <v>9</v>
      </c>
      <c r="C74" s="473" t="s">
        <v>384</v>
      </c>
      <c r="D74" s="753">
        <v>3.63498383229581E-2</v>
      </c>
      <c r="E74" s="488" t="s">
        <v>377</v>
      </c>
      <c r="F74" s="489">
        <v>3.6551839787793E-2</v>
      </c>
      <c r="G74" s="488" t="s">
        <v>378</v>
      </c>
      <c r="H74" s="489">
        <v>3.4583473594582297E-2</v>
      </c>
      <c r="I74" s="488" t="s">
        <v>378</v>
      </c>
      <c r="J74" s="489">
        <v>3.7596747448671301E-2</v>
      </c>
      <c r="K74" s="488" t="s">
        <v>378</v>
      </c>
      <c r="L74" s="489">
        <v>4.0091272787058402E-2</v>
      </c>
      <c r="M74" s="488" t="s">
        <v>388</v>
      </c>
      <c r="N74" s="489">
        <v>3.9661683753602503E-2</v>
      </c>
      <c r="O74" s="488" t="s">
        <v>388</v>
      </c>
      <c r="P74" s="489">
        <v>3.9297919376455902E-2</v>
      </c>
      <c r="Q74" s="488" t="s">
        <v>388</v>
      </c>
      <c r="R74" s="489">
        <v>3.8912640460065803E-2</v>
      </c>
      <c r="S74" s="488" t="s">
        <v>388</v>
      </c>
      <c r="T74" s="489">
        <v>0.04</v>
      </c>
      <c r="U74" s="473" t="s">
        <v>396</v>
      </c>
      <c r="V74" s="758">
        <v>4.0192409547542399E-2</v>
      </c>
      <c r="W74" s="473" t="s">
        <v>393</v>
      </c>
      <c r="X74" s="489">
        <v>3.5999999999999997E-2</v>
      </c>
      <c r="Y74" s="498" t="s">
        <v>396</v>
      </c>
      <c r="Z74" s="489">
        <v>3.5588094319054298E-2</v>
      </c>
      <c r="AA74" s="498" t="s">
        <v>393</v>
      </c>
      <c r="AB74" s="489">
        <v>3.59035567341758E-2</v>
      </c>
      <c r="AC74" s="761">
        <f t="shared" si="0"/>
        <v>29</v>
      </c>
      <c r="AD74" s="1347"/>
      <c r="AE74" s="1347"/>
      <c r="AF74" s="1347"/>
      <c r="AG74" s="1347"/>
      <c r="AH74" s="1347"/>
      <c r="AI74" s="1347"/>
      <c r="AJ74" s="1347"/>
      <c r="AK74" s="1347"/>
      <c r="AL74" s="1347"/>
      <c r="AM74" s="1347"/>
      <c r="AN74" s="1347"/>
      <c r="AO74" s="1347"/>
      <c r="AP74" s="1347"/>
      <c r="AQ74" s="1347"/>
      <c r="AR74" s="1347"/>
      <c r="AS74" s="1347"/>
      <c r="AT74" s="1347"/>
      <c r="AU74" s="1347"/>
      <c r="AV74" s="1347"/>
      <c r="AW74" s="1347"/>
      <c r="AX74" s="1347"/>
      <c r="AY74" s="1347"/>
      <c r="AZ74" s="1347"/>
      <c r="BA74" s="1347"/>
      <c r="BB74" s="475"/>
      <c r="BC74" s="475"/>
      <c r="BD74" s="475"/>
      <c r="BE74" s="475"/>
      <c r="BF74" s="475"/>
      <c r="BG74" s="475"/>
      <c r="BH74" s="475"/>
      <c r="BI74" s="475"/>
      <c r="BJ74" s="475"/>
      <c r="BK74" s="475"/>
      <c r="BL74" s="475"/>
      <c r="BM74" s="475"/>
      <c r="BN74" s="475"/>
      <c r="BO74" s="475"/>
      <c r="BP74" s="475"/>
      <c r="BQ74" s="475"/>
      <c r="BR74" s="475"/>
      <c r="BS74" s="475"/>
      <c r="BT74" s="475"/>
      <c r="BU74" s="475"/>
      <c r="BV74" s="475"/>
      <c r="BW74" s="475"/>
      <c r="BX74" s="475"/>
      <c r="BY74" s="475"/>
      <c r="BZ74" s="475"/>
      <c r="CA74" s="475"/>
      <c r="CB74" s="475"/>
      <c r="CC74" s="475"/>
      <c r="CD74" s="475"/>
      <c r="CE74" s="475"/>
      <c r="CF74" s="475"/>
      <c r="CG74" s="475"/>
      <c r="CH74" s="475"/>
      <c r="CI74" s="475"/>
      <c r="CJ74" s="475"/>
      <c r="CK74" s="475"/>
      <c r="CL74" s="475"/>
      <c r="CM74" s="475"/>
      <c r="CN74" s="475"/>
      <c r="CO74" s="475"/>
      <c r="CP74" s="475"/>
      <c r="CQ74" s="475"/>
      <c r="CR74" s="475"/>
      <c r="CS74" s="475"/>
      <c r="CT74" s="475"/>
      <c r="CU74" s="475"/>
      <c r="CV74" s="475"/>
      <c r="CW74" s="475"/>
      <c r="CX74" s="475"/>
      <c r="CY74" s="475"/>
      <c r="CZ74" s="475"/>
      <c r="DA74" s="475"/>
      <c r="DB74" s="475"/>
      <c r="DC74" s="475"/>
      <c r="DD74" s="475"/>
      <c r="DE74" s="475"/>
      <c r="DF74" s="475"/>
      <c r="DG74" s="475"/>
      <c r="DH74" s="475"/>
      <c r="DI74" s="475"/>
      <c r="DJ74" s="475"/>
      <c r="DK74" s="475"/>
      <c r="DL74" s="475"/>
      <c r="DM74" s="475"/>
      <c r="DN74" s="475"/>
      <c r="DO74" s="475"/>
      <c r="DP74" s="475"/>
      <c r="DQ74" s="475"/>
      <c r="DR74" s="766"/>
      <c r="DS74" s="474"/>
      <c r="DT74" s="474"/>
      <c r="DU74" s="474"/>
      <c r="DV74" s="474"/>
      <c r="DW74" s="474"/>
      <c r="DX74" s="474"/>
      <c r="DY74" s="474"/>
      <c r="DZ74" s="474"/>
      <c r="EA74" s="474"/>
      <c r="EB74" s="474"/>
      <c r="EC74" s="474"/>
    </row>
    <row r="75" spans="1:133" s="473" customFormat="1">
      <c r="A75" s="488"/>
      <c r="B75" s="752">
        <v>10</v>
      </c>
      <c r="C75" s="473" t="s">
        <v>389</v>
      </c>
      <c r="D75" s="753">
        <v>3.25443786982249E-2</v>
      </c>
      <c r="E75" s="488" t="s">
        <v>388</v>
      </c>
      <c r="F75" s="489">
        <v>3.2369695460620303E-2</v>
      </c>
      <c r="G75" s="488" t="s">
        <v>388</v>
      </c>
      <c r="H75" s="489">
        <v>3.3831013247262398E-2</v>
      </c>
      <c r="I75" s="488" t="s">
        <v>393</v>
      </c>
      <c r="J75" s="489">
        <v>3.7422710813959703E-2</v>
      </c>
      <c r="K75" s="488" t="s">
        <v>388</v>
      </c>
      <c r="L75" s="489">
        <v>3.69176502239471E-2</v>
      </c>
      <c r="M75" s="488" t="s">
        <v>384</v>
      </c>
      <c r="N75" s="489">
        <v>3.8690854380676903E-2</v>
      </c>
      <c r="O75" s="488" t="s">
        <v>384</v>
      </c>
      <c r="P75" s="489">
        <v>3.9035801364002802E-2</v>
      </c>
      <c r="Q75" s="488" t="s">
        <v>384</v>
      </c>
      <c r="R75" s="489">
        <v>3.72952215201846E-2</v>
      </c>
      <c r="S75" s="488" t="s">
        <v>384</v>
      </c>
      <c r="T75" s="489">
        <v>0.04</v>
      </c>
      <c r="U75" s="473" t="s">
        <v>388</v>
      </c>
      <c r="V75" s="758">
        <v>3.7288032577645402E-2</v>
      </c>
      <c r="W75" s="507" t="s">
        <v>396</v>
      </c>
      <c r="X75" s="500">
        <v>3.5000000000000003E-2</v>
      </c>
      <c r="Y75" s="499" t="s">
        <v>388</v>
      </c>
      <c r="Z75" s="500">
        <v>3.2483149737224999E-2</v>
      </c>
      <c r="AA75" s="499" t="s">
        <v>396</v>
      </c>
      <c r="AB75" s="500">
        <v>3.4529278020366198E-2</v>
      </c>
      <c r="AC75" s="761">
        <f t="shared" si="0"/>
        <v>30</v>
      </c>
      <c r="AD75" s="1347"/>
      <c r="AE75" s="1347"/>
      <c r="AF75" s="1347"/>
      <c r="AG75" s="1347"/>
      <c r="AH75" s="1347"/>
      <c r="AI75" s="1347"/>
      <c r="AJ75" s="1347"/>
      <c r="AK75" s="1347"/>
      <c r="AL75" s="1347"/>
      <c r="AM75" s="1347"/>
      <c r="AN75" s="1347"/>
      <c r="AO75" s="1347"/>
      <c r="AP75" s="1347"/>
      <c r="AQ75" s="1347"/>
      <c r="AR75" s="1347"/>
      <c r="AS75" s="1347"/>
      <c r="AT75" s="1347"/>
      <c r="AU75" s="1347"/>
      <c r="AV75" s="1347"/>
      <c r="AW75" s="1347"/>
      <c r="AX75" s="1347"/>
      <c r="AY75" s="1347"/>
      <c r="AZ75" s="1347"/>
      <c r="BA75" s="1347"/>
      <c r="BB75" s="475"/>
      <c r="BC75" s="475"/>
      <c r="BD75" s="475"/>
      <c r="BE75" s="475"/>
      <c r="BF75" s="475"/>
      <c r="BG75" s="475"/>
      <c r="BH75" s="475"/>
      <c r="BI75" s="475"/>
      <c r="BJ75" s="475"/>
      <c r="BK75" s="475"/>
      <c r="BL75" s="475"/>
      <c r="BM75" s="475"/>
      <c r="BN75" s="475"/>
      <c r="BO75" s="475"/>
      <c r="BP75" s="475"/>
      <c r="BQ75" s="475"/>
      <c r="BR75" s="475"/>
      <c r="BS75" s="475"/>
      <c r="BT75" s="475"/>
      <c r="BU75" s="475"/>
      <c r="BV75" s="475"/>
      <c r="BW75" s="475"/>
      <c r="BX75" s="475"/>
      <c r="BY75" s="475"/>
      <c r="BZ75" s="475"/>
      <c r="CA75" s="475"/>
      <c r="CB75" s="475"/>
      <c r="CC75" s="475"/>
      <c r="CD75" s="475"/>
      <c r="CE75" s="475"/>
      <c r="CF75" s="475"/>
      <c r="CG75" s="475"/>
      <c r="CH75" s="475"/>
      <c r="CI75" s="475"/>
      <c r="CJ75" s="475"/>
      <c r="CK75" s="475"/>
      <c r="CL75" s="475"/>
      <c r="CM75" s="475"/>
      <c r="CN75" s="475"/>
      <c r="CO75" s="475"/>
      <c r="CP75" s="475"/>
      <c r="CQ75" s="475"/>
      <c r="CR75" s="475"/>
      <c r="CS75" s="475"/>
      <c r="CT75" s="475"/>
      <c r="CU75" s="475"/>
      <c r="CV75" s="475"/>
      <c r="CW75" s="475"/>
      <c r="CX75" s="475"/>
      <c r="CY75" s="475"/>
      <c r="CZ75" s="475"/>
      <c r="DA75" s="475"/>
      <c r="DB75" s="475"/>
      <c r="DC75" s="475"/>
      <c r="DD75" s="475"/>
      <c r="DE75" s="475"/>
      <c r="DF75" s="475"/>
      <c r="DG75" s="475"/>
      <c r="DH75" s="475"/>
      <c r="DI75" s="475"/>
      <c r="DJ75" s="475"/>
      <c r="DK75" s="475"/>
      <c r="DL75" s="475"/>
      <c r="DM75" s="475"/>
      <c r="DN75" s="475"/>
      <c r="DO75" s="475"/>
      <c r="DP75" s="475"/>
      <c r="DQ75" s="475"/>
      <c r="DR75" s="766"/>
      <c r="DS75" s="474"/>
      <c r="DT75" s="474"/>
      <c r="DU75" s="474"/>
      <c r="DV75" s="474"/>
      <c r="DW75" s="474"/>
      <c r="DX75" s="474"/>
      <c r="DY75" s="474"/>
      <c r="DZ75" s="474"/>
      <c r="EA75" s="474"/>
      <c r="EB75" s="474"/>
      <c r="EC75" s="474"/>
    </row>
    <row r="76" spans="1:133" s="473" customFormat="1">
      <c r="A76" s="748" t="s">
        <v>156</v>
      </c>
      <c r="B76" s="749">
        <v>1</v>
      </c>
      <c r="C76" s="750" t="s">
        <v>381</v>
      </c>
      <c r="D76" s="751">
        <v>7.4592216562891306E-2</v>
      </c>
      <c r="E76" s="748" t="s">
        <v>381</v>
      </c>
      <c r="F76" s="494">
        <v>7.4479706838138704E-2</v>
      </c>
      <c r="G76" s="748" t="s">
        <v>381</v>
      </c>
      <c r="H76" s="494">
        <v>7.1797833822051099E-2</v>
      </c>
      <c r="I76" s="748" t="s">
        <v>381</v>
      </c>
      <c r="J76" s="494">
        <v>6.8658605019640606E-2</v>
      </c>
      <c r="K76" s="748" t="s">
        <v>381</v>
      </c>
      <c r="L76" s="494">
        <v>6.9260591952656894E-2</v>
      </c>
      <c r="M76" s="748" t="s">
        <v>380</v>
      </c>
      <c r="N76" s="494">
        <v>7.3602718021877594E-2</v>
      </c>
      <c r="O76" s="748" t="s">
        <v>380</v>
      </c>
      <c r="P76" s="494">
        <v>7.3603017039788193E-2</v>
      </c>
      <c r="Q76" s="748" t="s">
        <v>380</v>
      </c>
      <c r="R76" s="494">
        <v>0.105990155502189</v>
      </c>
      <c r="S76" s="748" t="s">
        <v>380</v>
      </c>
      <c r="T76" s="494">
        <v>0.11899999999999999</v>
      </c>
      <c r="U76" s="750" t="s">
        <v>397</v>
      </c>
      <c r="V76" s="757">
        <v>0.13078514323763599</v>
      </c>
      <c r="W76" s="473" t="s">
        <v>380</v>
      </c>
      <c r="X76" s="489">
        <v>0.151</v>
      </c>
      <c r="Y76" s="759" t="s">
        <v>380</v>
      </c>
      <c r="Z76" s="759">
        <v>0.16334397528452499</v>
      </c>
      <c r="AA76" s="496" t="s">
        <v>380</v>
      </c>
      <c r="AB76" s="494">
        <v>0.163337329683478</v>
      </c>
      <c r="AC76" s="761">
        <f t="shared" si="0"/>
        <v>31</v>
      </c>
      <c r="AD76" s="1347"/>
      <c r="AE76" s="1347"/>
      <c r="AF76" s="1347"/>
      <c r="AG76" s="1347"/>
      <c r="AH76" s="1347"/>
      <c r="AI76" s="1347"/>
      <c r="AJ76" s="1347"/>
      <c r="AK76" s="1347"/>
      <c r="AL76" s="1347"/>
      <c r="AM76" s="1347"/>
      <c r="AN76" s="1347"/>
      <c r="AO76" s="1347"/>
      <c r="AP76" s="1347"/>
      <c r="AQ76" s="1347"/>
      <c r="AR76" s="1347"/>
      <c r="AS76" s="1347"/>
      <c r="AT76" s="1347"/>
      <c r="AU76" s="1347"/>
      <c r="AV76" s="1347"/>
      <c r="AW76" s="1347"/>
      <c r="AX76" s="1347"/>
      <c r="AY76" s="1347"/>
      <c r="AZ76" s="1347"/>
      <c r="BA76" s="1347"/>
      <c r="BB76" s="475"/>
      <c r="BC76" s="475"/>
      <c r="BD76" s="475"/>
      <c r="BE76" s="475"/>
      <c r="BF76" s="475"/>
      <c r="BG76" s="475"/>
      <c r="BH76" s="475"/>
      <c r="BI76" s="475"/>
      <c r="BJ76" s="475"/>
      <c r="BK76" s="475"/>
      <c r="BL76" s="475"/>
      <c r="BM76" s="475"/>
      <c r="BN76" s="475"/>
      <c r="BO76" s="475"/>
      <c r="BP76" s="475"/>
      <c r="BQ76" s="475"/>
      <c r="BR76" s="475"/>
      <c r="BS76" s="475"/>
      <c r="BT76" s="475"/>
      <c r="BU76" s="475"/>
      <c r="BV76" s="475"/>
      <c r="BW76" s="475"/>
      <c r="BX76" s="475"/>
      <c r="BY76" s="475"/>
      <c r="BZ76" s="475"/>
      <c r="CA76" s="475"/>
      <c r="CB76" s="475"/>
      <c r="CC76" s="475"/>
      <c r="CD76" s="475"/>
      <c r="CE76" s="475"/>
      <c r="CF76" s="475"/>
      <c r="CG76" s="475"/>
      <c r="CH76" s="475"/>
      <c r="CI76" s="475"/>
      <c r="CJ76" s="475"/>
      <c r="CK76" s="475"/>
      <c r="CL76" s="475"/>
      <c r="CM76" s="475"/>
      <c r="CN76" s="475"/>
      <c r="CO76" s="475"/>
      <c r="CP76" s="475"/>
      <c r="CQ76" s="475"/>
      <c r="CR76" s="475"/>
      <c r="CS76" s="475"/>
      <c r="CT76" s="475"/>
      <c r="CU76" s="475"/>
      <c r="CV76" s="475"/>
      <c r="CW76" s="475"/>
      <c r="CX76" s="475"/>
      <c r="CY76" s="475"/>
      <c r="CZ76" s="475"/>
      <c r="DA76" s="475"/>
      <c r="DB76" s="475"/>
      <c r="DC76" s="475"/>
      <c r="DD76" s="475"/>
      <c r="DE76" s="475"/>
      <c r="DF76" s="475"/>
      <c r="DG76" s="475"/>
      <c r="DH76" s="475"/>
      <c r="DI76" s="475"/>
      <c r="DJ76" s="475"/>
      <c r="DK76" s="475"/>
      <c r="DL76" s="475"/>
      <c r="DM76" s="475"/>
      <c r="DN76" s="475"/>
      <c r="DO76" s="475"/>
      <c r="DP76" s="475"/>
      <c r="DQ76" s="475"/>
      <c r="DR76" s="766"/>
      <c r="DS76" s="474"/>
      <c r="DT76" s="474"/>
      <c r="DU76" s="474"/>
      <c r="DV76" s="474"/>
      <c r="DW76" s="474"/>
      <c r="DX76" s="474"/>
      <c r="DY76" s="474"/>
      <c r="DZ76" s="474"/>
      <c r="EA76" s="474"/>
      <c r="EB76" s="474"/>
      <c r="EC76" s="474"/>
    </row>
    <row r="77" spans="1:133" s="473" customFormat="1">
      <c r="A77" s="488"/>
      <c r="B77" s="752">
        <v>2</v>
      </c>
      <c r="C77" s="473" t="s">
        <v>384</v>
      </c>
      <c r="D77" s="753">
        <v>5.9387092570664497E-2</v>
      </c>
      <c r="E77" s="488" t="s">
        <v>380</v>
      </c>
      <c r="F77" s="489">
        <v>6.7048833072479594E-2</v>
      </c>
      <c r="G77" s="488" t="s">
        <v>380</v>
      </c>
      <c r="H77" s="489">
        <v>6.3043940269083804E-2</v>
      </c>
      <c r="I77" s="488" t="s">
        <v>380</v>
      </c>
      <c r="J77" s="489">
        <v>5.8037256692670798E-2</v>
      </c>
      <c r="K77" s="488" t="s">
        <v>380</v>
      </c>
      <c r="L77" s="489">
        <v>5.9842790751047099E-2</v>
      </c>
      <c r="M77" s="488" t="s">
        <v>381</v>
      </c>
      <c r="N77" s="489">
        <v>5.9977866129895002E-2</v>
      </c>
      <c r="O77" s="488" t="s">
        <v>381</v>
      </c>
      <c r="P77" s="489">
        <v>5.9978080397467097E-2</v>
      </c>
      <c r="Q77" s="488" t="s">
        <v>384</v>
      </c>
      <c r="R77" s="489">
        <v>7.0275407490674999E-2</v>
      </c>
      <c r="S77" s="488" t="s">
        <v>384</v>
      </c>
      <c r="T77" s="489">
        <v>6.8000000000000005E-2</v>
      </c>
      <c r="U77" s="473" t="s">
        <v>392</v>
      </c>
      <c r="V77" s="758">
        <v>7.3553710330071395E-2</v>
      </c>
      <c r="W77" s="473" t="s">
        <v>384</v>
      </c>
      <c r="X77" s="489">
        <v>7.8E-2</v>
      </c>
      <c r="Y77" s="759" t="s">
        <v>384</v>
      </c>
      <c r="Z77" s="759">
        <v>8.2646190992248403E-2</v>
      </c>
      <c r="AA77" s="498" t="s">
        <v>384</v>
      </c>
      <c r="AB77" s="489">
        <v>8.6198487234298501E-2</v>
      </c>
      <c r="AC77" s="761">
        <f t="shared" si="0"/>
        <v>32</v>
      </c>
      <c r="AD77" s="1347"/>
      <c r="AE77" s="1347"/>
      <c r="AF77" s="1347"/>
      <c r="AG77" s="1347"/>
      <c r="AH77" s="1347"/>
      <c r="AI77" s="1347"/>
      <c r="AJ77" s="1347"/>
      <c r="AK77" s="1347"/>
      <c r="AL77" s="1347"/>
      <c r="AM77" s="1347"/>
      <c r="AN77" s="1347"/>
      <c r="AO77" s="1347"/>
      <c r="AP77" s="1347"/>
      <c r="AQ77" s="1347"/>
      <c r="AR77" s="1347"/>
      <c r="AS77" s="1347"/>
      <c r="AT77" s="1347"/>
      <c r="AU77" s="1347"/>
      <c r="AV77" s="1347"/>
      <c r="AW77" s="1347"/>
      <c r="AX77" s="1347"/>
      <c r="AY77" s="1347"/>
      <c r="AZ77" s="1347"/>
      <c r="BA77" s="1347"/>
      <c r="BB77" s="475"/>
      <c r="BC77" s="475"/>
      <c r="BD77" s="475"/>
      <c r="BE77" s="475"/>
      <c r="BF77" s="475"/>
      <c r="BG77" s="475"/>
      <c r="BH77" s="475"/>
      <c r="BI77" s="475"/>
      <c r="BJ77" s="475"/>
      <c r="BK77" s="475"/>
      <c r="BL77" s="475"/>
      <c r="BM77" s="475"/>
      <c r="BN77" s="475"/>
      <c r="BO77" s="475"/>
      <c r="BP77" s="475"/>
      <c r="BQ77" s="475"/>
      <c r="BR77" s="475"/>
      <c r="BS77" s="475"/>
      <c r="BT77" s="475"/>
      <c r="BU77" s="475"/>
      <c r="BV77" s="475"/>
      <c r="BW77" s="475"/>
      <c r="BX77" s="475"/>
      <c r="BY77" s="475"/>
      <c r="BZ77" s="475"/>
      <c r="CA77" s="475"/>
      <c r="CB77" s="475"/>
      <c r="CC77" s="475"/>
      <c r="CD77" s="475"/>
      <c r="CE77" s="475"/>
      <c r="CF77" s="475"/>
      <c r="CG77" s="475"/>
      <c r="CH77" s="475"/>
      <c r="CI77" s="475"/>
      <c r="CJ77" s="475"/>
      <c r="CK77" s="475"/>
      <c r="CL77" s="475"/>
      <c r="CM77" s="475"/>
      <c r="CN77" s="475"/>
      <c r="CO77" s="475"/>
      <c r="CP77" s="475"/>
      <c r="CQ77" s="475"/>
      <c r="CR77" s="475"/>
      <c r="CS77" s="475"/>
      <c r="CT77" s="475"/>
      <c r="CU77" s="475"/>
      <c r="CV77" s="475"/>
      <c r="CW77" s="475"/>
      <c r="CX77" s="475"/>
      <c r="CY77" s="475"/>
      <c r="CZ77" s="475"/>
      <c r="DA77" s="475"/>
      <c r="DB77" s="475"/>
      <c r="DC77" s="475"/>
      <c r="DD77" s="475"/>
      <c r="DE77" s="475"/>
      <c r="DF77" s="475"/>
      <c r="DG77" s="475"/>
      <c r="DH77" s="475"/>
      <c r="DI77" s="475"/>
      <c r="DJ77" s="475"/>
      <c r="DK77" s="475"/>
      <c r="DL77" s="475"/>
      <c r="DM77" s="475"/>
      <c r="DN77" s="475"/>
      <c r="DO77" s="475"/>
      <c r="DP77" s="475"/>
      <c r="DQ77" s="475"/>
      <c r="DR77" s="766"/>
      <c r="DS77" s="474"/>
      <c r="DT77" s="474"/>
      <c r="DU77" s="474"/>
      <c r="DV77" s="474"/>
      <c r="DW77" s="474"/>
      <c r="DX77" s="474"/>
      <c r="DY77" s="474"/>
      <c r="DZ77" s="474"/>
      <c r="EA77" s="474"/>
      <c r="EB77" s="474"/>
      <c r="EC77" s="474"/>
    </row>
    <row r="78" spans="1:133" s="473" customFormat="1">
      <c r="A78" s="488"/>
      <c r="B78" s="752">
        <v>3</v>
      </c>
      <c r="C78" s="473" t="s">
        <v>380</v>
      </c>
      <c r="D78" s="753">
        <v>5.1419805895650497E-2</v>
      </c>
      <c r="E78" s="488" t="s">
        <v>384</v>
      </c>
      <c r="F78" s="489">
        <v>5.9639330454514E-2</v>
      </c>
      <c r="G78" s="488" t="s">
        <v>384</v>
      </c>
      <c r="H78" s="489">
        <v>5.9584887603605301E-2</v>
      </c>
      <c r="I78" s="488" t="s">
        <v>384</v>
      </c>
      <c r="J78" s="489">
        <v>5.5812418164013097E-2</v>
      </c>
      <c r="K78" s="488" t="s">
        <v>384</v>
      </c>
      <c r="L78" s="489">
        <v>5.5024261698482797E-2</v>
      </c>
      <c r="M78" s="488" t="s">
        <v>384</v>
      </c>
      <c r="N78" s="489">
        <v>5.6287198907348297E-2</v>
      </c>
      <c r="O78" s="488" t="s">
        <v>384</v>
      </c>
      <c r="P78" s="489">
        <v>5.6287471121824598E-2</v>
      </c>
      <c r="Q78" s="488" t="s">
        <v>381</v>
      </c>
      <c r="R78" s="489">
        <v>6.4004223936777196E-2</v>
      </c>
      <c r="S78" s="488" t="s">
        <v>381</v>
      </c>
      <c r="T78" s="489">
        <v>6.4004223936777196E-2</v>
      </c>
      <c r="U78" s="473" t="s">
        <v>381</v>
      </c>
      <c r="V78" s="758">
        <v>6.18393492584405E-2</v>
      </c>
      <c r="W78" s="473" t="s">
        <v>381</v>
      </c>
      <c r="X78" s="489">
        <v>6.8000000000000005E-2</v>
      </c>
      <c r="Y78" s="759" t="s">
        <v>381</v>
      </c>
      <c r="Z78" s="759">
        <v>7.0941742639670805E-2</v>
      </c>
      <c r="AA78" s="498" t="s">
        <v>381</v>
      </c>
      <c r="AB78" s="489">
        <v>7.5071131279213305E-2</v>
      </c>
      <c r="AC78" s="761">
        <f t="shared" si="0"/>
        <v>33</v>
      </c>
      <c r="AD78" s="1347"/>
      <c r="AE78" s="1347"/>
      <c r="AF78" s="1347"/>
      <c r="AG78" s="1347"/>
      <c r="AH78" s="1347"/>
      <c r="AI78" s="1347"/>
      <c r="AJ78" s="1347"/>
      <c r="AK78" s="1347"/>
      <c r="AL78" s="1347"/>
      <c r="AM78" s="1347"/>
      <c r="AN78" s="1347"/>
      <c r="AO78" s="1347"/>
      <c r="AP78" s="1347"/>
      <c r="AQ78" s="1347"/>
      <c r="AR78" s="1347"/>
      <c r="AS78" s="1347"/>
      <c r="AT78" s="1347"/>
      <c r="AU78" s="1347"/>
      <c r="AV78" s="1347"/>
      <c r="AW78" s="1347"/>
      <c r="AX78" s="1347"/>
      <c r="AY78" s="1347"/>
      <c r="AZ78" s="1347"/>
      <c r="BA78" s="1347"/>
      <c r="BB78" s="475"/>
      <c r="BC78" s="475"/>
      <c r="BD78" s="475"/>
      <c r="BE78" s="475"/>
      <c r="BF78" s="475"/>
      <c r="BG78" s="475"/>
      <c r="BH78" s="475"/>
      <c r="BI78" s="475"/>
      <c r="BJ78" s="475"/>
      <c r="BK78" s="475"/>
      <c r="BL78" s="475"/>
      <c r="BM78" s="475"/>
      <c r="BN78" s="475"/>
      <c r="BO78" s="475"/>
      <c r="BP78" s="475"/>
      <c r="BQ78" s="475"/>
      <c r="BR78" s="475"/>
      <c r="BS78" s="475"/>
      <c r="BT78" s="475"/>
      <c r="BU78" s="475"/>
      <c r="BV78" s="475"/>
      <c r="BW78" s="475"/>
      <c r="BX78" s="475"/>
      <c r="BY78" s="475"/>
      <c r="BZ78" s="475"/>
      <c r="CA78" s="475"/>
      <c r="CB78" s="475"/>
      <c r="CC78" s="475"/>
      <c r="CD78" s="475"/>
      <c r="CE78" s="475"/>
      <c r="CF78" s="475"/>
      <c r="CG78" s="475"/>
      <c r="CH78" s="475"/>
      <c r="CI78" s="475"/>
      <c r="CJ78" s="475"/>
      <c r="CK78" s="475"/>
      <c r="CL78" s="475"/>
      <c r="CM78" s="475"/>
      <c r="CN78" s="475"/>
      <c r="CO78" s="475"/>
      <c r="CP78" s="475"/>
      <c r="CQ78" s="475"/>
      <c r="CR78" s="475"/>
      <c r="CS78" s="475"/>
      <c r="CT78" s="475"/>
      <c r="CU78" s="475"/>
      <c r="CV78" s="475"/>
      <c r="CW78" s="475"/>
      <c r="CX78" s="475"/>
      <c r="CY78" s="475"/>
      <c r="CZ78" s="475"/>
      <c r="DA78" s="475"/>
      <c r="DB78" s="475"/>
      <c r="DC78" s="475"/>
      <c r="DD78" s="475"/>
      <c r="DE78" s="475"/>
      <c r="DF78" s="475"/>
      <c r="DG78" s="475"/>
      <c r="DH78" s="475"/>
      <c r="DI78" s="475"/>
      <c r="DJ78" s="475"/>
      <c r="DK78" s="475"/>
      <c r="DL78" s="475"/>
      <c r="DM78" s="475"/>
      <c r="DN78" s="475"/>
      <c r="DO78" s="475"/>
      <c r="DP78" s="475"/>
      <c r="DQ78" s="475"/>
      <c r="DR78" s="766"/>
      <c r="DS78" s="474"/>
      <c r="DT78" s="474"/>
      <c r="DU78" s="474"/>
      <c r="DV78" s="474"/>
      <c r="DW78" s="474"/>
      <c r="DX78" s="474"/>
      <c r="DY78" s="474"/>
      <c r="DZ78" s="474"/>
      <c r="EA78" s="474"/>
      <c r="EB78" s="474"/>
      <c r="EC78" s="474"/>
    </row>
    <row r="79" spans="1:133" s="473" customFormat="1">
      <c r="A79" s="488"/>
      <c r="B79" s="752">
        <v>4</v>
      </c>
      <c r="C79" s="473" t="s">
        <v>379</v>
      </c>
      <c r="D79" s="753">
        <v>4.4757029625558803E-2</v>
      </c>
      <c r="E79" s="488" t="s">
        <v>379</v>
      </c>
      <c r="F79" s="489">
        <v>4.3125718919122799E-2</v>
      </c>
      <c r="G79" s="488" t="s">
        <v>398</v>
      </c>
      <c r="H79" s="489">
        <v>5.32717579367201E-2</v>
      </c>
      <c r="I79" s="488" t="s">
        <v>383</v>
      </c>
      <c r="J79" s="489">
        <v>4.8909036893588498E-2</v>
      </c>
      <c r="K79" s="488" t="s">
        <v>399</v>
      </c>
      <c r="L79" s="489">
        <v>4.5906658032999197E-2</v>
      </c>
      <c r="M79" s="488" t="s">
        <v>400</v>
      </c>
      <c r="N79" s="489">
        <v>5.4294571556167397E-2</v>
      </c>
      <c r="O79" s="488" t="s">
        <v>400</v>
      </c>
      <c r="P79" s="489">
        <v>5.4294495108826397E-2</v>
      </c>
      <c r="Q79" s="488" t="s">
        <v>396</v>
      </c>
      <c r="R79" s="489">
        <v>4.4909985863437397E-2</v>
      </c>
      <c r="S79" s="488" t="s">
        <v>396</v>
      </c>
      <c r="T79" s="489">
        <v>0.05</v>
      </c>
      <c r="U79" s="473" t="s">
        <v>387</v>
      </c>
      <c r="V79" s="758">
        <v>4.7389887167817703E-2</v>
      </c>
      <c r="W79" s="473" t="s">
        <v>379</v>
      </c>
      <c r="X79" s="489">
        <v>4.7E-2</v>
      </c>
      <c r="Y79" s="759" t="s">
        <v>379</v>
      </c>
      <c r="Z79" s="759">
        <v>5.05445987746687E-2</v>
      </c>
      <c r="AA79" s="498" t="s">
        <v>379</v>
      </c>
      <c r="AB79" s="489">
        <v>4.5444605312518302E-2</v>
      </c>
      <c r="AC79" s="761">
        <f t="shared" si="0"/>
        <v>34</v>
      </c>
      <c r="AD79" s="1347"/>
      <c r="AE79" s="1347"/>
      <c r="AF79" s="1347"/>
      <c r="AG79" s="1347"/>
      <c r="AH79" s="1347"/>
      <c r="AI79" s="1347"/>
      <c r="AJ79" s="1347"/>
      <c r="AK79" s="1347"/>
      <c r="AL79" s="1347"/>
      <c r="AM79" s="1347"/>
      <c r="AN79" s="1347"/>
      <c r="AO79" s="1347"/>
      <c r="AP79" s="1347"/>
      <c r="AQ79" s="1347"/>
      <c r="AR79" s="1347"/>
      <c r="AS79" s="1347"/>
      <c r="AT79" s="1347"/>
      <c r="AU79" s="1347"/>
      <c r="AV79" s="1347"/>
      <c r="AW79" s="1347"/>
      <c r="AX79" s="1347"/>
      <c r="AY79" s="1347"/>
      <c r="AZ79" s="1347"/>
      <c r="BA79" s="1347"/>
      <c r="BB79" s="475"/>
      <c r="BC79" s="475"/>
      <c r="BD79" s="475"/>
      <c r="BE79" s="475"/>
      <c r="BF79" s="475"/>
      <c r="BG79" s="475"/>
      <c r="BH79" s="475"/>
      <c r="BI79" s="475"/>
      <c r="BJ79" s="475"/>
      <c r="BK79" s="475"/>
      <c r="BL79" s="475"/>
      <c r="BM79" s="475"/>
      <c r="BN79" s="475"/>
      <c r="BO79" s="475"/>
      <c r="BP79" s="475"/>
      <c r="BQ79" s="475"/>
      <c r="BR79" s="475"/>
      <c r="BS79" s="475"/>
      <c r="BT79" s="475"/>
      <c r="BU79" s="475"/>
      <c r="BV79" s="475"/>
      <c r="BW79" s="475"/>
      <c r="BX79" s="475"/>
      <c r="BY79" s="475"/>
      <c r="BZ79" s="475"/>
      <c r="CA79" s="475"/>
      <c r="CB79" s="475"/>
      <c r="CC79" s="475"/>
      <c r="CD79" s="475"/>
      <c r="CE79" s="475"/>
      <c r="CF79" s="475"/>
      <c r="CG79" s="475"/>
      <c r="CH79" s="475"/>
      <c r="CI79" s="475"/>
      <c r="CJ79" s="475"/>
      <c r="CK79" s="475"/>
      <c r="CL79" s="475"/>
      <c r="CM79" s="475"/>
      <c r="CN79" s="475"/>
      <c r="CO79" s="475"/>
      <c r="CP79" s="475"/>
      <c r="CQ79" s="475"/>
      <c r="CR79" s="475"/>
      <c r="CS79" s="475"/>
      <c r="CT79" s="475"/>
      <c r="CU79" s="475"/>
      <c r="CV79" s="475"/>
      <c r="CW79" s="475"/>
      <c r="CX79" s="475"/>
      <c r="CY79" s="475"/>
      <c r="CZ79" s="475"/>
      <c r="DA79" s="475"/>
      <c r="DB79" s="475"/>
      <c r="DC79" s="475"/>
      <c r="DD79" s="475"/>
      <c r="DE79" s="475"/>
      <c r="DF79" s="475"/>
      <c r="DG79" s="475"/>
      <c r="DH79" s="475"/>
      <c r="DI79" s="475"/>
      <c r="DJ79" s="475"/>
      <c r="DK79" s="475"/>
      <c r="DL79" s="475"/>
      <c r="DM79" s="475"/>
      <c r="DN79" s="475"/>
      <c r="DO79" s="475"/>
      <c r="DP79" s="475"/>
      <c r="DQ79" s="475"/>
      <c r="DR79" s="766"/>
      <c r="DS79" s="474"/>
      <c r="DT79" s="474"/>
      <c r="DU79" s="474"/>
      <c r="DV79" s="474"/>
      <c r="DW79" s="474"/>
      <c r="DX79" s="474"/>
      <c r="DY79" s="474"/>
      <c r="DZ79" s="474"/>
      <c r="EA79" s="474"/>
      <c r="EB79" s="474"/>
      <c r="EC79" s="474"/>
    </row>
    <row r="80" spans="1:133" s="473" customFormat="1">
      <c r="A80" s="488"/>
      <c r="B80" s="752">
        <v>5</v>
      </c>
      <c r="C80" s="473" t="s">
        <v>399</v>
      </c>
      <c r="D80" s="753">
        <v>4.3340623105556302E-2</v>
      </c>
      <c r="E80" s="488" t="s">
        <v>399</v>
      </c>
      <c r="F80" s="489">
        <v>4.2899436178838797E-2</v>
      </c>
      <c r="G80" s="488" t="s">
        <v>383</v>
      </c>
      <c r="H80" s="489">
        <v>4.4616955225281703E-2</v>
      </c>
      <c r="I80" s="488" t="s">
        <v>398</v>
      </c>
      <c r="J80" s="489">
        <v>4.8496418472101503E-2</v>
      </c>
      <c r="K80" s="488" t="s">
        <v>398</v>
      </c>
      <c r="L80" s="489">
        <v>4.4985574125226399E-2</v>
      </c>
      <c r="M80" s="488" t="s">
        <v>388</v>
      </c>
      <c r="N80" s="489">
        <v>5.0985348072840601E-2</v>
      </c>
      <c r="O80" s="488" t="s">
        <v>388</v>
      </c>
      <c r="P80" s="489">
        <v>5.0985402860829303E-2</v>
      </c>
      <c r="Q80" s="488" t="s">
        <v>399</v>
      </c>
      <c r="R80" s="489">
        <v>4.4874559296918901E-2</v>
      </c>
      <c r="S80" s="488" t="s">
        <v>399</v>
      </c>
      <c r="T80" s="489">
        <v>4.4874559296918901E-2</v>
      </c>
      <c r="U80" s="473" t="s">
        <v>401</v>
      </c>
      <c r="V80" s="758">
        <v>4.6006894579397897E-2</v>
      </c>
      <c r="W80" s="473" t="s">
        <v>399</v>
      </c>
      <c r="X80" s="489">
        <v>4.1000000000000002E-2</v>
      </c>
      <c r="Y80" s="759" t="s">
        <v>399</v>
      </c>
      <c r="Z80" s="759">
        <v>4.2996751382031601E-2</v>
      </c>
      <c r="AA80" s="498" t="s">
        <v>399</v>
      </c>
      <c r="AB80" s="489">
        <v>4.24494169338967E-2</v>
      </c>
      <c r="AC80" s="761">
        <f t="shared" si="0"/>
        <v>35</v>
      </c>
      <c r="AD80" s="1347"/>
      <c r="AE80" s="1347"/>
      <c r="AF80" s="1347"/>
      <c r="AG80" s="1347"/>
      <c r="AH80" s="1347"/>
      <c r="AI80" s="1347"/>
      <c r="AJ80" s="1347"/>
      <c r="AK80" s="1347"/>
      <c r="AL80" s="1347"/>
      <c r="AM80" s="1347"/>
      <c r="AN80" s="1347"/>
      <c r="AO80" s="1347"/>
      <c r="AP80" s="1347"/>
      <c r="AQ80" s="1347"/>
      <c r="AR80" s="1347"/>
      <c r="AS80" s="1347"/>
      <c r="AT80" s="1347"/>
      <c r="AU80" s="1347"/>
      <c r="AV80" s="1347"/>
      <c r="AW80" s="1347"/>
      <c r="AX80" s="1347"/>
      <c r="AY80" s="1347"/>
      <c r="AZ80" s="1347"/>
      <c r="BA80" s="1347"/>
      <c r="BB80" s="475"/>
      <c r="BC80" s="475"/>
      <c r="BD80" s="475"/>
      <c r="BE80" s="475"/>
      <c r="BF80" s="475"/>
      <c r="BG80" s="475"/>
      <c r="BH80" s="475"/>
      <c r="BI80" s="475"/>
      <c r="BJ80" s="475"/>
      <c r="BK80" s="475"/>
      <c r="BL80" s="475"/>
      <c r="BM80" s="475"/>
      <c r="BN80" s="475"/>
      <c r="BO80" s="475"/>
      <c r="BP80" s="475"/>
      <c r="BQ80" s="475"/>
      <c r="BR80" s="475"/>
      <c r="BS80" s="475"/>
      <c r="BT80" s="475"/>
      <c r="BU80" s="475"/>
      <c r="BV80" s="475"/>
      <c r="BW80" s="475"/>
      <c r="BX80" s="475"/>
      <c r="BY80" s="475"/>
      <c r="BZ80" s="475"/>
      <c r="CA80" s="475"/>
      <c r="CB80" s="475"/>
      <c r="CC80" s="475"/>
      <c r="CD80" s="475"/>
      <c r="CE80" s="475"/>
      <c r="CF80" s="475"/>
      <c r="CG80" s="475"/>
      <c r="CH80" s="475"/>
      <c r="CI80" s="475"/>
      <c r="CJ80" s="475"/>
      <c r="CK80" s="475"/>
      <c r="CL80" s="475"/>
      <c r="CM80" s="475"/>
      <c r="CN80" s="475"/>
      <c r="CO80" s="475"/>
      <c r="CP80" s="475"/>
      <c r="CQ80" s="475"/>
      <c r="CR80" s="475"/>
      <c r="CS80" s="475"/>
      <c r="CT80" s="475"/>
      <c r="CU80" s="475"/>
      <c r="CV80" s="475"/>
      <c r="CW80" s="475"/>
      <c r="CX80" s="475"/>
      <c r="CY80" s="475"/>
      <c r="CZ80" s="475"/>
      <c r="DA80" s="475"/>
      <c r="DB80" s="475"/>
      <c r="DC80" s="475"/>
      <c r="DD80" s="475"/>
      <c r="DE80" s="475"/>
      <c r="DF80" s="475"/>
      <c r="DG80" s="475"/>
      <c r="DH80" s="475"/>
      <c r="DI80" s="475"/>
      <c r="DJ80" s="475"/>
      <c r="DK80" s="475"/>
      <c r="DL80" s="475"/>
      <c r="DM80" s="475"/>
      <c r="DN80" s="475"/>
      <c r="DO80" s="475"/>
      <c r="DP80" s="475"/>
      <c r="DQ80" s="475"/>
      <c r="DR80" s="766"/>
      <c r="DS80" s="474"/>
      <c r="DT80" s="474"/>
      <c r="DU80" s="474"/>
      <c r="DV80" s="474"/>
      <c r="DW80" s="474"/>
      <c r="DX80" s="474"/>
      <c r="DY80" s="474"/>
      <c r="DZ80" s="474"/>
      <c r="EA80" s="474"/>
      <c r="EB80" s="474"/>
      <c r="EC80" s="474"/>
    </row>
    <row r="81" spans="1:133" s="473" customFormat="1">
      <c r="A81" s="488"/>
      <c r="B81" s="752">
        <v>6</v>
      </c>
      <c r="C81" s="473" t="s">
        <v>402</v>
      </c>
      <c r="D81" s="753">
        <v>4.0350588941831002E-2</v>
      </c>
      <c r="E81" s="488" t="s">
        <v>401</v>
      </c>
      <c r="F81" s="489">
        <v>4.05624383222392E-2</v>
      </c>
      <c r="G81" s="488" t="s">
        <v>401</v>
      </c>
      <c r="H81" s="489">
        <v>4.3212733694667202E-2</v>
      </c>
      <c r="I81" s="488" t="s">
        <v>399</v>
      </c>
      <c r="J81" s="489">
        <v>4.5594885732205097E-2</v>
      </c>
      <c r="K81" s="488" t="s">
        <v>388</v>
      </c>
      <c r="L81" s="489">
        <v>4.46802537642517E-2</v>
      </c>
      <c r="M81" s="488" t="s">
        <v>399</v>
      </c>
      <c r="N81" s="489">
        <v>4.3567099717500002E-2</v>
      </c>
      <c r="O81" s="488" t="s">
        <v>399</v>
      </c>
      <c r="P81" s="489">
        <v>4.3567364391065101E-2</v>
      </c>
      <c r="Q81" s="488" t="s">
        <v>388</v>
      </c>
      <c r="R81" s="489">
        <v>4.27108136187897E-2</v>
      </c>
      <c r="S81" s="488" t="s">
        <v>388</v>
      </c>
      <c r="T81" s="489">
        <v>4.2000000000000003E-2</v>
      </c>
      <c r="U81" s="473" t="s">
        <v>379</v>
      </c>
      <c r="V81" s="758">
        <v>4.1084577501632198E-2</v>
      </c>
      <c r="W81" s="473" t="s">
        <v>396</v>
      </c>
      <c r="X81" s="489">
        <v>4.1000000000000002E-2</v>
      </c>
      <c r="Y81" s="759" t="s">
        <v>396</v>
      </c>
      <c r="Z81" s="759">
        <v>4.1664066668619298E-2</v>
      </c>
      <c r="AA81" s="498" t="s">
        <v>396</v>
      </c>
      <c r="AB81" s="489">
        <v>3.9111091619932301E-2</v>
      </c>
      <c r="AC81" s="761">
        <f t="shared" si="0"/>
        <v>36</v>
      </c>
      <c r="AD81" s="1347"/>
      <c r="AE81" s="1347"/>
      <c r="AF81" s="1347"/>
      <c r="AG81" s="1347"/>
      <c r="AH81" s="1347"/>
      <c r="AI81" s="1347"/>
      <c r="AJ81" s="1347"/>
      <c r="AK81" s="1347"/>
      <c r="AL81" s="1347"/>
      <c r="AM81" s="1347"/>
      <c r="AN81" s="1347"/>
      <c r="AO81" s="1347"/>
      <c r="AP81" s="1347"/>
      <c r="AQ81" s="1347"/>
      <c r="AR81" s="1347"/>
      <c r="AS81" s="1347"/>
      <c r="AT81" s="1347"/>
      <c r="AU81" s="1347"/>
      <c r="AV81" s="1347"/>
      <c r="AW81" s="1347"/>
      <c r="AX81" s="1347"/>
      <c r="AY81" s="1347"/>
      <c r="AZ81" s="1347"/>
      <c r="BA81" s="1347"/>
      <c r="BB81" s="475"/>
      <c r="BC81" s="475"/>
      <c r="BD81" s="475"/>
      <c r="BE81" s="475"/>
      <c r="BF81" s="475"/>
      <c r="BG81" s="475"/>
      <c r="BH81" s="475"/>
      <c r="BI81" s="475"/>
      <c r="BJ81" s="475"/>
      <c r="BK81" s="475"/>
      <c r="BL81" s="475"/>
      <c r="BM81" s="475"/>
      <c r="BN81" s="475"/>
      <c r="BO81" s="475"/>
      <c r="BP81" s="475"/>
      <c r="BQ81" s="475"/>
      <c r="BR81" s="475"/>
      <c r="BS81" s="475"/>
      <c r="BT81" s="475"/>
      <c r="BU81" s="475"/>
      <c r="BV81" s="475"/>
      <c r="BW81" s="475"/>
      <c r="BX81" s="475"/>
      <c r="BY81" s="475"/>
      <c r="BZ81" s="475"/>
      <c r="CA81" s="475"/>
      <c r="CB81" s="475"/>
      <c r="CC81" s="475"/>
      <c r="CD81" s="475"/>
      <c r="CE81" s="475"/>
      <c r="CF81" s="475"/>
      <c r="CG81" s="475"/>
      <c r="CH81" s="475"/>
      <c r="CI81" s="475"/>
      <c r="CJ81" s="475"/>
      <c r="CK81" s="475"/>
      <c r="CL81" s="475"/>
      <c r="CM81" s="475"/>
      <c r="CN81" s="475"/>
      <c r="CO81" s="475"/>
      <c r="CP81" s="475"/>
      <c r="CQ81" s="475"/>
      <c r="CR81" s="475"/>
      <c r="CS81" s="475"/>
      <c r="CT81" s="475"/>
      <c r="CU81" s="475"/>
      <c r="CV81" s="475"/>
      <c r="CW81" s="475"/>
      <c r="CX81" s="475"/>
      <c r="CY81" s="475"/>
      <c r="CZ81" s="475"/>
      <c r="DA81" s="475"/>
      <c r="DB81" s="475"/>
      <c r="DC81" s="475"/>
      <c r="DD81" s="475"/>
      <c r="DE81" s="475"/>
      <c r="DF81" s="475"/>
      <c r="DG81" s="475"/>
      <c r="DH81" s="475"/>
      <c r="DI81" s="475"/>
      <c r="DJ81" s="475"/>
      <c r="DK81" s="475"/>
      <c r="DL81" s="475"/>
      <c r="DM81" s="475"/>
      <c r="DN81" s="475"/>
      <c r="DO81" s="475"/>
      <c r="DP81" s="475"/>
      <c r="DQ81" s="475"/>
      <c r="DR81" s="766"/>
      <c r="DS81" s="474"/>
      <c r="DT81" s="474"/>
      <c r="DU81" s="474"/>
      <c r="DV81" s="474"/>
      <c r="DW81" s="474"/>
      <c r="DX81" s="474"/>
      <c r="DY81" s="474"/>
      <c r="DZ81" s="474"/>
      <c r="EA81" s="474"/>
      <c r="EB81" s="474"/>
      <c r="EC81" s="474"/>
    </row>
    <row r="82" spans="1:133" s="473" customFormat="1">
      <c r="A82" s="488"/>
      <c r="B82" s="752">
        <v>7</v>
      </c>
      <c r="C82" s="473" t="s">
        <v>396</v>
      </c>
      <c r="D82" s="753">
        <v>4.00503107595905E-2</v>
      </c>
      <c r="E82" s="488" t="s">
        <v>398</v>
      </c>
      <c r="F82" s="489">
        <v>3.9740277699207398E-2</v>
      </c>
      <c r="G82" s="488" t="s">
        <v>399</v>
      </c>
      <c r="H82" s="489">
        <v>4.2427829923608801E-2</v>
      </c>
      <c r="I82" s="488" t="s">
        <v>388</v>
      </c>
      <c r="J82" s="489">
        <v>4.4388939625672599E-2</v>
      </c>
      <c r="K82" s="488" t="s">
        <v>396</v>
      </c>
      <c r="L82" s="489">
        <v>4.2603460570641703E-2</v>
      </c>
      <c r="M82" s="488" t="s">
        <v>401</v>
      </c>
      <c r="N82" s="489">
        <v>4.1486892304752603E-2</v>
      </c>
      <c r="O82" s="488" t="s">
        <v>401</v>
      </c>
      <c r="P82" s="489">
        <v>4.1486647295733703E-2</v>
      </c>
      <c r="Q82" s="488" t="s">
        <v>379</v>
      </c>
      <c r="R82" s="489">
        <v>3.9655953536695501E-2</v>
      </c>
      <c r="S82" s="488" t="s">
        <v>403</v>
      </c>
      <c r="T82" s="489">
        <v>4.2000000000000003E-2</v>
      </c>
      <c r="U82" s="473" t="s">
        <v>378</v>
      </c>
      <c r="V82" s="758">
        <v>4.0812796912572502E-2</v>
      </c>
      <c r="W82" s="473" t="s">
        <v>403</v>
      </c>
      <c r="X82" s="489">
        <v>3.5000000000000003E-2</v>
      </c>
      <c r="Y82" s="759" t="s">
        <v>403</v>
      </c>
      <c r="Z82" s="759">
        <v>3.6432021618400097E-2</v>
      </c>
      <c r="AA82" s="498" t="s">
        <v>403</v>
      </c>
      <c r="AB82" s="489">
        <v>3.6720985816413997E-2</v>
      </c>
      <c r="AC82" s="761">
        <f t="shared" si="0"/>
        <v>37</v>
      </c>
      <c r="AD82" s="1347"/>
      <c r="AE82" s="1347"/>
      <c r="AF82" s="1347"/>
      <c r="AG82" s="1347"/>
      <c r="AH82" s="1347"/>
      <c r="AI82" s="1347"/>
      <c r="AJ82" s="1347"/>
      <c r="AK82" s="1347"/>
      <c r="AL82" s="1347"/>
      <c r="AM82" s="1347"/>
      <c r="AN82" s="1347"/>
      <c r="AO82" s="1347"/>
      <c r="AP82" s="1347"/>
      <c r="AQ82" s="1347"/>
      <c r="AR82" s="1347"/>
      <c r="AS82" s="1347"/>
      <c r="AT82" s="1347"/>
      <c r="AU82" s="1347"/>
      <c r="AV82" s="1347"/>
      <c r="AW82" s="1347"/>
      <c r="AX82" s="1347"/>
      <c r="AY82" s="1347"/>
      <c r="AZ82" s="1347"/>
      <c r="BA82" s="1347"/>
      <c r="BB82" s="475"/>
      <c r="BC82" s="475"/>
      <c r="BD82" s="475"/>
      <c r="BE82" s="475"/>
      <c r="BF82" s="475"/>
      <c r="BG82" s="475"/>
      <c r="BH82" s="475"/>
      <c r="BI82" s="475"/>
      <c r="BJ82" s="475"/>
      <c r="BK82" s="475"/>
      <c r="BL82" s="475"/>
      <c r="BM82" s="475"/>
      <c r="BN82" s="475"/>
      <c r="BO82" s="475"/>
      <c r="BP82" s="475"/>
      <c r="BQ82" s="475"/>
      <c r="BR82" s="475"/>
      <c r="BS82" s="475"/>
      <c r="BT82" s="475"/>
      <c r="BU82" s="475"/>
      <c r="BV82" s="475"/>
      <c r="BW82" s="475"/>
      <c r="BX82" s="475"/>
      <c r="BY82" s="475"/>
      <c r="BZ82" s="475"/>
      <c r="CA82" s="475"/>
      <c r="CB82" s="475"/>
      <c r="CC82" s="475"/>
      <c r="CD82" s="475"/>
      <c r="CE82" s="475"/>
      <c r="CF82" s="475"/>
      <c r="CG82" s="475"/>
      <c r="CH82" s="475"/>
      <c r="CI82" s="475"/>
      <c r="CJ82" s="475"/>
      <c r="CK82" s="475"/>
      <c r="CL82" s="475"/>
      <c r="CM82" s="475"/>
      <c r="CN82" s="475"/>
      <c r="CO82" s="475"/>
      <c r="CP82" s="475"/>
      <c r="CQ82" s="475"/>
      <c r="CR82" s="475"/>
      <c r="CS82" s="475"/>
      <c r="CT82" s="475"/>
      <c r="CU82" s="475"/>
      <c r="CV82" s="475"/>
      <c r="CW82" s="475"/>
      <c r="CX82" s="475"/>
      <c r="CY82" s="475"/>
      <c r="CZ82" s="475"/>
      <c r="DA82" s="475"/>
      <c r="DB82" s="475"/>
      <c r="DC82" s="475"/>
      <c r="DD82" s="475"/>
      <c r="DE82" s="475"/>
      <c r="DF82" s="475"/>
      <c r="DG82" s="475"/>
      <c r="DH82" s="475"/>
      <c r="DI82" s="475"/>
      <c r="DJ82" s="475"/>
      <c r="DK82" s="475"/>
      <c r="DL82" s="475"/>
      <c r="DM82" s="475"/>
      <c r="DN82" s="475"/>
      <c r="DO82" s="475"/>
      <c r="DP82" s="475"/>
      <c r="DQ82" s="475"/>
      <c r="DR82" s="766"/>
      <c r="DS82" s="474"/>
      <c r="DT82" s="474"/>
      <c r="DU82" s="474"/>
      <c r="DV82" s="474"/>
      <c r="DW82" s="474"/>
      <c r="DX82" s="474"/>
      <c r="DY82" s="474"/>
      <c r="DZ82" s="474"/>
      <c r="EA82" s="474"/>
      <c r="EB82" s="474"/>
      <c r="EC82" s="474"/>
    </row>
    <row r="83" spans="1:133" s="473" customFormat="1">
      <c r="A83" s="488"/>
      <c r="B83" s="752">
        <v>8</v>
      </c>
      <c r="C83" s="473" t="s">
        <v>383</v>
      </c>
      <c r="D83" s="753">
        <v>3.9608391925349699E-2</v>
      </c>
      <c r="E83" s="488" t="s">
        <v>396</v>
      </c>
      <c r="F83" s="489">
        <v>3.8680520198877397E-2</v>
      </c>
      <c r="G83" s="488" t="s">
        <v>388</v>
      </c>
      <c r="H83" s="489">
        <v>4.2219217625653102E-2</v>
      </c>
      <c r="I83" s="488" t="s">
        <v>401</v>
      </c>
      <c r="J83" s="489">
        <v>4.3984023414719998E-2</v>
      </c>
      <c r="K83" s="488" t="s">
        <v>404</v>
      </c>
      <c r="L83" s="489">
        <v>3.9836110587444601E-2</v>
      </c>
      <c r="M83" s="488" t="s">
        <v>398</v>
      </c>
      <c r="N83" s="489">
        <v>3.9700548569658399E-2</v>
      </c>
      <c r="O83" s="488" t="s">
        <v>398</v>
      </c>
      <c r="P83" s="489">
        <v>3.9700489548235303E-2</v>
      </c>
      <c r="Q83" s="488" t="s">
        <v>382</v>
      </c>
      <c r="R83" s="489">
        <v>3.85870250200126E-2</v>
      </c>
      <c r="S83" s="488" t="s">
        <v>379</v>
      </c>
      <c r="T83" s="489">
        <v>4.1000000000000002E-2</v>
      </c>
      <c r="U83" s="473" t="s">
        <v>384</v>
      </c>
      <c r="V83" s="758">
        <v>3.8591608280166299E-2</v>
      </c>
      <c r="W83" s="473" t="s">
        <v>378</v>
      </c>
      <c r="X83" s="489">
        <v>3.5000000000000003E-2</v>
      </c>
      <c r="Y83" s="759" t="s">
        <v>382</v>
      </c>
      <c r="Z83" s="759">
        <v>3.5699777270371401E-2</v>
      </c>
      <c r="AA83" s="498" t="s">
        <v>377</v>
      </c>
      <c r="AB83" s="489">
        <v>3.5178351200356998E-2</v>
      </c>
      <c r="AC83" s="761">
        <f t="shared" si="0"/>
        <v>38</v>
      </c>
      <c r="AD83" s="1347"/>
      <c r="AE83" s="1347"/>
      <c r="AF83" s="1347"/>
      <c r="AG83" s="1347"/>
      <c r="AH83" s="1347"/>
      <c r="AI83" s="1347"/>
      <c r="AJ83" s="1347"/>
      <c r="AK83" s="1347"/>
      <c r="AL83" s="1347"/>
      <c r="AM83" s="1347"/>
      <c r="AN83" s="1347"/>
      <c r="AO83" s="1347"/>
      <c r="AP83" s="1347"/>
      <c r="AQ83" s="1347"/>
      <c r="AR83" s="1347"/>
      <c r="AS83" s="1347"/>
      <c r="AT83" s="1347"/>
      <c r="AU83" s="1347"/>
      <c r="AV83" s="1347"/>
      <c r="AW83" s="1347"/>
      <c r="AX83" s="1347"/>
      <c r="AY83" s="1347"/>
      <c r="AZ83" s="1347"/>
      <c r="BA83" s="1347"/>
      <c r="BB83" s="475"/>
      <c r="BC83" s="475"/>
      <c r="BD83" s="475"/>
      <c r="BE83" s="475"/>
      <c r="BF83" s="475"/>
      <c r="BG83" s="475"/>
      <c r="BH83" s="475"/>
      <c r="BI83" s="475"/>
      <c r="BJ83" s="475"/>
      <c r="BK83" s="475"/>
      <c r="BL83" s="475"/>
      <c r="BM83" s="475"/>
      <c r="BN83" s="475"/>
      <c r="BO83" s="475"/>
      <c r="BP83" s="475"/>
      <c r="BQ83" s="475"/>
      <c r="BR83" s="475"/>
      <c r="BS83" s="475"/>
      <c r="BT83" s="475"/>
      <c r="BU83" s="475"/>
      <c r="BV83" s="475"/>
      <c r="BW83" s="475"/>
      <c r="BX83" s="475"/>
      <c r="BY83" s="475"/>
      <c r="BZ83" s="475"/>
      <c r="CA83" s="475"/>
      <c r="CB83" s="475"/>
      <c r="CC83" s="475"/>
      <c r="CD83" s="475"/>
      <c r="CE83" s="475"/>
      <c r="CF83" s="475"/>
      <c r="CG83" s="475"/>
      <c r="CH83" s="475"/>
      <c r="CI83" s="475"/>
      <c r="CJ83" s="475"/>
      <c r="CK83" s="475"/>
      <c r="CL83" s="475"/>
      <c r="CM83" s="475"/>
      <c r="CN83" s="475"/>
      <c r="CO83" s="475"/>
      <c r="CP83" s="475"/>
      <c r="CQ83" s="475"/>
      <c r="CR83" s="475"/>
      <c r="CS83" s="475"/>
      <c r="CT83" s="475"/>
      <c r="CU83" s="475"/>
      <c r="CV83" s="475"/>
      <c r="CW83" s="475"/>
      <c r="CX83" s="475"/>
      <c r="CY83" s="475"/>
      <c r="CZ83" s="475"/>
      <c r="DA83" s="475"/>
      <c r="DB83" s="475"/>
      <c r="DC83" s="475"/>
      <c r="DD83" s="475"/>
      <c r="DE83" s="475"/>
      <c r="DF83" s="475"/>
      <c r="DG83" s="475"/>
      <c r="DH83" s="475"/>
      <c r="DI83" s="475"/>
      <c r="DJ83" s="475"/>
      <c r="DK83" s="475"/>
      <c r="DL83" s="475"/>
      <c r="DM83" s="475"/>
      <c r="DN83" s="475"/>
      <c r="DO83" s="475"/>
      <c r="DP83" s="475"/>
      <c r="DQ83" s="475"/>
      <c r="DR83" s="766"/>
      <c r="DS83" s="474"/>
      <c r="DT83" s="474"/>
      <c r="DU83" s="474"/>
      <c r="DV83" s="474"/>
      <c r="DW83" s="474"/>
      <c r="DX83" s="474"/>
      <c r="DY83" s="474"/>
      <c r="DZ83" s="474"/>
      <c r="EA83" s="474"/>
      <c r="EB83" s="474"/>
      <c r="EC83" s="474"/>
    </row>
    <row r="84" spans="1:133" s="473" customFormat="1">
      <c r="A84" s="488"/>
      <c r="B84" s="752">
        <v>9</v>
      </c>
      <c r="C84" s="473" t="s">
        <v>401</v>
      </c>
      <c r="D84" s="753">
        <v>3.8405862789867601E-2</v>
      </c>
      <c r="E84" s="488" t="s">
        <v>388</v>
      </c>
      <c r="F84" s="489">
        <v>3.8312182182748497E-2</v>
      </c>
      <c r="G84" s="488" t="s">
        <v>379</v>
      </c>
      <c r="H84" s="489">
        <v>4.1165725520976602E-2</v>
      </c>
      <c r="I84" s="488" t="s">
        <v>396</v>
      </c>
      <c r="J84" s="489">
        <v>3.8129243092767599E-2</v>
      </c>
      <c r="K84" s="488" t="s">
        <v>379</v>
      </c>
      <c r="L84" s="489">
        <v>3.8278771833479497E-2</v>
      </c>
      <c r="M84" s="488" t="s">
        <v>379</v>
      </c>
      <c r="N84" s="489">
        <v>3.86162929314205E-2</v>
      </c>
      <c r="O84" s="488" t="s">
        <v>379</v>
      </c>
      <c r="P84" s="489">
        <v>3.8616260459402897E-2</v>
      </c>
      <c r="Q84" s="488" t="s">
        <v>403</v>
      </c>
      <c r="R84" s="489">
        <v>3.8226627833699497E-2</v>
      </c>
      <c r="S84" s="488" t="s">
        <v>395</v>
      </c>
      <c r="T84" s="489">
        <v>3.7999999999999999E-2</v>
      </c>
      <c r="U84" s="473" t="s">
        <v>383</v>
      </c>
      <c r="V84" s="758">
        <v>3.8589137547538399E-2</v>
      </c>
      <c r="W84" s="473" t="s">
        <v>382</v>
      </c>
      <c r="X84" s="489">
        <v>3.3000000000000002E-2</v>
      </c>
      <c r="Y84" s="759" t="s">
        <v>377</v>
      </c>
      <c r="Z84" s="759">
        <v>3.49191411219512E-2</v>
      </c>
      <c r="AA84" s="498" t="s">
        <v>382</v>
      </c>
      <c r="AB84" s="489">
        <v>3.4633717619044498E-2</v>
      </c>
      <c r="AC84" s="761">
        <f t="shared" si="0"/>
        <v>39</v>
      </c>
      <c r="AD84" s="1347"/>
      <c r="AE84" s="1347"/>
      <c r="AF84" s="1347"/>
      <c r="AG84" s="1347"/>
      <c r="AH84" s="1347"/>
      <c r="AI84" s="1347"/>
      <c r="AJ84" s="1347"/>
      <c r="AK84" s="1347"/>
      <c r="AL84" s="1347"/>
      <c r="AM84" s="1347"/>
      <c r="AN84" s="1347"/>
      <c r="AO84" s="1347"/>
      <c r="AP84" s="1347"/>
      <c r="AQ84" s="1347"/>
      <c r="AR84" s="1347"/>
      <c r="AS84" s="1347"/>
      <c r="AT84" s="1347"/>
      <c r="AU84" s="1347"/>
      <c r="AV84" s="1347"/>
      <c r="AW84" s="1347"/>
      <c r="AX84" s="1347"/>
      <c r="AY84" s="1347"/>
      <c r="AZ84" s="1347"/>
      <c r="BA84" s="1347"/>
      <c r="BB84" s="475"/>
      <c r="BC84" s="475"/>
      <c r="BD84" s="475"/>
      <c r="BE84" s="475"/>
      <c r="BF84" s="475"/>
      <c r="BG84" s="475"/>
      <c r="BH84" s="475"/>
      <c r="BI84" s="475"/>
      <c r="BJ84" s="475"/>
      <c r="BK84" s="475"/>
      <c r="BL84" s="475"/>
      <c r="BM84" s="475"/>
      <c r="BN84" s="475"/>
      <c r="BO84" s="475"/>
      <c r="BP84" s="475"/>
      <c r="BQ84" s="475"/>
      <c r="BR84" s="475"/>
      <c r="BS84" s="475"/>
      <c r="BT84" s="475"/>
      <c r="BU84" s="475"/>
      <c r="BV84" s="475"/>
      <c r="BW84" s="475"/>
      <c r="BX84" s="475"/>
      <c r="BY84" s="475"/>
      <c r="BZ84" s="475"/>
      <c r="CA84" s="475"/>
      <c r="CB84" s="475"/>
      <c r="CC84" s="475"/>
      <c r="CD84" s="475"/>
      <c r="CE84" s="475"/>
      <c r="CF84" s="475"/>
      <c r="CG84" s="475"/>
      <c r="CH84" s="475"/>
      <c r="CI84" s="475"/>
      <c r="CJ84" s="475"/>
      <c r="CK84" s="475"/>
      <c r="CL84" s="475"/>
      <c r="CM84" s="475"/>
      <c r="CN84" s="475"/>
      <c r="CO84" s="475"/>
      <c r="CP84" s="475"/>
      <c r="CQ84" s="475"/>
      <c r="CR84" s="475"/>
      <c r="CS84" s="475"/>
      <c r="CT84" s="475"/>
      <c r="CU84" s="475"/>
      <c r="CV84" s="475"/>
      <c r="CW84" s="475"/>
      <c r="CX84" s="475"/>
      <c r="CY84" s="475"/>
      <c r="CZ84" s="475"/>
      <c r="DA84" s="475"/>
      <c r="DB84" s="475"/>
      <c r="DC84" s="475"/>
      <c r="DD84" s="475"/>
      <c r="DE84" s="475"/>
      <c r="DF84" s="475"/>
      <c r="DG84" s="475"/>
      <c r="DH84" s="475"/>
      <c r="DI84" s="475"/>
      <c r="DJ84" s="475"/>
      <c r="DK84" s="475"/>
      <c r="DL84" s="475"/>
      <c r="DM84" s="475"/>
      <c r="DN84" s="475"/>
      <c r="DO84" s="475"/>
      <c r="DP84" s="475"/>
      <c r="DQ84" s="475"/>
      <c r="DR84" s="766"/>
      <c r="DS84" s="474"/>
      <c r="DT84" s="474"/>
      <c r="DU84" s="474"/>
      <c r="DV84" s="474"/>
      <c r="DW84" s="474"/>
      <c r="DX84" s="474"/>
      <c r="DY84" s="474"/>
      <c r="DZ84" s="474"/>
      <c r="EA84" s="474"/>
      <c r="EB84" s="474"/>
      <c r="EC84" s="474"/>
    </row>
    <row r="85" spans="1:133" s="473" customFormat="1">
      <c r="A85" s="488"/>
      <c r="B85" s="752">
        <v>10</v>
      </c>
      <c r="C85" s="473" t="s">
        <v>398</v>
      </c>
      <c r="D85" s="753">
        <v>3.7230245378265497E-2</v>
      </c>
      <c r="E85" s="488" t="s">
        <v>383</v>
      </c>
      <c r="F85" s="489">
        <v>3.8002929104360303E-2</v>
      </c>
      <c r="G85" s="488" t="s">
        <v>402</v>
      </c>
      <c r="H85" s="489">
        <v>3.7277713817826699E-2</v>
      </c>
      <c r="I85" s="488" t="s">
        <v>402</v>
      </c>
      <c r="J85" s="489">
        <v>3.6419352354125599E-2</v>
      </c>
      <c r="K85" s="488" t="s">
        <v>383</v>
      </c>
      <c r="L85" s="489">
        <v>3.6663032876240703E-2</v>
      </c>
      <c r="M85" s="488" t="s">
        <v>396</v>
      </c>
      <c r="N85" s="489">
        <v>3.8428104369376499E-2</v>
      </c>
      <c r="O85" s="488" t="s">
        <v>396</v>
      </c>
      <c r="P85" s="489">
        <v>3.8428243854403098E-2</v>
      </c>
      <c r="Q85" s="488" t="s">
        <v>395</v>
      </c>
      <c r="R85" s="489">
        <v>3.5346856743821597E-2</v>
      </c>
      <c r="S85" s="488" t="s">
        <v>382</v>
      </c>
      <c r="T85" s="489">
        <v>3.5000000000000003E-2</v>
      </c>
      <c r="U85" s="473" t="s">
        <v>388</v>
      </c>
      <c r="V85" s="758">
        <v>3.4852772131124303E-2</v>
      </c>
      <c r="W85" s="507" t="s">
        <v>377</v>
      </c>
      <c r="X85" s="500">
        <v>3.3000000000000002E-2</v>
      </c>
      <c r="Y85" s="499" t="s">
        <v>388</v>
      </c>
      <c r="Z85" s="500">
        <v>3.1850718936602899E-2</v>
      </c>
      <c r="AA85" s="499" t="s">
        <v>402</v>
      </c>
      <c r="AB85" s="500">
        <v>1.07931322855606E-2</v>
      </c>
      <c r="AC85" s="761">
        <f t="shared" si="0"/>
        <v>40</v>
      </c>
      <c r="AD85" s="1347"/>
      <c r="AE85" s="1347"/>
      <c r="AF85" s="1347"/>
      <c r="AG85" s="1347"/>
      <c r="AH85" s="1347"/>
      <c r="AI85" s="1347"/>
      <c r="AJ85" s="1347"/>
      <c r="AK85" s="1347"/>
      <c r="AL85" s="1347"/>
      <c r="AM85" s="1347"/>
      <c r="AN85" s="1347"/>
      <c r="AO85" s="1347"/>
      <c r="AP85" s="1347"/>
      <c r="AQ85" s="1347"/>
      <c r="AR85" s="1347"/>
      <c r="AS85" s="1347"/>
      <c r="AT85" s="1347"/>
      <c r="AU85" s="1347"/>
      <c r="AV85" s="1347"/>
      <c r="AW85" s="1347"/>
      <c r="AX85" s="1347"/>
      <c r="AY85" s="1347"/>
      <c r="AZ85" s="1347"/>
      <c r="BA85" s="1347"/>
      <c r="BB85" s="475"/>
      <c r="BC85" s="475"/>
      <c r="BD85" s="475"/>
      <c r="BE85" s="475"/>
      <c r="BF85" s="475"/>
      <c r="BG85" s="475"/>
      <c r="BH85" s="475"/>
      <c r="BI85" s="475"/>
      <c r="BJ85" s="475"/>
      <c r="BK85" s="475"/>
      <c r="BL85" s="475"/>
      <c r="BM85" s="475"/>
      <c r="BN85" s="475"/>
      <c r="BO85" s="475"/>
      <c r="BP85" s="475"/>
      <c r="BQ85" s="475"/>
      <c r="BR85" s="475"/>
      <c r="BS85" s="475"/>
      <c r="BT85" s="475"/>
      <c r="BU85" s="475"/>
      <c r="BV85" s="475"/>
      <c r="BW85" s="475"/>
      <c r="BX85" s="475"/>
      <c r="BY85" s="475"/>
      <c r="BZ85" s="475"/>
      <c r="CA85" s="475"/>
      <c r="CB85" s="475"/>
      <c r="CC85" s="475"/>
      <c r="CD85" s="475"/>
      <c r="CE85" s="475"/>
      <c r="CF85" s="475"/>
      <c r="CG85" s="475"/>
      <c r="CH85" s="475"/>
      <c r="CI85" s="475"/>
      <c r="CJ85" s="475"/>
      <c r="CK85" s="475"/>
      <c r="CL85" s="475"/>
      <c r="CM85" s="475"/>
      <c r="CN85" s="475"/>
      <c r="CO85" s="475"/>
      <c r="CP85" s="475"/>
      <c r="CQ85" s="475"/>
      <c r="CR85" s="475"/>
      <c r="CS85" s="475"/>
      <c r="CT85" s="475"/>
      <c r="CU85" s="475"/>
      <c r="CV85" s="475"/>
      <c r="CW85" s="475"/>
      <c r="CX85" s="475"/>
      <c r="CY85" s="475"/>
      <c r="CZ85" s="475"/>
      <c r="DA85" s="475"/>
      <c r="DB85" s="475"/>
      <c r="DC85" s="475"/>
      <c r="DD85" s="475"/>
      <c r="DE85" s="475"/>
      <c r="DF85" s="475"/>
      <c r="DG85" s="475"/>
      <c r="DH85" s="475"/>
      <c r="DI85" s="475"/>
      <c r="DJ85" s="475"/>
      <c r="DK85" s="475"/>
      <c r="DL85" s="475"/>
      <c r="DM85" s="475"/>
      <c r="DN85" s="475"/>
      <c r="DO85" s="475"/>
      <c r="DP85" s="475"/>
      <c r="DQ85" s="475"/>
      <c r="DR85" s="766"/>
      <c r="DS85" s="474"/>
      <c r="DT85" s="474"/>
      <c r="DU85" s="474"/>
      <c r="DV85" s="474"/>
      <c r="DW85" s="474"/>
      <c r="DX85" s="474"/>
      <c r="DY85" s="474"/>
      <c r="DZ85" s="474"/>
      <c r="EA85" s="474"/>
      <c r="EB85" s="474"/>
      <c r="EC85" s="474"/>
    </row>
    <row r="86" spans="1:133" s="473" customFormat="1">
      <c r="A86" s="748" t="s">
        <v>170</v>
      </c>
      <c r="B86" s="749">
        <v>1</v>
      </c>
      <c r="C86" s="750" t="s">
        <v>380</v>
      </c>
      <c r="D86" s="751">
        <v>0.182</v>
      </c>
      <c r="E86" s="748" t="s">
        <v>380</v>
      </c>
      <c r="F86" s="494">
        <v>0.168944869041847</v>
      </c>
      <c r="G86" s="748" t="s">
        <v>380</v>
      </c>
      <c r="H86" s="494">
        <v>0.15648066970219701</v>
      </c>
      <c r="I86" s="748" t="s">
        <v>380</v>
      </c>
      <c r="J86" s="494">
        <v>0.156326099247276</v>
      </c>
      <c r="K86" s="748" t="s">
        <v>380</v>
      </c>
      <c r="L86" s="494">
        <v>0.153</v>
      </c>
      <c r="M86" s="748" t="s">
        <v>380</v>
      </c>
      <c r="N86" s="494">
        <v>0.14832902982751001</v>
      </c>
      <c r="O86" s="748" t="s">
        <v>380</v>
      </c>
      <c r="P86" s="494">
        <v>0.14863644475208301</v>
      </c>
      <c r="Q86" s="748" t="s">
        <v>380</v>
      </c>
      <c r="R86" s="494">
        <v>0.150110797365447</v>
      </c>
      <c r="S86" s="748" t="s">
        <v>380</v>
      </c>
      <c r="T86" s="494">
        <v>0.14799999999999999</v>
      </c>
      <c r="U86" s="754" t="s">
        <v>380</v>
      </c>
      <c r="V86" s="757">
        <v>0.14402155702984201</v>
      </c>
      <c r="W86" s="473" t="s">
        <v>380</v>
      </c>
      <c r="X86" s="489">
        <v>0.15</v>
      </c>
      <c r="Y86" s="759" t="s">
        <v>380</v>
      </c>
      <c r="Z86" s="759">
        <v>0.14984671650621201</v>
      </c>
      <c r="AA86" s="496" t="s">
        <v>380</v>
      </c>
      <c r="AB86" s="494">
        <v>0.15717965127464201</v>
      </c>
      <c r="AC86" s="761">
        <f t="shared" si="0"/>
        <v>41</v>
      </c>
      <c r="AD86" s="1347"/>
      <c r="AE86" s="1347"/>
      <c r="AF86" s="1347"/>
      <c r="AG86" s="1347"/>
      <c r="AH86" s="1347"/>
      <c r="AI86" s="1347"/>
      <c r="AJ86" s="1347"/>
      <c r="AK86" s="1347"/>
      <c r="AL86" s="1347"/>
      <c r="AM86" s="1347"/>
      <c r="AN86" s="1347"/>
      <c r="AO86" s="1347"/>
      <c r="AP86" s="1347"/>
      <c r="AQ86" s="1347"/>
      <c r="AR86" s="1347"/>
      <c r="AS86" s="1347"/>
      <c r="AT86" s="1347"/>
      <c r="AU86" s="1347"/>
      <c r="AV86" s="1347"/>
      <c r="AW86" s="1347"/>
      <c r="AX86" s="1347"/>
      <c r="AY86" s="1347"/>
      <c r="AZ86" s="1347"/>
      <c r="BA86" s="1347"/>
      <c r="BB86" s="475"/>
      <c r="BC86" s="475"/>
      <c r="BD86" s="475"/>
      <c r="BE86" s="475"/>
      <c r="BF86" s="475"/>
      <c r="BG86" s="475"/>
      <c r="BH86" s="475"/>
      <c r="BI86" s="475"/>
      <c r="BJ86" s="475"/>
      <c r="BK86" s="475"/>
      <c r="BL86" s="475"/>
      <c r="BM86" s="475"/>
      <c r="BN86" s="475"/>
      <c r="BO86" s="475"/>
      <c r="BP86" s="475"/>
      <c r="BQ86" s="475"/>
      <c r="BR86" s="475"/>
      <c r="BS86" s="475"/>
      <c r="BT86" s="475"/>
      <c r="BU86" s="475"/>
      <c r="BV86" s="475"/>
      <c r="BW86" s="475"/>
      <c r="BX86" s="475"/>
      <c r="BY86" s="475"/>
      <c r="BZ86" s="475"/>
      <c r="CA86" s="475"/>
      <c r="CB86" s="475"/>
      <c r="CC86" s="475"/>
      <c r="CD86" s="475"/>
      <c r="CE86" s="475"/>
      <c r="CF86" s="475"/>
      <c r="CG86" s="475"/>
      <c r="CH86" s="475"/>
      <c r="CI86" s="475"/>
      <c r="CJ86" s="475"/>
      <c r="CK86" s="475"/>
      <c r="CL86" s="475"/>
      <c r="CM86" s="475"/>
      <c r="CN86" s="475"/>
      <c r="CO86" s="475"/>
      <c r="CP86" s="475"/>
      <c r="CQ86" s="475"/>
      <c r="CR86" s="475"/>
      <c r="CS86" s="475"/>
      <c r="CT86" s="475"/>
      <c r="CU86" s="475"/>
      <c r="CV86" s="475"/>
      <c r="CW86" s="475"/>
      <c r="CX86" s="475"/>
      <c r="CY86" s="475"/>
      <c r="CZ86" s="475"/>
      <c r="DA86" s="475"/>
      <c r="DB86" s="475"/>
      <c r="DC86" s="475"/>
      <c r="DD86" s="475"/>
      <c r="DE86" s="475"/>
      <c r="DF86" s="475"/>
      <c r="DG86" s="475"/>
      <c r="DH86" s="475"/>
      <c r="DI86" s="475"/>
      <c r="DJ86" s="475"/>
      <c r="DK86" s="475"/>
      <c r="DL86" s="475"/>
      <c r="DM86" s="475"/>
      <c r="DN86" s="475"/>
      <c r="DO86" s="475"/>
      <c r="DP86" s="475"/>
      <c r="DQ86" s="475"/>
      <c r="DR86" s="766"/>
      <c r="DS86" s="474"/>
      <c r="DT86" s="474"/>
      <c r="DU86" s="474"/>
      <c r="DV86" s="474"/>
      <c r="DW86" s="474"/>
      <c r="DX86" s="474"/>
      <c r="DY86" s="474"/>
      <c r="DZ86" s="474"/>
      <c r="EA86" s="474"/>
      <c r="EB86" s="474"/>
      <c r="EC86" s="474"/>
    </row>
    <row r="87" spans="1:133" s="473" customFormat="1">
      <c r="A87" s="488"/>
      <c r="B87" s="752">
        <v>2</v>
      </c>
      <c r="C87" s="473" t="s">
        <v>378</v>
      </c>
      <c r="D87" s="753">
        <v>6.3081224221706103E-2</v>
      </c>
      <c r="E87" s="488" t="s">
        <v>379</v>
      </c>
      <c r="F87" s="489">
        <v>7.9390734797232299E-2</v>
      </c>
      <c r="G87" s="488" t="s">
        <v>379</v>
      </c>
      <c r="H87" s="489">
        <v>8.3742823609264994E-2</v>
      </c>
      <c r="I87" s="488" t="s">
        <v>379</v>
      </c>
      <c r="J87" s="489">
        <v>9.2701123728368903E-2</v>
      </c>
      <c r="K87" s="488" t="s">
        <v>379</v>
      </c>
      <c r="L87" s="489">
        <v>9.7000000000000003E-2</v>
      </c>
      <c r="M87" s="488" t="s">
        <v>379</v>
      </c>
      <c r="N87" s="489">
        <v>9.3463201154635495E-2</v>
      </c>
      <c r="O87" s="488" t="s">
        <v>379</v>
      </c>
      <c r="P87" s="489">
        <v>9.2592692735456394E-2</v>
      </c>
      <c r="Q87" s="488" t="s">
        <v>379</v>
      </c>
      <c r="R87" s="489">
        <v>9.4529444101107293E-2</v>
      </c>
      <c r="S87" s="488" t="s">
        <v>379</v>
      </c>
      <c r="T87" s="489">
        <v>9.4E-2</v>
      </c>
      <c r="U87" s="473" t="s">
        <v>379</v>
      </c>
      <c r="V87" s="758">
        <v>9.7195328839934106E-2</v>
      </c>
      <c r="W87" s="473" t="s">
        <v>379</v>
      </c>
      <c r="X87" s="489">
        <v>9.6000000000000002E-2</v>
      </c>
      <c r="Y87" s="759" t="s">
        <v>379</v>
      </c>
      <c r="Z87" s="759">
        <v>9.3999533874755695E-2</v>
      </c>
      <c r="AA87" s="498" t="s">
        <v>379</v>
      </c>
      <c r="AB87" s="489">
        <v>9.2214731899222205E-2</v>
      </c>
      <c r="AC87" s="761">
        <f t="shared" si="0"/>
        <v>42</v>
      </c>
      <c r="AD87" s="1347"/>
      <c r="AE87" s="1347"/>
      <c r="AF87" s="1347"/>
      <c r="AG87" s="1347"/>
      <c r="AH87" s="1347"/>
      <c r="AI87" s="1347"/>
      <c r="AJ87" s="1347"/>
      <c r="AK87" s="1347"/>
      <c r="AL87" s="1347"/>
      <c r="AM87" s="1347"/>
      <c r="AN87" s="1347"/>
      <c r="AO87" s="1347"/>
      <c r="AP87" s="1347"/>
      <c r="AQ87" s="1347"/>
      <c r="AR87" s="1347"/>
      <c r="AS87" s="1347"/>
      <c r="AT87" s="1347"/>
      <c r="AU87" s="1347"/>
      <c r="AV87" s="1347"/>
      <c r="AW87" s="1347"/>
      <c r="AX87" s="1347"/>
      <c r="AY87" s="1347"/>
      <c r="AZ87" s="1347"/>
      <c r="BA87" s="1347"/>
      <c r="BB87" s="475"/>
      <c r="BC87" s="475"/>
      <c r="BD87" s="475"/>
      <c r="BE87" s="475"/>
      <c r="BF87" s="475"/>
      <c r="BG87" s="475"/>
      <c r="BH87" s="475"/>
      <c r="BI87" s="475"/>
      <c r="BJ87" s="475"/>
      <c r="BK87" s="475"/>
      <c r="BL87" s="475"/>
      <c r="BM87" s="475"/>
      <c r="BN87" s="475"/>
      <c r="BO87" s="475"/>
      <c r="BP87" s="475"/>
      <c r="BQ87" s="475"/>
      <c r="BR87" s="475"/>
      <c r="BS87" s="475"/>
      <c r="BT87" s="475"/>
      <c r="BU87" s="475"/>
      <c r="BV87" s="475"/>
      <c r="BW87" s="475"/>
      <c r="BX87" s="475"/>
      <c r="BY87" s="475"/>
      <c r="BZ87" s="475"/>
      <c r="CA87" s="475"/>
      <c r="CB87" s="475"/>
      <c r="CC87" s="475"/>
      <c r="CD87" s="475"/>
      <c r="CE87" s="475"/>
      <c r="CF87" s="475"/>
      <c r="CG87" s="475"/>
      <c r="CH87" s="475"/>
      <c r="CI87" s="475"/>
      <c r="CJ87" s="475"/>
      <c r="CK87" s="475"/>
      <c r="CL87" s="475"/>
      <c r="CM87" s="475"/>
      <c r="CN87" s="475"/>
      <c r="CO87" s="475"/>
      <c r="CP87" s="475"/>
      <c r="CQ87" s="475"/>
      <c r="CR87" s="475"/>
      <c r="CS87" s="475"/>
      <c r="CT87" s="475"/>
      <c r="CU87" s="475"/>
      <c r="CV87" s="475"/>
      <c r="CW87" s="475"/>
      <c r="CX87" s="475"/>
      <c r="CY87" s="475"/>
      <c r="CZ87" s="475"/>
      <c r="DA87" s="475"/>
      <c r="DB87" s="475"/>
      <c r="DC87" s="475"/>
      <c r="DD87" s="475"/>
      <c r="DE87" s="475"/>
      <c r="DF87" s="475"/>
      <c r="DG87" s="475"/>
      <c r="DH87" s="475"/>
      <c r="DI87" s="475"/>
      <c r="DJ87" s="475"/>
      <c r="DK87" s="475"/>
      <c r="DL87" s="475"/>
      <c r="DM87" s="475"/>
      <c r="DN87" s="475"/>
      <c r="DO87" s="475"/>
      <c r="DP87" s="475"/>
      <c r="DQ87" s="475"/>
      <c r="DR87" s="766"/>
      <c r="DS87" s="474"/>
      <c r="DT87" s="474"/>
      <c r="DU87" s="474"/>
      <c r="DV87" s="474"/>
      <c r="DW87" s="474"/>
      <c r="DX87" s="474"/>
      <c r="DY87" s="474"/>
      <c r="DZ87" s="474"/>
      <c r="EA87" s="474"/>
      <c r="EB87" s="474"/>
      <c r="EC87" s="474"/>
    </row>
    <row r="88" spans="1:133" s="473" customFormat="1">
      <c r="A88" s="488"/>
      <c r="B88" s="752">
        <v>3</v>
      </c>
      <c r="C88" s="473" t="s">
        <v>393</v>
      </c>
      <c r="D88" s="753">
        <v>6.1667262915410297E-2</v>
      </c>
      <c r="E88" s="488" t="s">
        <v>378</v>
      </c>
      <c r="F88" s="489">
        <v>6.7743809985607306E-2</v>
      </c>
      <c r="G88" s="488" t="s">
        <v>378</v>
      </c>
      <c r="H88" s="489">
        <v>6.8797901524364394E-2</v>
      </c>
      <c r="I88" s="488" t="s">
        <v>378</v>
      </c>
      <c r="J88" s="489">
        <v>6.8687480830842099E-2</v>
      </c>
      <c r="K88" s="488" t="s">
        <v>378</v>
      </c>
      <c r="L88" s="489">
        <v>7.0999999999999994E-2</v>
      </c>
      <c r="M88" s="488" t="s">
        <v>378</v>
      </c>
      <c r="N88" s="489">
        <v>7.2797771925086296E-2</v>
      </c>
      <c r="O88" s="488" t="s">
        <v>378</v>
      </c>
      <c r="P88" s="489">
        <v>7.4868006698355902E-2</v>
      </c>
      <c r="Q88" s="488" t="s">
        <v>378</v>
      </c>
      <c r="R88" s="489">
        <v>7.6371650897817195E-2</v>
      </c>
      <c r="S88" s="488" t="s">
        <v>378</v>
      </c>
      <c r="T88" s="489">
        <v>8.1000000000000003E-2</v>
      </c>
      <c r="U88" s="473" t="s">
        <v>378</v>
      </c>
      <c r="V88" s="758">
        <v>8.2724043918215903E-2</v>
      </c>
      <c r="W88" s="473" t="s">
        <v>378</v>
      </c>
      <c r="X88" s="489">
        <v>0.08</v>
      </c>
      <c r="Y88" s="759" t="s">
        <v>378</v>
      </c>
      <c r="Z88" s="759">
        <v>8.22460065616092E-2</v>
      </c>
      <c r="AA88" s="498" t="s">
        <v>378</v>
      </c>
      <c r="AB88" s="489">
        <v>8.52202011001221E-2</v>
      </c>
      <c r="AC88" s="761">
        <f t="shared" si="0"/>
        <v>43</v>
      </c>
      <c r="AD88" s="1347"/>
      <c r="AE88" s="1347"/>
      <c r="AF88" s="1347"/>
      <c r="AG88" s="1347"/>
      <c r="AH88" s="1347"/>
      <c r="AI88" s="1347"/>
      <c r="AJ88" s="1347"/>
      <c r="AK88" s="1347"/>
      <c r="AL88" s="1347"/>
      <c r="AM88" s="1347"/>
      <c r="AN88" s="1347"/>
      <c r="AO88" s="1347"/>
      <c r="AP88" s="1347"/>
      <c r="AQ88" s="1347"/>
      <c r="AR88" s="1347"/>
      <c r="AS88" s="1347"/>
      <c r="AT88" s="1347"/>
      <c r="AU88" s="1347"/>
      <c r="AV88" s="1347"/>
      <c r="AW88" s="1347"/>
      <c r="AX88" s="1347"/>
      <c r="AY88" s="1347"/>
      <c r="AZ88" s="1347"/>
      <c r="BA88" s="1347"/>
      <c r="BB88" s="475"/>
      <c r="BC88" s="475"/>
      <c r="BD88" s="475"/>
      <c r="BE88" s="475"/>
      <c r="BF88" s="475"/>
      <c r="BG88" s="475"/>
      <c r="BH88" s="475"/>
      <c r="BI88" s="475"/>
      <c r="BJ88" s="475"/>
      <c r="BK88" s="475"/>
      <c r="BL88" s="475"/>
      <c r="BM88" s="475"/>
      <c r="BN88" s="475"/>
      <c r="BO88" s="475"/>
      <c r="BP88" s="475"/>
      <c r="BQ88" s="475"/>
      <c r="BR88" s="475"/>
      <c r="BS88" s="475"/>
      <c r="BT88" s="475"/>
      <c r="BU88" s="475"/>
      <c r="BV88" s="475"/>
      <c r="BW88" s="475"/>
      <c r="BX88" s="475"/>
      <c r="BY88" s="475"/>
      <c r="BZ88" s="475"/>
      <c r="CA88" s="475"/>
      <c r="CB88" s="475"/>
      <c r="CC88" s="475"/>
      <c r="CD88" s="475"/>
      <c r="CE88" s="475"/>
      <c r="CF88" s="475"/>
      <c r="CG88" s="475"/>
      <c r="CH88" s="475"/>
      <c r="CI88" s="475"/>
      <c r="CJ88" s="475"/>
      <c r="CK88" s="475"/>
      <c r="CL88" s="475"/>
      <c r="CM88" s="475"/>
      <c r="CN88" s="475"/>
      <c r="CO88" s="475"/>
      <c r="CP88" s="475"/>
      <c r="CQ88" s="475"/>
      <c r="CR88" s="475"/>
      <c r="CS88" s="475"/>
      <c r="CT88" s="475"/>
      <c r="CU88" s="475"/>
      <c r="CV88" s="475"/>
      <c r="CW88" s="475"/>
      <c r="CX88" s="475"/>
      <c r="CY88" s="475"/>
      <c r="CZ88" s="475"/>
      <c r="DA88" s="475"/>
      <c r="DB88" s="475"/>
      <c r="DC88" s="475"/>
      <c r="DD88" s="475"/>
      <c r="DE88" s="475"/>
      <c r="DF88" s="475"/>
      <c r="DG88" s="475"/>
      <c r="DH88" s="475"/>
      <c r="DI88" s="475"/>
      <c r="DJ88" s="475"/>
      <c r="DK88" s="475"/>
      <c r="DL88" s="475"/>
      <c r="DM88" s="475"/>
      <c r="DN88" s="475"/>
      <c r="DO88" s="475"/>
      <c r="DP88" s="475"/>
      <c r="DQ88" s="475"/>
      <c r="DR88" s="766"/>
      <c r="DS88" s="474"/>
      <c r="DT88" s="474"/>
      <c r="DU88" s="474"/>
      <c r="DV88" s="474"/>
      <c r="DW88" s="474"/>
      <c r="DX88" s="474"/>
      <c r="DY88" s="474"/>
      <c r="DZ88" s="474"/>
      <c r="EA88" s="474"/>
      <c r="EB88" s="474"/>
      <c r="EC88" s="474"/>
    </row>
    <row r="89" spans="1:133" s="473" customFormat="1">
      <c r="A89" s="488"/>
      <c r="B89" s="752">
        <v>4</v>
      </c>
      <c r="C89" s="473" t="s">
        <v>379</v>
      </c>
      <c r="D89" s="753">
        <v>5.9388267717578699E-2</v>
      </c>
      <c r="E89" s="488" t="s">
        <v>381</v>
      </c>
      <c r="F89" s="489">
        <v>5.9556520199804501E-2</v>
      </c>
      <c r="G89" s="488" t="s">
        <v>381</v>
      </c>
      <c r="H89" s="489">
        <v>5.9901651630419397E-2</v>
      </c>
      <c r="I89" s="488" t="s">
        <v>381</v>
      </c>
      <c r="J89" s="489">
        <v>6.0201317729484803E-2</v>
      </c>
      <c r="K89" s="488" t="s">
        <v>381</v>
      </c>
      <c r="L89" s="489">
        <v>0.06</v>
      </c>
      <c r="M89" s="488" t="s">
        <v>381</v>
      </c>
      <c r="N89" s="489">
        <v>5.9524280546146703E-2</v>
      </c>
      <c r="O89" s="488" t="s">
        <v>381</v>
      </c>
      <c r="P89" s="489">
        <v>5.8679111620637998E-2</v>
      </c>
      <c r="Q89" s="488" t="s">
        <v>381</v>
      </c>
      <c r="R89" s="489">
        <v>5.7923633470706101E-2</v>
      </c>
      <c r="S89" s="488" t="s">
        <v>381</v>
      </c>
      <c r="T89" s="489">
        <v>5.7000000000000002E-2</v>
      </c>
      <c r="U89" s="473" t="s">
        <v>381</v>
      </c>
      <c r="V89" s="758">
        <v>5.6308570259622499E-2</v>
      </c>
      <c r="W89" s="473" t="s">
        <v>381</v>
      </c>
      <c r="X89" s="489">
        <v>6.2E-2</v>
      </c>
      <c r="Y89" s="759" t="s">
        <v>381</v>
      </c>
      <c r="Z89" s="759">
        <v>6.3878879148066503E-2</v>
      </c>
      <c r="AA89" s="498" t="s">
        <v>381</v>
      </c>
      <c r="AB89" s="489">
        <v>6.7819269019509298E-2</v>
      </c>
      <c r="AC89" s="761">
        <f t="shared" si="0"/>
        <v>44</v>
      </c>
      <c r="AD89" s="1347"/>
      <c r="AE89" s="1347"/>
      <c r="AF89" s="1347"/>
      <c r="AG89" s="1347"/>
      <c r="AH89" s="1347"/>
      <c r="AI89" s="1347"/>
      <c r="AJ89" s="1347"/>
      <c r="AK89" s="1347"/>
      <c r="AL89" s="1347"/>
      <c r="AM89" s="1347"/>
      <c r="AN89" s="1347"/>
      <c r="AO89" s="1347"/>
      <c r="AP89" s="1347"/>
      <c r="AQ89" s="1347"/>
      <c r="AR89" s="1347"/>
      <c r="AS89" s="1347"/>
      <c r="AT89" s="1347"/>
      <c r="AU89" s="1347"/>
      <c r="AV89" s="1347"/>
      <c r="AW89" s="1347"/>
      <c r="AX89" s="1347"/>
      <c r="AY89" s="1347"/>
      <c r="AZ89" s="1347"/>
      <c r="BA89" s="1347"/>
      <c r="BB89" s="475"/>
      <c r="BC89" s="475"/>
      <c r="BD89" s="475"/>
      <c r="BE89" s="475"/>
      <c r="BF89" s="475"/>
      <c r="BG89" s="475"/>
      <c r="BH89" s="475"/>
      <c r="BI89" s="475"/>
      <c r="BJ89" s="475"/>
      <c r="BK89" s="475"/>
      <c r="BL89" s="475"/>
      <c r="BM89" s="475"/>
      <c r="BN89" s="475"/>
      <c r="BO89" s="475"/>
      <c r="BP89" s="475"/>
      <c r="BQ89" s="475"/>
      <c r="BR89" s="475"/>
      <c r="BS89" s="475"/>
      <c r="BT89" s="475"/>
      <c r="BU89" s="475"/>
      <c r="BV89" s="475"/>
      <c r="BW89" s="475"/>
      <c r="BX89" s="475"/>
      <c r="BY89" s="475"/>
      <c r="BZ89" s="475"/>
      <c r="CA89" s="475"/>
      <c r="CB89" s="475"/>
      <c r="CC89" s="475"/>
      <c r="CD89" s="475"/>
      <c r="CE89" s="475"/>
      <c r="CF89" s="475"/>
      <c r="CG89" s="475"/>
      <c r="CH89" s="475"/>
      <c r="CI89" s="475"/>
      <c r="CJ89" s="475"/>
      <c r="CK89" s="475"/>
      <c r="CL89" s="475"/>
      <c r="CM89" s="475"/>
      <c r="CN89" s="475"/>
      <c r="CO89" s="475"/>
      <c r="CP89" s="475"/>
      <c r="CQ89" s="475"/>
      <c r="CR89" s="475"/>
      <c r="CS89" s="475"/>
      <c r="CT89" s="475"/>
      <c r="CU89" s="475"/>
      <c r="CV89" s="475"/>
      <c r="CW89" s="475"/>
      <c r="CX89" s="475"/>
      <c r="CY89" s="475"/>
      <c r="CZ89" s="475"/>
      <c r="DA89" s="475"/>
      <c r="DB89" s="475"/>
      <c r="DC89" s="475"/>
      <c r="DD89" s="475"/>
      <c r="DE89" s="475"/>
      <c r="DF89" s="475"/>
      <c r="DG89" s="475"/>
      <c r="DH89" s="475"/>
      <c r="DI89" s="475"/>
      <c r="DJ89" s="475"/>
      <c r="DK89" s="475"/>
      <c r="DL89" s="475"/>
      <c r="DM89" s="475"/>
      <c r="DN89" s="475"/>
      <c r="DO89" s="475"/>
      <c r="DP89" s="475"/>
      <c r="DQ89" s="475"/>
      <c r="DR89" s="766"/>
      <c r="DS89" s="474"/>
      <c r="DT89" s="474"/>
      <c r="DU89" s="474"/>
      <c r="DV89" s="474"/>
      <c r="DW89" s="474"/>
      <c r="DX89" s="474"/>
      <c r="DY89" s="474"/>
      <c r="DZ89" s="474"/>
      <c r="EA89" s="474"/>
      <c r="EB89" s="474"/>
      <c r="EC89" s="474"/>
    </row>
    <row r="90" spans="1:133" s="473" customFormat="1">
      <c r="A90" s="488"/>
      <c r="B90" s="752">
        <v>5</v>
      </c>
      <c r="C90" s="473" t="s">
        <v>381</v>
      </c>
      <c r="D90" s="753">
        <v>5.7824771012089701E-2</v>
      </c>
      <c r="E90" s="488" t="s">
        <v>393</v>
      </c>
      <c r="F90" s="489">
        <v>5.3937980558313503E-2</v>
      </c>
      <c r="G90" s="488" t="s">
        <v>392</v>
      </c>
      <c r="H90" s="489">
        <v>5.3890098701886401E-2</v>
      </c>
      <c r="I90" s="488" t="s">
        <v>392</v>
      </c>
      <c r="J90" s="489">
        <v>5.5253365457454601E-2</v>
      </c>
      <c r="K90" s="488" t="s">
        <v>392</v>
      </c>
      <c r="L90" s="489">
        <v>5.2999999999999999E-2</v>
      </c>
      <c r="M90" s="488" t="s">
        <v>392</v>
      </c>
      <c r="N90" s="489">
        <v>5.27051877744883E-2</v>
      </c>
      <c r="O90" s="488" t="s">
        <v>392</v>
      </c>
      <c r="P90" s="489">
        <v>5.2681956078541599E-2</v>
      </c>
      <c r="Q90" s="488" t="s">
        <v>392</v>
      </c>
      <c r="R90" s="489">
        <v>5.2175486637735302E-2</v>
      </c>
      <c r="S90" s="488" t="s">
        <v>392</v>
      </c>
      <c r="T90" s="489">
        <v>5.1999999999999998E-2</v>
      </c>
      <c r="U90" s="473" t="s">
        <v>392</v>
      </c>
      <c r="V90" s="758">
        <v>5.3206572918981301E-2</v>
      </c>
      <c r="W90" s="473" t="s">
        <v>392</v>
      </c>
      <c r="X90" s="489">
        <v>5.3999999999999999E-2</v>
      </c>
      <c r="Y90" s="759" t="s">
        <v>382</v>
      </c>
      <c r="Z90" s="759">
        <v>4.6565911902328803E-2</v>
      </c>
      <c r="AA90" s="498" t="s">
        <v>392</v>
      </c>
      <c r="AB90" s="489">
        <v>4.7012355761114101E-2</v>
      </c>
      <c r="AC90" s="761">
        <f t="shared" si="0"/>
        <v>45</v>
      </c>
      <c r="AD90" s="1347"/>
      <c r="AE90" s="1347"/>
      <c r="AF90" s="1347"/>
      <c r="AG90" s="1347"/>
      <c r="AH90" s="1347"/>
      <c r="AI90" s="1347"/>
      <c r="AJ90" s="1347"/>
      <c r="AK90" s="1347"/>
      <c r="AL90" s="1347"/>
      <c r="AM90" s="1347"/>
      <c r="AN90" s="1347"/>
      <c r="AO90" s="1347"/>
      <c r="AP90" s="1347"/>
      <c r="AQ90" s="1347"/>
      <c r="AR90" s="1347"/>
      <c r="AS90" s="1347"/>
      <c r="AT90" s="1347"/>
      <c r="AU90" s="1347"/>
      <c r="AV90" s="1347"/>
      <c r="AW90" s="1347"/>
      <c r="AX90" s="1347"/>
      <c r="AY90" s="1347"/>
      <c r="AZ90" s="1347"/>
      <c r="BA90" s="1347"/>
      <c r="BB90" s="475"/>
      <c r="BC90" s="475"/>
      <c r="BD90" s="475"/>
      <c r="BE90" s="475"/>
      <c r="BF90" s="475"/>
      <c r="BG90" s="475"/>
      <c r="BH90" s="475"/>
      <c r="BI90" s="475"/>
      <c r="BJ90" s="475"/>
      <c r="BK90" s="475"/>
      <c r="BL90" s="475"/>
      <c r="BM90" s="475"/>
      <c r="BN90" s="475"/>
      <c r="BO90" s="475"/>
      <c r="BP90" s="475"/>
      <c r="BQ90" s="475"/>
      <c r="BR90" s="475"/>
      <c r="BS90" s="475"/>
      <c r="BT90" s="475"/>
      <c r="BU90" s="475"/>
      <c r="BV90" s="475"/>
      <c r="BW90" s="475"/>
      <c r="BX90" s="475"/>
      <c r="BY90" s="475"/>
      <c r="BZ90" s="475"/>
      <c r="CA90" s="475"/>
      <c r="CB90" s="475"/>
      <c r="CC90" s="475"/>
      <c r="CD90" s="475"/>
      <c r="CE90" s="475"/>
      <c r="CF90" s="475"/>
      <c r="CG90" s="475"/>
      <c r="CH90" s="475"/>
      <c r="CI90" s="475"/>
      <c r="CJ90" s="475"/>
      <c r="CK90" s="475"/>
      <c r="CL90" s="475"/>
      <c r="CM90" s="475"/>
      <c r="CN90" s="475"/>
      <c r="CO90" s="475"/>
      <c r="CP90" s="475"/>
      <c r="CQ90" s="475"/>
      <c r="CR90" s="475"/>
      <c r="CS90" s="475"/>
      <c r="CT90" s="475"/>
      <c r="CU90" s="475"/>
      <c r="CV90" s="475"/>
      <c r="CW90" s="475"/>
      <c r="CX90" s="475"/>
      <c r="CY90" s="475"/>
      <c r="CZ90" s="475"/>
      <c r="DA90" s="475"/>
      <c r="DB90" s="475"/>
      <c r="DC90" s="475"/>
      <c r="DD90" s="475"/>
      <c r="DE90" s="475"/>
      <c r="DF90" s="475"/>
      <c r="DG90" s="475"/>
      <c r="DH90" s="475"/>
      <c r="DI90" s="475"/>
      <c r="DJ90" s="475"/>
      <c r="DK90" s="475"/>
      <c r="DL90" s="475"/>
      <c r="DM90" s="475"/>
      <c r="DN90" s="475"/>
      <c r="DO90" s="475"/>
      <c r="DP90" s="475"/>
      <c r="DQ90" s="475"/>
      <c r="DR90" s="766"/>
      <c r="DS90" s="474"/>
      <c r="DT90" s="474"/>
      <c r="DU90" s="474"/>
      <c r="DV90" s="474"/>
      <c r="DW90" s="474"/>
      <c r="DX90" s="474"/>
      <c r="DY90" s="474"/>
      <c r="DZ90" s="474"/>
      <c r="EA90" s="474"/>
      <c r="EB90" s="474"/>
      <c r="EC90" s="474"/>
    </row>
    <row r="91" spans="1:133" s="473" customFormat="1">
      <c r="A91" s="488"/>
      <c r="B91" s="752">
        <v>6</v>
      </c>
      <c r="C91" s="473" t="s">
        <v>392</v>
      </c>
      <c r="D91" s="753">
        <v>5.1328498986377098E-2</v>
      </c>
      <c r="E91" s="488" t="s">
        <v>392</v>
      </c>
      <c r="F91" s="489">
        <v>5.2918177130234702E-2</v>
      </c>
      <c r="G91" s="488" t="s">
        <v>393</v>
      </c>
      <c r="H91" s="489">
        <v>5.2179077462597902E-2</v>
      </c>
      <c r="I91" s="488" t="s">
        <v>393</v>
      </c>
      <c r="J91" s="489">
        <v>4.8300734987085099E-2</v>
      </c>
      <c r="K91" s="488" t="s">
        <v>393</v>
      </c>
      <c r="L91" s="489">
        <v>4.4999999999999998E-2</v>
      </c>
      <c r="M91" s="488" t="s">
        <v>393</v>
      </c>
      <c r="N91" s="489">
        <v>4.2074008831791701E-2</v>
      </c>
      <c r="O91" s="488" t="s">
        <v>393</v>
      </c>
      <c r="P91" s="489">
        <v>4.04911646955547E-2</v>
      </c>
      <c r="Q91" s="488" t="s">
        <v>393</v>
      </c>
      <c r="R91" s="489">
        <v>4.0049235685970602E-2</v>
      </c>
      <c r="S91" s="488" t="s">
        <v>382</v>
      </c>
      <c r="T91" s="489">
        <v>4.1000000000000002E-2</v>
      </c>
      <c r="U91" s="473" t="s">
        <v>382</v>
      </c>
      <c r="V91" s="758">
        <v>4.1712076803972799E-2</v>
      </c>
      <c r="W91" s="473" t="s">
        <v>382</v>
      </c>
      <c r="X91" s="489">
        <v>4.4999999999999998E-2</v>
      </c>
      <c r="Y91" s="759" t="s">
        <v>392</v>
      </c>
      <c r="Z91" s="759">
        <v>4.3989673533050097E-2</v>
      </c>
      <c r="AA91" s="498" t="s">
        <v>382</v>
      </c>
      <c r="AB91" s="489">
        <v>4.59032033890985E-2</v>
      </c>
      <c r="AC91" s="761">
        <f t="shared" si="0"/>
        <v>46</v>
      </c>
      <c r="AD91" s="1347"/>
      <c r="AE91" s="1347"/>
      <c r="AF91" s="1347"/>
      <c r="AG91" s="1347"/>
      <c r="AH91" s="1347"/>
      <c r="AI91" s="1347"/>
      <c r="AJ91" s="1347"/>
      <c r="AK91" s="1347"/>
      <c r="AL91" s="1347"/>
      <c r="AM91" s="1347"/>
      <c r="AN91" s="1347"/>
      <c r="AO91" s="1347"/>
      <c r="AP91" s="1347"/>
      <c r="AQ91" s="1347"/>
      <c r="AR91" s="1347"/>
      <c r="AS91" s="1347"/>
      <c r="AT91" s="1347"/>
      <c r="AU91" s="1347"/>
      <c r="AV91" s="1347"/>
      <c r="AW91" s="1347"/>
      <c r="AX91" s="1347"/>
      <c r="AY91" s="1347"/>
      <c r="AZ91" s="1347"/>
      <c r="BA91" s="1347"/>
      <c r="BB91" s="475"/>
      <c r="BC91" s="475"/>
      <c r="BD91" s="475"/>
      <c r="BE91" s="475"/>
      <c r="BF91" s="475"/>
      <c r="BG91" s="475"/>
      <c r="BH91" s="475"/>
      <c r="BI91" s="475"/>
      <c r="BJ91" s="475"/>
      <c r="BK91" s="475"/>
      <c r="BL91" s="475"/>
      <c r="BM91" s="475"/>
      <c r="BN91" s="475"/>
      <c r="BO91" s="475"/>
      <c r="BP91" s="475"/>
      <c r="BQ91" s="475"/>
      <c r="BR91" s="475"/>
      <c r="BS91" s="475"/>
      <c r="BT91" s="475"/>
      <c r="BU91" s="475"/>
      <c r="BV91" s="475"/>
      <c r="BW91" s="475"/>
      <c r="BX91" s="475"/>
      <c r="BY91" s="475"/>
      <c r="BZ91" s="475"/>
      <c r="CA91" s="475"/>
      <c r="CB91" s="475"/>
      <c r="CC91" s="475"/>
      <c r="CD91" s="475"/>
      <c r="CE91" s="475"/>
      <c r="CF91" s="475"/>
      <c r="CG91" s="475"/>
      <c r="CH91" s="475"/>
      <c r="CI91" s="475"/>
      <c r="CJ91" s="475"/>
      <c r="CK91" s="475"/>
      <c r="CL91" s="475"/>
      <c r="CM91" s="475"/>
      <c r="CN91" s="475"/>
      <c r="CO91" s="475"/>
      <c r="CP91" s="475"/>
      <c r="CQ91" s="475"/>
      <c r="CR91" s="475"/>
      <c r="CS91" s="475"/>
      <c r="CT91" s="475"/>
      <c r="CU91" s="475"/>
      <c r="CV91" s="475"/>
      <c r="CW91" s="475"/>
      <c r="CX91" s="475"/>
      <c r="CY91" s="475"/>
      <c r="CZ91" s="475"/>
      <c r="DA91" s="475"/>
      <c r="DB91" s="475"/>
      <c r="DC91" s="475"/>
      <c r="DD91" s="475"/>
      <c r="DE91" s="475"/>
      <c r="DF91" s="475"/>
      <c r="DG91" s="475"/>
      <c r="DH91" s="475"/>
      <c r="DI91" s="475"/>
      <c r="DJ91" s="475"/>
      <c r="DK91" s="475"/>
      <c r="DL91" s="475"/>
      <c r="DM91" s="475"/>
      <c r="DN91" s="475"/>
      <c r="DO91" s="475"/>
      <c r="DP91" s="475"/>
      <c r="DQ91" s="475"/>
      <c r="DR91" s="766"/>
      <c r="DS91" s="474"/>
      <c r="DT91" s="474"/>
      <c r="DU91" s="474"/>
      <c r="DV91" s="474"/>
      <c r="DW91" s="474"/>
      <c r="DX91" s="474"/>
      <c r="DY91" s="474"/>
      <c r="DZ91" s="474"/>
      <c r="EA91" s="474"/>
      <c r="EB91" s="474"/>
      <c r="EC91" s="474"/>
    </row>
    <row r="92" spans="1:133" s="473" customFormat="1">
      <c r="A92" s="488"/>
      <c r="B92" s="752">
        <v>7</v>
      </c>
      <c r="C92" s="473" t="s">
        <v>383</v>
      </c>
      <c r="D92" s="753">
        <v>3.83908476764281E-2</v>
      </c>
      <c r="E92" s="488" t="s">
        <v>377</v>
      </c>
      <c r="F92" s="489">
        <v>3.8537024636911499E-2</v>
      </c>
      <c r="G92" s="488" t="s">
        <v>384</v>
      </c>
      <c r="H92" s="489">
        <v>3.7281880143669198E-2</v>
      </c>
      <c r="I92" s="488" t="s">
        <v>377</v>
      </c>
      <c r="J92" s="489">
        <v>3.7924446727293601E-2</v>
      </c>
      <c r="K92" s="488" t="s">
        <v>382</v>
      </c>
      <c r="L92" s="489">
        <v>3.6999999999999998E-2</v>
      </c>
      <c r="M92" s="488" t="s">
        <v>382</v>
      </c>
      <c r="N92" s="489">
        <v>3.9524590192135299E-2</v>
      </c>
      <c r="O92" s="488" t="s">
        <v>382</v>
      </c>
      <c r="P92" s="489">
        <v>4.04821518378118E-2</v>
      </c>
      <c r="Q92" s="488" t="s">
        <v>382</v>
      </c>
      <c r="R92" s="489">
        <v>4.0363360728223802E-2</v>
      </c>
      <c r="S92" s="488" t="s">
        <v>393</v>
      </c>
      <c r="T92" s="489">
        <v>0.04</v>
      </c>
      <c r="U92" s="473" t="s">
        <v>393</v>
      </c>
      <c r="V92" s="758">
        <v>4.0549929989031001E-2</v>
      </c>
      <c r="W92" s="473" t="s">
        <v>384</v>
      </c>
      <c r="X92" s="489">
        <v>4.1000000000000002E-2</v>
      </c>
      <c r="Y92" s="759" t="s">
        <v>384</v>
      </c>
      <c r="Z92" s="759">
        <v>4.12305706448663E-2</v>
      </c>
      <c r="AA92" s="498" t="s">
        <v>384</v>
      </c>
      <c r="AB92" s="489">
        <v>4.06892056898535E-2</v>
      </c>
      <c r="AC92" s="761">
        <f t="shared" si="0"/>
        <v>47</v>
      </c>
      <c r="AD92" s="1347"/>
      <c r="AE92" s="1347"/>
      <c r="AF92" s="1347"/>
      <c r="AG92" s="1347"/>
      <c r="AH92" s="1347"/>
      <c r="AI92" s="1347"/>
      <c r="AJ92" s="1347"/>
      <c r="AK92" s="1347"/>
      <c r="AL92" s="1347"/>
      <c r="AM92" s="1347"/>
      <c r="AN92" s="1347"/>
      <c r="AO92" s="1347"/>
      <c r="AP92" s="1347"/>
      <c r="AQ92" s="1347"/>
      <c r="AR92" s="1347"/>
      <c r="AS92" s="1347"/>
      <c r="AT92" s="1347"/>
      <c r="AU92" s="1347"/>
      <c r="AV92" s="1347"/>
      <c r="AW92" s="1347"/>
      <c r="AX92" s="1347"/>
      <c r="AY92" s="1347"/>
      <c r="AZ92" s="1347"/>
      <c r="BA92" s="1347"/>
      <c r="BB92" s="475"/>
      <c r="BC92" s="475"/>
      <c r="BD92" s="475"/>
      <c r="BE92" s="475"/>
      <c r="BF92" s="475"/>
      <c r="BG92" s="475"/>
      <c r="BH92" s="475"/>
      <c r="BI92" s="475"/>
      <c r="BJ92" s="475"/>
      <c r="BK92" s="475"/>
      <c r="BL92" s="475"/>
      <c r="BM92" s="475"/>
      <c r="BN92" s="475"/>
      <c r="BO92" s="475"/>
      <c r="BP92" s="475"/>
      <c r="BQ92" s="475"/>
      <c r="BR92" s="475"/>
      <c r="BS92" s="475"/>
      <c r="BT92" s="475"/>
      <c r="BU92" s="475"/>
      <c r="BV92" s="475"/>
      <c r="BW92" s="475"/>
      <c r="BX92" s="475"/>
      <c r="BY92" s="475"/>
      <c r="BZ92" s="475"/>
      <c r="CA92" s="475"/>
      <c r="CB92" s="475"/>
      <c r="CC92" s="475"/>
      <c r="CD92" s="475"/>
      <c r="CE92" s="475"/>
      <c r="CF92" s="475"/>
      <c r="CG92" s="475"/>
      <c r="CH92" s="475"/>
      <c r="CI92" s="475"/>
      <c r="CJ92" s="475"/>
      <c r="CK92" s="475"/>
      <c r="CL92" s="475"/>
      <c r="CM92" s="475"/>
      <c r="CN92" s="475"/>
      <c r="CO92" s="475"/>
      <c r="CP92" s="475"/>
      <c r="CQ92" s="475"/>
      <c r="CR92" s="475"/>
      <c r="CS92" s="475"/>
      <c r="CT92" s="475"/>
      <c r="CU92" s="475"/>
      <c r="CV92" s="475"/>
      <c r="CW92" s="475"/>
      <c r="CX92" s="475"/>
      <c r="CY92" s="475"/>
      <c r="CZ92" s="475"/>
      <c r="DA92" s="475"/>
      <c r="DB92" s="475"/>
      <c r="DC92" s="475"/>
      <c r="DD92" s="475"/>
      <c r="DE92" s="475"/>
      <c r="DF92" s="475"/>
      <c r="DG92" s="475"/>
      <c r="DH92" s="475"/>
      <c r="DI92" s="475"/>
      <c r="DJ92" s="475"/>
      <c r="DK92" s="475"/>
      <c r="DL92" s="475"/>
      <c r="DM92" s="475"/>
      <c r="DN92" s="475"/>
      <c r="DO92" s="475"/>
      <c r="DP92" s="475"/>
      <c r="DQ92" s="475"/>
      <c r="DR92" s="766"/>
      <c r="DS92" s="474"/>
      <c r="DT92" s="474"/>
      <c r="DU92" s="474"/>
      <c r="DV92" s="474"/>
      <c r="DW92" s="474"/>
      <c r="DX92" s="474"/>
      <c r="DY92" s="474"/>
      <c r="DZ92" s="474"/>
      <c r="EA92" s="474"/>
      <c r="EB92" s="474"/>
      <c r="EC92" s="474"/>
    </row>
    <row r="93" spans="1:133" s="473" customFormat="1">
      <c r="A93" s="488"/>
      <c r="B93" s="752">
        <v>8</v>
      </c>
      <c r="C93" s="473" t="s">
        <v>377</v>
      </c>
      <c r="D93" s="753">
        <v>3.5769246057660103E-2</v>
      </c>
      <c r="E93" s="488" t="s">
        <v>384</v>
      </c>
      <c r="F93" s="489">
        <v>3.6016378427886402E-2</v>
      </c>
      <c r="G93" s="488" t="s">
        <v>377</v>
      </c>
      <c r="H93" s="489">
        <v>3.6933666110466903E-2</v>
      </c>
      <c r="I93" s="488" t="s">
        <v>384</v>
      </c>
      <c r="J93" s="489">
        <v>3.6546114989080503E-2</v>
      </c>
      <c r="K93" s="488" t="s">
        <v>384</v>
      </c>
      <c r="L93" s="489">
        <v>3.5999999999999997E-2</v>
      </c>
      <c r="M93" s="488" t="s">
        <v>384</v>
      </c>
      <c r="N93" s="489">
        <v>3.9003352777954602E-2</v>
      </c>
      <c r="O93" s="488" t="s">
        <v>384</v>
      </c>
      <c r="P93" s="489">
        <v>4.0359576972508998E-2</v>
      </c>
      <c r="Q93" s="488" t="s">
        <v>384</v>
      </c>
      <c r="R93" s="489">
        <v>3.9494395258077603E-2</v>
      </c>
      <c r="S93" s="488" t="s">
        <v>377</v>
      </c>
      <c r="T93" s="489">
        <v>3.9E-2</v>
      </c>
      <c r="U93" s="473" t="s">
        <v>377</v>
      </c>
      <c r="V93" s="758">
        <v>3.8969833560824903E-2</v>
      </c>
      <c r="W93" s="473" t="s">
        <v>393</v>
      </c>
      <c r="X93" s="489">
        <v>0.04</v>
      </c>
      <c r="Y93" s="759" t="s">
        <v>393</v>
      </c>
      <c r="Z93" s="759">
        <v>3.9220853726312802E-2</v>
      </c>
      <c r="AA93" s="498" t="s">
        <v>393</v>
      </c>
      <c r="AB93" s="489">
        <v>4.06499436589857E-2</v>
      </c>
      <c r="AC93" s="761">
        <f t="shared" si="0"/>
        <v>48</v>
      </c>
      <c r="AD93" s="1347"/>
      <c r="AE93" s="1347"/>
      <c r="AF93" s="1347"/>
      <c r="AG93" s="1347"/>
      <c r="AH93" s="1347"/>
      <c r="AI93" s="1347"/>
      <c r="AJ93" s="1347"/>
      <c r="AK93" s="1347"/>
      <c r="AL93" s="1347"/>
      <c r="AM93" s="1347"/>
      <c r="AN93" s="1347"/>
      <c r="AO93" s="1347"/>
      <c r="AP93" s="1347"/>
      <c r="AQ93" s="1347"/>
      <c r="AR93" s="1347"/>
      <c r="AS93" s="1347"/>
      <c r="AT93" s="1347"/>
      <c r="AU93" s="1347"/>
      <c r="AV93" s="1347"/>
      <c r="AW93" s="1347"/>
      <c r="AX93" s="1347"/>
      <c r="AY93" s="1347"/>
      <c r="AZ93" s="1347"/>
      <c r="BA93" s="1347"/>
      <c r="BB93" s="475"/>
      <c r="BC93" s="475"/>
      <c r="BD93" s="475"/>
      <c r="BE93" s="475"/>
      <c r="BF93" s="475"/>
      <c r="BG93" s="475"/>
      <c r="BH93" s="475"/>
      <c r="BI93" s="475"/>
      <c r="BJ93" s="475"/>
      <c r="BK93" s="475"/>
      <c r="BL93" s="475"/>
      <c r="BM93" s="475"/>
      <c r="BN93" s="475"/>
      <c r="BO93" s="475"/>
      <c r="BP93" s="475"/>
      <c r="BQ93" s="475"/>
      <c r="BR93" s="475"/>
      <c r="BS93" s="475"/>
      <c r="BT93" s="475"/>
      <c r="BU93" s="475"/>
      <c r="BV93" s="475"/>
      <c r="BW93" s="475"/>
      <c r="BX93" s="475"/>
      <c r="BY93" s="475"/>
      <c r="BZ93" s="475"/>
      <c r="CA93" s="475"/>
      <c r="CB93" s="475"/>
      <c r="CC93" s="475"/>
      <c r="CD93" s="475"/>
      <c r="CE93" s="475"/>
      <c r="CF93" s="475"/>
      <c r="CG93" s="475"/>
      <c r="CH93" s="475"/>
      <c r="CI93" s="475"/>
      <c r="CJ93" s="475"/>
      <c r="CK93" s="475"/>
      <c r="CL93" s="475"/>
      <c r="CM93" s="475"/>
      <c r="CN93" s="475"/>
      <c r="CO93" s="475"/>
      <c r="CP93" s="475"/>
      <c r="CQ93" s="475"/>
      <c r="CR93" s="475"/>
      <c r="CS93" s="475"/>
      <c r="CT93" s="475"/>
      <c r="CU93" s="475"/>
      <c r="CV93" s="475"/>
      <c r="CW93" s="475"/>
      <c r="CX93" s="475"/>
      <c r="CY93" s="475"/>
      <c r="CZ93" s="475"/>
      <c r="DA93" s="475"/>
      <c r="DB93" s="475"/>
      <c r="DC93" s="475"/>
      <c r="DD93" s="475"/>
      <c r="DE93" s="475"/>
      <c r="DF93" s="475"/>
      <c r="DG93" s="475"/>
      <c r="DH93" s="475"/>
      <c r="DI93" s="475"/>
      <c r="DJ93" s="475"/>
      <c r="DK93" s="475"/>
      <c r="DL93" s="475"/>
      <c r="DM93" s="475"/>
      <c r="DN93" s="475"/>
      <c r="DO93" s="475"/>
      <c r="DP93" s="475"/>
      <c r="DQ93" s="475"/>
      <c r="DR93" s="766"/>
      <c r="DS93" s="474"/>
      <c r="DT93" s="474"/>
      <c r="DU93" s="474"/>
      <c r="DV93" s="474"/>
      <c r="DW93" s="474"/>
      <c r="DX93" s="474"/>
      <c r="DY93" s="474"/>
      <c r="DZ93" s="474"/>
      <c r="EA93" s="474"/>
      <c r="EB93" s="474"/>
      <c r="EC93" s="474"/>
    </row>
    <row r="94" spans="1:133" s="473" customFormat="1">
      <c r="A94" s="488"/>
      <c r="B94" s="752">
        <v>9</v>
      </c>
      <c r="C94" s="473" t="s">
        <v>405</v>
      </c>
      <c r="D94" s="753">
        <v>3.4629748458744301E-2</v>
      </c>
      <c r="E94" s="488" t="s">
        <v>383</v>
      </c>
      <c r="F94" s="489">
        <v>3.27010552079244E-2</v>
      </c>
      <c r="G94" s="488" t="s">
        <v>382</v>
      </c>
      <c r="H94" s="489">
        <v>3.20639723974094E-2</v>
      </c>
      <c r="I94" s="488" t="s">
        <v>382</v>
      </c>
      <c r="J94" s="489">
        <v>3.2191251843010603E-2</v>
      </c>
      <c r="K94" s="488" t="s">
        <v>377</v>
      </c>
      <c r="L94" s="489">
        <v>3.4000000000000002E-2</v>
      </c>
      <c r="M94" s="488" t="s">
        <v>377</v>
      </c>
      <c r="N94" s="489">
        <v>3.3493374435971203E-2</v>
      </c>
      <c r="O94" s="488" t="s">
        <v>377</v>
      </c>
      <c r="P94" s="489">
        <v>3.4623794304955401E-2</v>
      </c>
      <c r="Q94" s="488" t="s">
        <v>377</v>
      </c>
      <c r="R94" s="489">
        <v>3.8138877412702298E-2</v>
      </c>
      <c r="S94" s="488" t="s">
        <v>384</v>
      </c>
      <c r="T94" s="489">
        <v>3.7999999999999999E-2</v>
      </c>
      <c r="U94" s="473" t="s">
        <v>384</v>
      </c>
      <c r="V94" s="758">
        <v>3.8553647448038499E-2</v>
      </c>
      <c r="W94" s="473" t="s">
        <v>377</v>
      </c>
      <c r="X94" s="489">
        <v>3.9E-2</v>
      </c>
      <c r="Y94" s="759" t="s">
        <v>377</v>
      </c>
      <c r="Z94" s="759">
        <v>3.7636027895803101E-2</v>
      </c>
      <c r="AA94" s="498" t="s">
        <v>377</v>
      </c>
      <c r="AB94" s="489">
        <v>3.6568655550277003E-2</v>
      </c>
      <c r="AC94" s="761">
        <f t="shared" si="0"/>
        <v>49</v>
      </c>
      <c r="AD94" s="1347"/>
      <c r="AE94" s="1347"/>
      <c r="AF94" s="1347"/>
      <c r="AG94" s="1347"/>
      <c r="AH94" s="1347"/>
      <c r="AI94" s="1347"/>
      <c r="AJ94" s="1347"/>
      <c r="AK94" s="1347"/>
      <c r="AL94" s="1347"/>
      <c r="AM94" s="1347"/>
      <c r="AN94" s="1347"/>
      <c r="AO94" s="1347"/>
      <c r="AP94" s="1347"/>
      <c r="AQ94" s="1347"/>
      <c r="AR94" s="1347"/>
      <c r="AS94" s="1347"/>
      <c r="AT94" s="1347"/>
      <c r="AU94" s="1347"/>
      <c r="AV94" s="1347"/>
      <c r="AW94" s="1347"/>
      <c r="AX94" s="1347"/>
      <c r="AY94" s="1347"/>
      <c r="AZ94" s="1347"/>
      <c r="BA94" s="1347"/>
      <c r="BB94" s="475"/>
      <c r="BC94" s="475"/>
      <c r="BD94" s="475"/>
      <c r="BE94" s="475"/>
      <c r="BF94" s="475"/>
      <c r="BG94" s="475"/>
      <c r="BH94" s="475"/>
      <c r="BI94" s="475"/>
      <c r="BJ94" s="475"/>
      <c r="BK94" s="475"/>
      <c r="BL94" s="475"/>
      <c r="BM94" s="475"/>
      <c r="BN94" s="475"/>
      <c r="BO94" s="475"/>
      <c r="BP94" s="475"/>
      <c r="BQ94" s="475"/>
      <c r="BR94" s="475"/>
      <c r="BS94" s="475"/>
      <c r="BT94" s="475"/>
      <c r="BU94" s="475"/>
      <c r="BV94" s="475"/>
      <c r="BW94" s="475"/>
      <c r="BX94" s="475"/>
      <c r="BY94" s="475"/>
      <c r="BZ94" s="475"/>
      <c r="CA94" s="475"/>
      <c r="CB94" s="475"/>
      <c r="CC94" s="475"/>
      <c r="CD94" s="475"/>
      <c r="CE94" s="475"/>
      <c r="CF94" s="475"/>
      <c r="CG94" s="475"/>
      <c r="CH94" s="475"/>
      <c r="CI94" s="475"/>
      <c r="CJ94" s="475"/>
      <c r="CK94" s="475"/>
      <c r="CL94" s="475"/>
      <c r="CM94" s="475"/>
      <c r="CN94" s="475"/>
      <c r="CO94" s="475"/>
      <c r="CP94" s="475"/>
      <c r="CQ94" s="475"/>
      <c r="CR94" s="475"/>
      <c r="CS94" s="475"/>
      <c r="CT94" s="475"/>
      <c r="CU94" s="475"/>
      <c r="CV94" s="475"/>
      <c r="CW94" s="475"/>
      <c r="CX94" s="475"/>
      <c r="CY94" s="475"/>
      <c r="CZ94" s="475"/>
      <c r="DA94" s="475"/>
      <c r="DB94" s="475"/>
      <c r="DC94" s="475"/>
      <c r="DD94" s="475"/>
      <c r="DE94" s="475"/>
      <c r="DF94" s="475"/>
      <c r="DG94" s="475"/>
      <c r="DH94" s="475"/>
      <c r="DI94" s="475"/>
      <c r="DJ94" s="475"/>
      <c r="DK94" s="475"/>
      <c r="DL94" s="475"/>
      <c r="DM94" s="475"/>
      <c r="DN94" s="475"/>
      <c r="DO94" s="475"/>
      <c r="DP94" s="475"/>
      <c r="DQ94" s="475"/>
      <c r="DR94" s="766"/>
      <c r="DS94" s="474"/>
      <c r="DT94" s="474"/>
      <c r="DU94" s="474"/>
      <c r="DV94" s="474"/>
      <c r="DW94" s="474"/>
      <c r="DX94" s="474"/>
      <c r="DY94" s="474"/>
      <c r="DZ94" s="474"/>
      <c r="EA94" s="474"/>
      <c r="EB94" s="474"/>
      <c r="EC94" s="474"/>
    </row>
    <row r="95" spans="1:133" s="473" customFormat="1">
      <c r="A95" s="507"/>
      <c r="B95" s="767">
        <v>10</v>
      </c>
      <c r="C95" s="768" t="s">
        <v>384</v>
      </c>
      <c r="D95" s="769">
        <v>3.4309856275660001E-2</v>
      </c>
      <c r="E95" s="507" t="s">
        <v>405</v>
      </c>
      <c r="F95" s="500">
        <v>3.0203498887837001E-2</v>
      </c>
      <c r="G95" s="507" t="s">
        <v>383</v>
      </c>
      <c r="H95" s="500">
        <v>3.0589807404055501E-2</v>
      </c>
      <c r="I95" s="507" t="s">
        <v>383</v>
      </c>
      <c r="J95" s="500">
        <v>3.1313627746963398E-2</v>
      </c>
      <c r="K95" s="507" t="s">
        <v>389</v>
      </c>
      <c r="L95" s="500">
        <v>0.03</v>
      </c>
      <c r="M95" s="507" t="s">
        <v>389</v>
      </c>
      <c r="N95" s="500">
        <v>3.06687149175396E-2</v>
      </c>
      <c r="O95" s="507" t="s">
        <v>389</v>
      </c>
      <c r="P95" s="500">
        <v>3.09844023483902E-2</v>
      </c>
      <c r="Q95" s="507" t="s">
        <v>389</v>
      </c>
      <c r="R95" s="500">
        <v>3.0968631883008899E-2</v>
      </c>
      <c r="S95" s="507" t="s">
        <v>389</v>
      </c>
      <c r="T95" s="500">
        <v>0.03</v>
      </c>
      <c r="U95" s="768" t="s">
        <v>383</v>
      </c>
      <c r="V95" s="770">
        <v>3.3409516553979002E-2</v>
      </c>
      <c r="W95" s="507" t="s">
        <v>383</v>
      </c>
      <c r="X95" s="500">
        <v>3.1E-2</v>
      </c>
      <c r="Y95" s="499" t="s">
        <v>383</v>
      </c>
      <c r="Z95" s="500">
        <v>3.0477419817494002E-2</v>
      </c>
      <c r="AA95" s="499" t="s">
        <v>383</v>
      </c>
      <c r="AB95" s="500">
        <v>2.86023894871986E-2</v>
      </c>
      <c r="AC95" s="761">
        <f t="shared" si="0"/>
        <v>50</v>
      </c>
      <c r="AD95" s="1347"/>
      <c r="AE95" s="1347"/>
      <c r="AF95" s="1347"/>
      <c r="AG95" s="1347"/>
      <c r="AH95" s="1347"/>
      <c r="AI95" s="1347"/>
      <c r="AJ95" s="1347"/>
      <c r="AK95" s="1347"/>
      <c r="AL95" s="1347"/>
      <c r="AM95" s="1347"/>
      <c r="AN95" s="1347"/>
      <c r="AO95" s="1347"/>
      <c r="AP95" s="1347"/>
      <c r="AQ95" s="1347"/>
      <c r="AR95" s="1347"/>
      <c r="AS95" s="1347"/>
      <c r="AT95" s="1347"/>
      <c r="AU95" s="1347"/>
      <c r="AV95" s="1347"/>
      <c r="AW95" s="1347"/>
      <c r="AX95" s="1347"/>
      <c r="AY95" s="1347"/>
      <c r="AZ95" s="1347"/>
      <c r="BA95" s="1347"/>
      <c r="BB95" s="475"/>
      <c r="BC95" s="475"/>
      <c r="BD95" s="475"/>
      <c r="BE95" s="475"/>
      <c r="BF95" s="475"/>
      <c r="BG95" s="475"/>
      <c r="BH95" s="475"/>
      <c r="BI95" s="475"/>
      <c r="BJ95" s="475"/>
      <c r="BK95" s="475"/>
      <c r="BL95" s="475"/>
      <c r="BM95" s="475"/>
      <c r="BN95" s="475"/>
      <c r="BO95" s="475"/>
      <c r="BP95" s="475"/>
      <c r="BQ95" s="475"/>
      <c r="BR95" s="475"/>
      <c r="BS95" s="475"/>
      <c r="BT95" s="475"/>
      <c r="BU95" s="475"/>
      <c r="BV95" s="475"/>
      <c r="BW95" s="475"/>
      <c r="BX95" s="475"/>
      <c r="BY95" s="475"/>
      <c r="BZ95" s="475"/>
      <c r="CA95" s="475"/>
      <c r="CB95" s="475"/>
      <c r="CC95" s="475"/>
      <c r="CD95" s="475"/>
      <c r="CE95" s="475"/>
      <c r="CF95" s="475"/>
      <c r="CG95" s="475"/>
      <c r="CH95" s="475"/>
      <c r="CI95" s="475"/>
      <c r="CJ95" s="475"/>
      <c r="CK95" s="475"/>
      <c r="CL95" s="475"/>
      <c r="CM95" s="475"/>
      <c r="CN95" s="475"/>
      <c r="CO95" s="475"/>
      <c r="CP95" s="475"/>
      <c r="CQ95" s="475"/>
      <c r="CR95" s="475"/>
      <c r="CS95" s="475"/>
      <c r="CT95" s="475"/>
      <c r="CU95" s="475"/>
      <c r="CV95" s="475"/>
      <c r="CW95" s="475"/>
      <c r="CX95" s="475"/>
      <c r="CY95" s="475"/>
      <c r="CZ95" s="475"/>
      <c r="DA95" s="475"/>
      <c r="DB95" s="475"/>
      <c r="DC95" s="475"/>
      <c r="DD95" s="475"/>
      <c r="DE95" s="475"/>
      <c r="DF95" s="475"/>
      <c r="DG95" s="475"/>
      <c r="DH95" s="475"/>
      <c r="DI95" s="475"/>
      <c r="DJ95" s="475"/>
      <c r="DK95" s="475"/>
      <c r="DL95" s="475"/>
      <c r="DM95" s="475"/>
      <c r="DN95" s="475"/>
      <c r="DO95" s="475"/>
      <c r="DP95" s="475"/>
      <c r="DQ95" s="475"/>
      <c r="DR95" s="766"/>
      <c r="DS95" s="474"/>
      <c r="DT95" s="474"/>
      <c r="DU95" s="474"/>
      <c r="DV95" s="474"/>
      <c r="DW95" s="474"/>
      <c r="DX95" s="474"/>
      <c r="DY95" s="474"/>
      <c r="DZ95" s="474"/>
      <c r="EA95" s="474"/>
      <c r="EB95" s="474"/>
      <c r="EC95" s="474"/>
    </row>
    <row r="96" spans="1:133" s="473" customFormat="1">
      <c r="AC96" s="484"/>
      <c r="AD96" s="1347"/>
      <c r="AE96" s="1347"/>
      <c r="AF96" s="1347"/>
      <c r="AG96" s="1347"/>
      <c r="AH96" s="1347"/>
      <c r="AI96" s="1347"/>
      <c r="AJ96" s="1347"/>
      <c r="AK96" s="1347"/>
      <c r="AL96" s="1347"/>
      <c r="AM96" s="1347"/>
      <c r="AN96" s="1347"/>
      <c r="AO96" s="1347"/>
      <c r="AP96" s="1347"/>
      <c r="AQ96" s="1347"/>
      <c r="AR96" s="1347"/>
      <c r="AS96" s="1347"/>
      <c r="AT96" s="1347"/>
      <c r="AU96" s="1347"/>
      <c r="AV96" s="1347"/>
      <c r="AW96" s="1347"/>
      <c r="AX96" s="1347"/>
      <c r="AY96" s="1347"/>
      <c r="AZ96" s="1347"/>
      <c r="BA96" s="1347"/>
      <c r="BB96" s="1347"/>
      <c r="BC96" s="1347"/>
      <c r="BD96" s="1347"/>
      <c r="BE96" s="1347"/>
      <c r="BF96" s="1347"/>
      <c r="BG96" s="1347"/>
      <c r="BH96" s="1347"/>
      <c r="BI96" s="1347"/>
      <c r="BJ96" s="1347"/>
      <c r="BK96" s="1347"/>
      <c r="BL96" s="1347"/>
      <c r="BM96" s="1347"/>
      <c r="BN96" s="1347"/>
      <c r="BO96" s="1347"/>
      <c r="BP96" s="1347"/>
      <c r="BQ96" s="1347"/>
      <c r="BR96" s="1347"/>
      <c r="BS96" s="1347"/>
      <c r="BT96" s="1347"/>
      <c r="BU96" s="1347"/>
      <c r="BV96" s="1347"/>
      <c r="BW96" s="1347"/>
      <c r="BX96" s="1347"/>
      <c r="BY96" s="1347"/>
      <c r="BZ96" s="475"/>
      <c r="CA96" s="475"/>
      <c r="CB96" s="475"/>
      <c r="CC96" s="475"/>
      <c r="CD96" s="475"/>
      <c r="CE96" s="475"/>
      <c r="CF96" s="475"/>
      <c r="CG96" s="475"/>
      <c r="CH96" s="475"/>
      <c r="CI96" s="475"/>
      <c r="CJ96" s="475"/>
      <c r="CK96" s="475"/>
      <c r="CL96" s="475"/>
      <c r="CM96" s="475"/>
      <c r="CN96" s="475"/>
      <c r="CO96" s="475"/>
      <c r="CP96" s="475"/>
      <c r="CQ96" s="475"/>
      <c r="CR96" s="475"/>
      <c r="CS96" s="475"/>
      <c r="CT96" s="475"/>
      <c r="CU96" s="475"/>
      <c r="CV96" s="475"/>
      <c r="CW96" s="475"/>
      <c r="CX96" s="475"/>
      <c r="CY96" s="475"/>
      <c r="CZ96" s="475"/>
      <c r="DA96" s="475"/>
      <c r="DB96" s="475"/>
      <c r="DC96" s="475"/>
      <c r="DD96" s="475"/>
      <c r="DE96" s="475"/>
      <c r="DF96" s="475"/>
      <c r="DG96" s="475"/>
      <c r="DH96" s="475"/>
      <c r="DI96" s="475"/>
      <c r="DJ96" s="475"/>
      <c r="DK96" s="475"/>
      <c r="DL96" s="475"/>
      <c r="DM96" s="475"/>
      <c r="DN96" s="475"/>
      <c r="DO96" s="475"/>
      <c r="DP96" s="475"/>
      <c r="DQ96" s="475"/>
      <c r="DR96" s="766"/>
      <c r="DS96" s="474"/>
      <c r="DT96" s="474"/>
      <c r="DU96" s="474"/>
      <c r="DV96" s="474"/>
      <c r="DW96" s="474"/>
      <c r="DX96" s="474"/>
      <c r="DY96" s="474"/>
      <c r="DZ96" s="474"/>
      <c r="EA96" s="474"/>
      <c r="EB96" s="474"/>
      <c r="EC96" s="474"/>
    </row>
    <row r="97" spans="1:133" s="473" customFormat="1">
      <c r="A97" s="473" t="s">
        <v>406</v>
      </c>
      <c r="AC97" s="761"/>
      <c r="AD97" s="497" t="s">
        <v>186</v>
      </c>
      <c r="AE97" s="497">
        <f>$C$45</f>
        <v>2012</v>
      </c>
      <c r="AF97" s="497">
        <f t="shared" ref="AF97:AQ97" si="1">AE97+1</f>
        <v>2013</v>
      </c>
      <c r="AG97" s="497">
        <f t="shared" si="1"/>
        <v>2014</v>
      </c>
      <c r="AH97" s="497">
        <f t="shared" si="1"/>
        <v>2015</v>
      </c>
      <c r="AI97" s="497">
        <f t="shared" si="1"/>
        <v>2016</v>
      </c>
      <c r="AJ97" s="497">
        <f t="shared" si="1"/>
        <v>2017</v>
      </c>
      <c r="AK97" s="497">
        <f t="shared" si="1"/>
        <v>2018</v>
      </c>
      <c r="AL97" s="497">
        <f t="shared" si="1"/>
        <v>2019</v>
      </c>
      <c r="AM97" s="497">
        <f t="shared" si="1"/>
        <v>2020</v>
      </c>
      <c r="AN97" s="497">
        <f t="shared" si="1"/>
        <v>2021</v>
      </c>
      <c r="AO97" s="497">
        <f t="shared" si="1"/>
        <v>2022</v>
      </c>
      <c r="AP97" s="497">
        <f t="shared" si="1"/>
        <v>2023</v>
      </c>
      <c r="AQ97" s="497">
        <f t="shared" si="1"/>
        <v>2024</v>
      </c>
      <c r="AR97" s="497"/>
      <c r="AS97" s="497"/>
      <c r="AT97" s="497"/>
      <c r="AU97" s="497"/>
      <c r="AV97" s="497" t="s">
        <v>129</v>
      </c>
      <c r="AW97" s="497">
        <f>AE97</f>
        <v>2012</v>
      </c>
      <c r="AX97" s="497">
        <f>AW97+1</f>
        <v>2013</v>
      </c>
      <c r="AY97" s="497">
        <f t="shared" ref="AY97:BH97" si="2">AX97+1</f>
        <v>2014</v>
      </c>
      <c r="AZ97" s="497">
        <f t="shared" si="2"/>
        <v>2015</v>
      </c>
      <c r="BA97" s="497">
        <f t="shared" si="2"/>
        <v>2016</v>
      </c>
      <c r="BB97" s="497">
        <f t="shared" si="2"/>
        <v>2017</v>
      </c>
      <c r="BC97" s="497">
        <f t="shared" si="2"/>
        <v>2018</v>
      </c>
      <c r="BD97" s="497">
        <f t="shared" si="2"/>
        <v>2019</v>
      </c>
      <c r="BE97" s="497">
        <f t="shared" si="2"/>
        <v>2020</v>
      </c>
      <c r="BF97" s="497">
        <f t="shared" si="2"/>
        <v>2021</v>
      </c>
      <c r="BG97" s="497">
        <f t="shared" si="2"/>
        <v>2022</v>
      </c>
      <c r="BH97" s="497">
        <f t="shared" si="2"/>
        <v>2023</v>
      </c>
      <c r="BI97" s="497"/>
      <c r="BJ97" s="497"/>
      <c r="BK97" s="497"/>
      <c r="BL97" s="497"/>
      <c r="BM97" s="497" t="s">
        <v>146</v>
      </c>
      <c r="BN97" s="497">
        <f>AE97</f>
        <v>2012</v>
      </c>
      <c r="BO97" s="497">
        <f>BN97+1</f>
        <v>2013</v>
      </c>
      <c r="BP97" s="497">
        <f t="shared" ref="BP97:BZ97" si="3">BO97+1</f>
        <v>2014</v>
      </c>
      <c r="BQ97" s="497">
        <f t="shared" si="3"/>
        <v>2015</v>
      </c>
      <c r="BR97" s="497">
        <f t="shared" si="3"/>
        <v>2016</v>
      </c>
      <c r="BS97" s="497">
        <f t="shared" si="3"/>
        <v>2017</v>
      </c>
      <c r="BT97" s="497">
        <f t="shared" si="3"/>
        <v>2018</v>
      </c>
      <c r="BU97" s="497">
        <f t="shared" si="3"/>
        <v>2019</v>
      </c>
      <c r="BV97" s="497">
        <f t="shared" si="3"/>
        <v>2020</v>
      </c>
      <c r="BW97" s="497">
        <f t="shared" si="3"/>
        <v>2021</v>
      </c>
      <c r="BX97" s="497">
        <f t="shared" si="3"/>
        <v>2022</v>
      </c>
      <c r="BY97" s="497">
        <f t="shared" si="3"/>
        <v>2023</v>
      </c>
      <c r="BZ97" s="497">
        <f t="shared" si="3"/>
        <v>2024</v>
      </c>
      <c r="CA97" s="511"/>
      <c r="CB97" s="511"/>
      <c r="CC97" s="511"/>
      <c r="CD97" s="511"/>
      <c r="CE97" s="511" t="s">
        <v>156</v>
      </c>
      <c r="CF97" s="511">
        <f>AW97</f>
        <v>2012</v>
      </c>
      <c r="CG97" s="511">
        <f>CF97+1</f>
        <v>2013</v>
      </c>
      <c r="CH97" s="511">
        <f t="shared" ref="CH97:CR97" si="4">CG97+1</f>
        <v>2014</v>
      </c>
      <c r="CI97" s="511">
        <f t="shared" si="4"/>
        <v>2015</v>
      </c>
      <c r="CJ97" s="511">
        <f t="shared" si="4"/>
        <v>2016</v>
      </c>
      <c r="CK97" s="511">
        <f t="shared" si="4"/>
        <v>2017</v>
      </c>
      <c r="CL97" s="511">
        <f t="shared" si="4"/>
        <v>2018</v>
      </c>
      <c r="CM97" s="511">
        <f t="shared" si="4"/>
        <v>2019</v>
      </c>
      <c r="CN97" s="511">
        <f t="shared" si="4"/>
        <v>2020</v>
      </c>
      <c r="CO97" s="511">
        <f t="shared" si="4"/>
        <v>2021</v>
      </c>
      <c r="CP97" s="511">
        <f t="shared" si="4"/>
        <v>2022</v>
      </c>
      <c r="CQ97" s="511">
        <f t="shared" si="4"/>
        <v>2023</v>
      </c>
      <c r="CR97" s="511">
        <f t="shared" si="4"/>
        <v>2024</v>
      </c>
      <c r="CS97" s="511"/>
      <c r="CT97" s="511"/>
      <c r="CU97" s="511"/>
      <c r="CV97" s="511"/>
      <c r="CW97" s="511" t="s">
        <v>170</v>
      </c>
      <c r="CX97" s="511">
        <f>BN97</f>
        <v>2012</v>
      </c>
      <c r="CY97" s="511">
        <f>CX97+1</f>
        <v>2013</v>
      </c>
      <c r="CZ97" s="511">
        <f t="shared" ref="CZ97:DJ97" si="5">CY97+1</f>
        <v>2014</v>
      </c>
      <c r="DA97" s="511">
        <f t="shared" si="5"/>
        <v>2015</v>
      </c>
      <c r="DB97" s="511">
        <f t="shared" si="5"/>
        <v>2016</v>
      </c>
      <c r="DC97" s="511">
        <f t="shared" si="5"/>
        <v>2017</v>
      </c>
      <c r="DD97" s="511">
        <f t="shared" si="5"/>
        <v>2018</v>
      </c>
      <c r="DE97" s="511">
        <f t="shared" si="5"/>
        <v>2019</v>
      </c>
      <c r="DF97" s="511">
        <f t="shared" si="5"/>
        <v>2020</v>
      </c>
      <c r="DG97" s="511">
        <f t="shared" si="5"/>
        <v>2021</v>
      </c>
      <c r="DH97" s="511">
        <f t="shared" si="5"/>
        <v>2022</v>
      </c>
      <c r="DI97" s="511">
        <f t="shared" si="5"/>
        <v>2023</v>
      </c>
      <c r="DJ97" s="511">
        <f t="shared" si="5"/>
        <v>2024</v>
      </c>
      <c r="DK97" s="524"/>
      <c r="DL97" s="524"/>
      <c r="DM97" s="524"/>
      <c r="DN97" s="474"/>
      <c r="DO97" s="474"/>
      <c r="DP97" s="474"/>
      <c r="DQ97" s="474"/>
      <c r="DR97" s="527"/>
      <c r="DS97" s="474"/>
      <c r="DT97" s="474"/>
      <c r="DU97" s="474"/>
      <c r="DV97" s="474"/>
      <c r="DW97" s="474"/>
      <c r="DX97" s="474"/>
      <c r="DY97" s="474"/>
      <c r="DZ97" s="474"/>
      <c r="EA97" s="474"/>
      <c r="EB97" s="474"/>
      <c r="EC97" s="474"/>
    </row>
    <row r="98" spans="1:133" s="473" customFormat="1">
      <c r="A98" s="473" t="s">
        <v>407</v>
      </c>
      <c r="AC98" s="761">
        <v>1</v>
      </c>
      <c r="AD98" s="497" t="s">
        <v>381</v>
      </c>
      <c r="AE98" s="497">
        <f>IF(1*ISERROR(VLOOKUP(AD98,$C$46:$AC$55,27,FALSE))=1,0,VLOOKUP(AD98,$C$46:$AC$55,27,FALSE))</f>
        <v>2</v>
      </c>
      <c r="AF98" s="497">
        <f>IF(1*ISERROR(VLOOKUP(AD98,$E$46:$AC$55,25,FALSE))=1,0,VLOOKUP(AD98,$E$46:$AC$55,25,FALSE))</f>
        <v>2</v>
      </c>
      <c r="AG98" s="497">
        <f>IF(1*ISERROR(VLOOKUP(AD98,$G$46:$AC$55,23,FALSE))=1,0,VLOOKUP(AD98,$G$46:$AC$55,23,FALSE))</f>
        <v>3</v>
      </c>
      <c r="AH98" s="497">
        <f>IF(1*ISERROR(VLOOKUP(AD98,$I$46:$AC$55,21,FALSE))=1,0,VLOOKUP(AD98,$I$46:$AC$55,21,FALSE))</f>
        <v>4</v>
      </c>
      <c r="AI98" s="497">
        <f>IF(1*ISERROR(VLOOKUP(AD98,$K$46:$AC$55,19,FALSE))=1,0,VLOOKUP(AD98,$K$46:$AC$55,19,FALSE))</f>
        <v>4</v>
      </c>
      <c r="AJ98" s="497">
        <f>IF(1*ISERROR(VLOOKUP(AD98,$M$46:$AC$55,17,FALSE))=1,0,VLOOKUP(AD98,$M$46:$AC$55,17,FALSE))</f>
        <v>4</v>
      </c>
      <c r="AK98" s="497">
        <f>IF(1*ISERROR(VLOOKUP(AD98,$O$46:$AC$55,15,FALSE))=1,0,VLOOKUP(AD98,$O$46:$AC$55,15,FALSE))</f>
        <v>4</v>
      </c>
      <c r="AL98" s="497">
        <f>IF(1*ISERROR(VLOOKUP(AD98,$Q$46:$AC$55,13,FALSE))=1,0,VLOOKUP(AD98,$Q$46:$AC$55,13,FALSE))</f>
        <v>4</v>
      </c>
      <c r="AM98" s="497">
        <f>IF(1*ISERROR(VLOOKUP(AD98,$S$46:$AC$55,11,FALSE))=1,0,VLOOKUP(AD98,$S$46:$AC$55,11,FALSE))</f>
        <v>4</v>
      </c>
      <c r="AN98" s="497">
        <f>IF(1*ISERROR(VLOOKUP(AD98,$U$46:$AC$55,9,FALSE))=1,0,VLOOKUP(AD98,$U$46:$AC$55,9,FALSE))</f>
        <v>4</v>
      </c>
      <c r="AO98" s="497">
        <f>IF(1*ISERROR(VLOOKUP(AD98,$W$46:$AC$55,7,FALSE))=1,0,VLOOKUP(AD98,$W$46:$AC$55,7,FALSE))</f>
        <v>4</v>
      </c>
      <c r="AP98" s="497">
        <f>IF(1*ISERROR(VLOOKUP(AD98,$Y$46:$AC$55,5,FALSE))=1,0,VLOOKUP(AD98,$Y$46:$AC$55,5,FALSE))</f>
        <v>4</v>
      </c>
      <c r="AQ98" s="497">
        <f>IF(1*ISERROR(VLOOKUP(AD98,$AA$46:$AC$55,3,FALSE))=1,0,VLOOKUP(AD98,$AA$46:$AC$55,3,FALSE))</f>
        <v>2</v>
      </c>
      <c r="AR98" s="497">
        <f>SUM(AE98:AQ98)</f>
        <v>45</v>
      </c>
      <c r="AS98" s="497">
        <f>IF(AR98=0,35,_xlfn.RANK.EQ(AR98,AR98:AR132))</f>
        <v>7</v>
      </c>
      <c r="AT98" s="1348">
        <f>IF(AS98=35,35,AS98)</f>
        <v>7</v>
      </c>
      <c r="AU98" s="497">
        <f>_xlfn.RANK.EQ(AT98,AT$98:AT$132,1)</f>
        <v>7</v>
      </c>
      <c r="AV98" s="497" t="s">
        <v>381</v>
      </c>
      <c r="AW98" s="497">
        <f>IF(1*ISERROR(VLOOKUP(AV98,$C$56:$AC$65,27,FALSE)-10)=1,0,VLOOKUP(AV98,$C$56:$AC$65,27,FALSE)-10)</f>
        <v>1</v>
      </c>
      <c r="AX98" s="497">
        <f>IF(1*ISERROR(VLOOKUP(AV98,$E$56:$AC$65,25,FALSE)-10)=1,0,VLOOKUP(AV98,$E$56:$AC$65,25,FALSE)-10)</f>
        <v>1</v>
      </c>
      <c r="AY98" s="497">
        <f>IF(1*ISERROR(VLOOKUP(AV98,$G$56:$AC$65,23,FALSE)-10)=1,0,VLOOKUP(AV98,$G$56:$AC$65,23,FALSE)-10)</f>
        <v>1</v>
      </c>
      <c r="AZ98" s="497">
        <f>IF(1*ISERROR(VLOOKUP(AV98,$I$56:$AC$65,21,FALSE)-10)=1,0,VLOOKUP(AV98,$I$56:$AC$65,21,FALSE)-10)</f>
        <v>1</v>
      </c>
      <c r="BA98" s="497">
        <f>IF(1*ISERROR(VLOOKUP(AV98,$K$56:$AC$65,19,FALSE)-10)=1,0,VLOOKUP(AV98,$K$56:$AC$65,19,FALSE)-10)</f>
        <v>1</v>
      </c>
      <c r="BB98" s="497">
        <f>IF(1*ISERROR(VLOOKUP(AV98,$M$56:$AC$65,17,FALSE)-10)=1,0,VLOOKUP(AV98,$M$56:$AC$65,17,FALSE)-10)</f>
        <v>1</v>
      </c>
      <c r="BC98" s="497">
        <f>IF(1*ISERROR(VLOOKUP(AV98,$O$56:$AC$65,15,FALSE)-10)=1,0,VLOOKUP(AV98,$O$56:$AC$65,15,FALSE)-10)</f>
        <v>1</v>
      </c>
      <c r="BD98" s="497">
        <f>IF(1*ISERROR(VLOOKUP(AV98,$Q$56:$AC$65,13,FALSE)-10)=1,0,VLOOKUP(AV98,$Q$56:$AC$65,13,FALSE)-10)</f>
        <v>1</v>
      </c>
      <c r="BE98" s="497">
        <f>IF(1*ISERROR(VLOOKUP(AV98,$S$56:$AC$65,11,FALSE)-10)=1,0,VLOOKUP(AV98,$S$56:$AC$65,11,FALSE)-10)</f>
        <v>1</v>
      </c>
      <c r="BF98" s="497">
        <f>IF(1*ISERROR(VLOOKUP(AV98,$U$56:$AC$65,9,FALSE)-10)=1,0,VLOOKUP(AV98,$U$56:$AC$65,9,FALSE)-10)</f>
        <v>1</v>
      </c>
      <c r="BG98" s="497">
        <f>IF(1*ISERROR(VLOOKUP(AV98,$W$56:$AC$65,7,FALSE)-10)=1,0,VLOOKUP(AV98,$W$56:$AC$65,7,FALSE)-10)</f>
        <v>1</v>
      </c>
      <c r="BH98" s="497">
        <f>IF(1*ISERROR(VLOOKUP(AV98,$Y$56:$AC$65,5,FALSE)-10)=1,0,VLOOKUP(AV98,$Y$56:$AC$65,5,FALSE)-10)</f>
        <v>1</v>
      </c>
      <c r="BI98" s="497">
        <f>SUM(AW98:BG98)</f>
        <v>11</v>
      </c>
      <c r="BJ98" s="497">
        <f>IF(BI98=0,35,_xlfn.RANK.EQ(BI98,BI98:BI132))</f>
        <v>12</v>
      </c>
      <c r="BK98" s="1348">
        <f>IF(BJ98=35,35,BJ98)</f>
        <v>12</v>
      </c>
      <c r="BL98" s="497">
        <f t="shared" ref="BL98:BL132" si="6">_xlfn.RANK.EQ(BK98,BK$98:BK$132,1)</f>
        <v>12</v>
      </c>
      <c r="BM98" s="497" t="s">
        <v>381</v>
      </c>
      <c r="BN98" s="497">
        <f>IF(1*ISERROR(VLOOKUP(BM98,$C$66:$AC$75,27,FALSE)-20)=1,0,VLOOKUP(BM98,$C$66:$AC$75,27,FALSE)-20)</f>
        <v>1</v>
      </c>
      <c r="BO98" s="497">
        <f>IF(1*ISERROR(VLOOKUP(BM98,$E$66:$AC$75,25,FALSE)-20)=1,0,VLOOKUP(BM98,$E$66:$AC$75,25,FALSE)-20)</f>
        <v>1</v>
      </c>
      <c r="BP98" s="497">
        <f>IF(1*ISERROR(VLOOKUP(BM98,$G$66:$AC$75,23,FALSE)-20)=1,0,VLOOKUP(BM98,$G$66:$AC$75,23,FALSE)-20)</f>
        <v>1</v>
      </c>
      <c r="BQ98" s="497">
        <f>IF(1*ISERROR(VLOOKUP(BM98,$I$66:$AC$75,21,FALSE)-20)=1,0,VLOOKUP(BM98,$I$66:$AC$75,21,FALSE)-20)</f>
        <v>1</v>
      </c>
      <c r="BR98" s="497">
        <f>IF(1*ISERROR(VLOOKUP(BM98,$K$66:$AC$75,19,FALSE)-20)=1,0,VLOOKUP(BM98,$K$66:$AC$75,19,FALSE)-20)</f>
        <v>1</v>
      </c>
      <c r="BS98" s="497">
        <f>IF(1*ISERROR(VLOOKUP(BM98,$M$66:$AC$75,17,FALSE)-20)=1,0,VLOOKUP(BM98,$M$66:$AC$75,17,FALSE)-20)</f>
        <v>1</v>
      </c>
      <c r="BT98" s="497">
        <f>IF(1*ISERROR(VLOOKUP(BM98,$O$66:$AC$75,15,FALSE)-20)=1,0,VLOOKUP(BM98,$O$66:$AC$75,15,FALSE)-20)</f>
        <v>1</v>
      </c>
      <c r="BU98" s="497">
        <f>IF(1*ISERROR(VLOOKUP(BM98,$Q$66:$AC$75,13,FALSE)-20)=1,0,VLOOKUP(BM98,$Q$66:$AC$75,13,FALSE)-20)</f>
        <v>1</v>
      </c>
      <c r="BV98" s="497">
        <f>IF(1*ISERROR(VLOOKUP(BM98,$S$66:$AC$75,11,FALSE)-20)=1,0,VLOOKUP(BM98,$S$66:$AC$75,11,FALSE)-20)</f>
        <v>1</v>
      </c>
      <c r="BW98" s="497">
        <f>IF(1*ISERROR(VLOOKUP(BM98,$U$66:$AC$75,9,FALSE)-20)=1,0,VLOOKUP(BM98,$U$66:$AC$75,9,FALSE)-20)</f>
        <v>1</v>
      </c>
      <c r="BX98" s="497">
        <f>IF(1*ISERROR(VLOOKUP(BM98,$W$66:$AC$75,7,FALSE)-20)=1,0,VLOOKUP(BM98,$W$66:$AC$75,7,FALSE)-20)</f>
        <v>1</v>
      </c>
      <c r="BY98" s="497">
        <f>IF(1*ISERROR(VLOOKUP(BM98,$Y$66:$AC$75,5,FALSE)-20)=1,0,VLOOKUP(BM98,$Y$66:$AC$75,5,FALSE)-20)</f>
        <v>1</v>
      </c>
      <c r="BZ98" s="497">
        <f>IF(1*ISERROR(VLOOKUP(BM98,$AA$66:$AC$75,3,FALSE)-20)=1,0,VLOOKUP(BM98,$AA$66:$AC$75,3,FALSE)-20)</f>
        <v>1</v>
      </c>
      <c r="CA98" s="511">
        <f>SUM(BN98:BY98)</f>
        <v>12</v>
      </c>
      <c r="CB98" s="511">
        <f>IF(CA98=0,35,_xlfn.RANK.EQ(CA98,CA98:CA132))</f>
        <v>11</v>
      </c>
      <c r="CC98" s="512">
        <f>IF(CB98=35,35,CB98)</f>
        <v>11</v>
      </c>
      <c r="CD98" s="511">
        <f>_xlfn.RANK.EQ(CC98,CC$98:CC$132,1)</f>
        <v>11</v>
      </c>
      <c r="CE98" s="511" t="s">
        <v>381</v>
      </c>
      <c r="CF98" s="511">
        <f>IF(1*ISERROR(VLOOKUP(CE98,$C$76:$AC$85,27,FALSE)-30)=1,0,VLOOKUP(CE98,$C$76:$AC$85,27,FALSE)-30)</f>
        <v>1</v>
      </c>
      <c r="CG98" s="511">
        <f>IF(1*ISERROR(VLOOKUP(CE98,$E$76:$AC$85,25,FALSE)-30)=1,0,VLOOKUP(CE98,$E$76:$AC$85,25,FALSE)-30)</f>
        <v>1</v>
      </c>
      <c r="CH98" s="511">
        <f>IF(1*ISERROR(VLOOKUP(CE98,$G$76:$AC$85,23,FALSE)-30)=1,0,VLOOKUP(CE98,$G$76:$AC$85,23,FALSE)-30)</f>
        <v>1</v>
      </c>
      <c r="CI98" s="511">
        <f>IF(1*ISERROR(VLOOKUP(CE98,$I$76:$AC$85,21,FALSE)-30)=1,0,VLOOKUP(CE98,$I$76:$AC$85,21,FALSE)-30)</f>
        <v>1</v>
      </c>
      <c r="CJ98" s="511">
        <f>IF(1*ISERROR(VLOOKUP(CE98,$K$76:$AC$85,19,FALSE)-30)=1,0,VLOOKUP(CE98,$K$76:$AC$85,19,FALSE)-30)</f>
        <v>1</v>
      </c>
      <c r="CK98" s="511">
        <f>IF(1*ISERROR(VLOOKUP(CE98,$M$76:$AC$85,17,FALSE)-30)=1,0,VLOOKUP(CE98,$M$76:$AC$85,17,FALSE)-30)</f>
        <v>2</v>
      </c>
      <c r="CL98" s="511">
        <f>IF(1*ISERROR(VLOOKUP(CE98,$O$76:$AC$85,15,FALSE)-30)=1,0,VLOOKUP(CE98,$O$76:$AC$85,15,FALSE)-30)</f>
        <v>2</v>
      </c>
      <c r="CM98" s="511">
        <f>IF(1*ISERROR(VLOOKUP(CE98,$Q$76:$AC$85,13,FALSE)-30)=1,0,VLOOKUP(CE98,$Q$76:$AC$85,13,FALSE)-30)</f>
        <v>3</v>
      </c>
      <c r="CN98" s="511">
        <f>IF(1*ISERROR(VLOOKUP(CE98,$S$76:$AC$85,11,FALSE)-30)=1,0,VLOOKUP(CE98,$S$76:$AC$85,11,FALSE)-30)</f>
        <v>3</v>
      </c>
      <c r="CO98" s="511">
        <f>IF(1*ISERROR(VLOOKUP(CE98,$U$76:$AC$85,9,FALSE)-30)=1,0,VLOOKUP(CE98,$U$76:$AC$85,9,FALSE)-30)</f>
        <v>3</v>
      </c>
      <c r="CP98" s="511">
        <f>IF(1*ISERROR(VLOOKUP(CE98,$W$76:$AC$85,7,FALSE)-30)=1,0,VLOOKUP(CE98,$W$76:$AC$85,7,FALSE)-30)</f>
        <v>3</v>
      </c>
      <c r="CQ98" s="511">
        <f>IF(1*ISERROR(VLOOKUP(CE98,$Y$76:$AC$85,5,FALSE)-30)=1,0,VLOOKUP(CE98,$Y$76:$AC$85,5,FALSE)-30)</f>
        <v>3</v>
      </c>
      <c r="CR98" s="511">
        <f>IF(1*ISERROR(VLOOKUP(CE98,$AA$76:$AC$85,3,FALSE)-30)=1,0,VLOOKUP(CE98,$AA$76:$AC$85,3,FALSE)-30)</f>
        <v>3</v>
      </c>
      <c r="CS98" s="511">
        <f>SUM(CF98:CQ98)</f>
        <v>24</v>
      </c>
      <c r="CT98" s="511">
        <f>IF(CS98=0,35,_xlfn.RANK.EQ(CS98,CS98:CS132))</f>
        <v>12</v>
      </c>
      <c r="CU98" s="512">
        <f>IF(CT98=35,35,CT98)</f>
        <v>12</v>
      </c>
      <c r="CV98" s="511">
        <f>_xlfn.RANK.EQ(CU98,CU$98:CU$132,1)</f>
        <v>12</v>
      </c>
      <c r="CW98" s="511" t="s">
        <v>381</v>
      </c>
      <c r="CX98" s="511">
        <f>IF(1*ISERROR(VLOOKUP(CW98,$C$86:$AC$95,27,FALSE)-40)=1,0,VLOOKUP(CW98,$C$86:$AC$95,27,FALSE)-40)</f>
        <v>5</v>
      </c>
      <c r="CY98" s="511">
        <f>IF(1*ISERROR(VLOOKUP(CW98,$E$86:$AC$95,25,FALSE)-40)=1,0,VLOOKUP(CW98,$E$86:$AC$95,25,FALSE)-40)</f>
        <v>4</v>
      </c>
      <c r="CZ98" s="511">
        <f>IF(1*ISERROR(VLOOKUP(CW98,$G$86:$AC$95,23,FALSE)-40)=1,0,VLOOKUP(CW98,$G$86:$AC$95,23,FALSE)-40)</f>
        <v>4</v>
      </c>
      <c r="DA98" s="511">
        <f>IF(1*ISERROR(VLOOKUP(CW98,$I$86:$AC$95,21,FALSE)-40)=1,0,VLOOKUP(CW98,$I$86:$AC$95,21,FALSE)-40)</f>
        <v>4</v>
      </c>
      <c r="DB98" s="511">
        <f>IF(1*ISERROR(VLOOKUP(CW98,$K$86:$AC$95,19,FALSE)-40)=1,0,VLOOKUP(CW98,$K$86:$AC$95,19,FALSE)-40)</f>
        <v>4</v>
      </c>
      <c r="DC98" s="511">
        <f>IF(1*ISERROR(VLOOKUP(CW98,$M$86:$AC$95,17,FALSE)-40)=1,0,VLOOKUP(CW98,$M$86:$AC$95,17,FALSE)-40)</f>
        <v>4</v>
      </c>
      <c r="DD98" s="511">
        <f>IF(1*ISERROR(VLOOKUP(CW98,$O$86:$AC$95,15,FALSE)-40)=1,0,VLOOKUP(CW98,$O$86:$AC$95,15,FALSE)-40)</f>
        <v>4</v>
      </c>
      <c r="DE98" s="511">
        <f>IF(1*ISERROR(VLOOKUP(CW98,$Q$86:$AC$95,13,FALSE)-40)=1,0,VLOOKUP(CW98,$Q$86:$AC$95,13,FALSE)-40)</f>
        <v>4</v>
      </c>
      <c r="DF98" s="511">
        <f>IF(1*ISERROR(VLOOKUP(CW98,$S$86:$AC$95,11,FALSE)-40)=1,0,VLOOKUP(CW98,$S$86:$AC$95,11,FALSE)-40)</f>
        <v>4</v>
      </c>
      <c r="DG98" s="511">
        <f>IF(1*ISERROR(VLOOKUP(CW98,$U$86:$AC$95,9,FALSE)-40)=1,0,VLOOKUP(CW98,$U$86:$AC$95,9,FALSE)-40)</f>
        <v>4</v>
      </c>
      <c r="DH98" s="511">
        <f>IF(1*ISERROR(VLOOKUP(CW98,$W$86:$AC$95,7,FALSE)-40)=1,0,VLOOKUP(CW98,$W$86:$AC$95,7,FALSE)-40)</f>
        <v>4</v>
      </c>
      <c r="DI98" s="511">
        <f>IF(1*ISERROR(VLOOKUP(CW98,$Y$86:$AC$95,5,FALSE)-40)=1,0,VLOOKUP(CW98,$Y$86:$AC$95,5,FALSE)-40)</f>
        <v>4</v>
      </c>
      <c r="DJ98" s="511">
        <f>IF(1*ISERROR(VLOOKUP(CW98,$AA$86:$AC$95,3,FALSE)-40)=1,0,VLOOKUP(CW98,$AA$86:$AC$95,3,FALSE)-40)</f>
        <v>4</v>
      </c>
      <c r="DK98" s="524">
        <f>SUM(CX98:DI98)</f>
        <v>49</v>
      </c>
      <c r="DL98" s="524">
        <f>IF(DK98=0,35,_xlfn.RANK.EQ(DK98,DK98:DK132))</f>
        <v>8</v>
      </c>
      <c r="DM98" s="772">
        <f>IF(DL98=35,35,DL98)</f>
        <v>8</v>
      </c>
      <c r="DN98" s="524">
        <f>_xlfn.RANK.EQ(DM98,DM$98:DM$132,1)</f>
        <v>8</v>
      </c>
      <c r="DO98" s="524" t="s">
        <v>381</v>
      </c>
      <c r="DP98" s="474"/>
      <c r="DQ98" s="474"/>
      <c r="DR98" s="527"/>
      <c r="DS98" s="474"/>
      <c r="DT98" s="474"/>
      <c r="DU98" s="474"/>
      <c r="DV98" s="474"/>
      <c r="DW98" s="474"/>
      <c r="DX98" s="474"/>
      <c r="DY98" s="474"/>
      <c r="DZ98" s="474"/>
      <c r="EA98" s="474"/>
      <c r="EB98" s="474"/>
      <c r="EC98" s="474"/>
    </row>
    <row r="99" spans="1:133" s="473" customFormat="1">
      <c r="AC99" s="761">
        <f t="shared" ref="AC99:AC162" si="7">AC98+1</f>
        <v>2</v>
      </c>
      <c r="AD99" s="497" t="s">
        <v>393</v>
      </c>
      <c r="AE99" s="497">
        <f t="shared" ref="AE99:AE132" si="8">IF(1*ISERROR(VLOOKUP(AD99,$C$46:$AC$55,27,FALSE))=1,0,VLOOKUP(AD99,$C$46:$AC$55,27,FALSE))</f>
        <v>0</v>
      </c>
      <c r="AF99" s="497">
        <f t="shared" ref="AF99:AF132" si="9">IF(1*ISERROR(VLOOKUP(AD99,$E$46:$AC$55,25,FALSE))=1,0,VLOOKUP(AD99,$E$46:$AC$55,25,FALSE))</f>
        <v>0</v>
      </c>
      <c r="AG99" s="497">
        <f t="shared" ref="AG99:AG132" si="10">IF(1*ISERROR(VLOOKUP(AD99,$G$46:$AC$55,23,FALSE))=1,0,VLOOKUP(AD99,$G$46:$AC$55,23,FALSE))</f>
        <v>0</v>
      </c>
      <c r="AH99" s="497">
        <f t="shared" ref="AH99:AH132" si="11">IF(1*ISERROR(VLOOKUP(AD99,$I$46:$AC$55,21,FALSE))=1,0,VLOOKUP(AD99,$I$46:$AC$55,21,FALSE))</f>
        <v>0</v>
      </c>
      <c r="AI99" s="497">
        <f t="shared" ref="AI99:AI132" si="12">IF(1*ISERROR(VLOOKUP(AD99,$K$46:$AC$55,19,FALSE))=1,0,VLOOKUP(AD99,$K$46:$AC$55,19,FALSE))</f>
        <v>0</v>
      </c>
      <c r="AJ99" s="497">
        <f t="shared" ref="AJ99:AJ132" si="13">IF(1*ISERROR(VLOOKUP(AD99,$M$46:$AC$55,17,FALSE))=1,0,VLOOKUP(AD99,$M$46:$AC$55,17,FALSE))</f>
        <v>0</v>
      </c>
      <c r="AK99" s="497">
        <f t="shared" ref="AK99:AK132" si="14">IF(1*ISERROR(VLOOKUP(AD99,$O$46:$AC$55,15,FALSE))=1,0,VLOOKUP(AD99,$O$46:$AC$55,15,FALSE))</f>
        <v>0</v>
      </c>
      <c r="AL99" s="497">
        <f t="shared" ref="AL99:AL132" si="15">IF(1*ISERROR(VLOOKUP(AD99,$Q$46:$AC$55,13,FALSE))=1,0,VLOOKUP(AD99,$Q$46:$AC$55,13,FALSE))</f>
        <v>0</v>
      </c>
      <c r="AM99" s="497">
        <f t="shared" ref="AM99:AM132" si="16">IF(1*ISERROR(VLOOKUP(AD99,$S$46:$AC$55,11,FALSE))=1,0,VLOOKUP(AD99,$S$46:$AC$55,11,FALSE))</f>
        <v>0</v>
      </c>
      <c r="AN99" s="497">
        <f t="shared" ref="AN99:AN132" si="17">IF(1*ISERROR(VLOOKUP(AD99,$U$46:$AC$55,9,FALSE))=1,0,VLOOKUP(AD99,$U$46:$AC$55,9,FALSE))</f>
        <v>0</v>
      </c>
      <c r="AO99" s="497">
        <f t="shared" ref="AO99:AO132" si="18">IF(1*ISERROR(VLOOKUP(AD99,$W$46:$AC$55,7,FALSE))=1,0,VLOOKUP(AD99,$W$46:$AC$55,7,FALSE))</f>
        <v>0</v>
      </c>
      <c r="AP99" s="497">
        <f t="shared" ref="AP99:AP132" si="19">IF(1*ISERROR(VLOOKUP(AD99,$Y$46:$AC$55,5,FALSE))=1,0,VLOOKUP(AD99,$Y$46:$AC$55,5,FALSE))</f>
        <v>0</v>
      </c>
      <c r="AQ99" s="497">
        <f t="shared" ref="AQ99:AQ132" si="20">IF(1*ISERROR(VLOOKUP(AD99,$AA$46:$AC$55,3,FALSE))=1,0,VLOOKUP(AD99,$AA$46:$AC$55,3,FALSE))</f>
        <v>0</v>
      </c>
      <c r="AR99" s="497">
        <f t="shared" ref="AR99:AR132" si="21">SUM(AE99:AQ99)</f>
        <v>0</v>
      </c>
      <c r="AS99" s="497">
        <f>IF(AR99=0,35,_xlfn.RANK.EQ(AR99,AR98:AR132))</f>
        <v>35</v>
      </c>
      <c r="AT99" s="1348">
        <f>IF(AS99=35,35,AS99+COUNTIF(AS$98:AS98,AS99)/COUNTIF(AS$98:AS$132,AS99))</f>
        <v>35</v>
      </c>
      <c r="AU99" s="497">
        <f t="shared" ref="AU99:AU132" si="22">_xlfn.RANK.EQ(AT99,AT$98:AT$132,1)</f>
        <v>12</v>
      </c>
      <c r="AV99" s="497" t="s">
        <v>393</v>
      </c>
      <c r="AW99" s="497">
        <f t="shared" ref="AW99:AW132" si="23">IF(1*ISERROR(VLOOKUP(AV99,$C$56:$AC$65,27,FALSE)-10)=1,0,VLOOKUP(AV99,$C$56:$AC$65,27,FALSE)-10)</f>
        <v>5</v>
      </c>
      <c r="AX99" s="497">
        <f t="shared" ref="AX99:AX132" si="24">IF(1*ISERROR(VLOOKUP(AV99,$E$56:$AC$65,25,FALSE)-10)=1,0,VLOOKUP(AV99,$E$56:$AC$65,25,FALSE)-10)</f>
        <v>5</v>
      </c>
      <c r="AY99" s="497">
        <f t="shared" ref="AY99:AY132" si="25">IF(1*ISERROR(VLOOKUP(AV99,$G$56:$AC$65,23,FALSE)-10)=1,0,VLOOKUP(AV99,$G$56:$AC$65,23,FALSE)-10)</f>
        <v>9</v>
      </c>
      <c r="AZ99" s="497">
        <f t="shared" ref="AZ99:AZ132" si="26">IF(1*ISERROR(VLOOKUP(AV99,$I$56:$AC$65,21,FALSE)-10)=1,0,VLOOKUP(AV99,$I$56:$AC$65,21,FALSE)-10)</f>
        <v>9</v>
      </c>
      <c r="BA99" s="497">
        <f t="shared" ref="BA99:BA132" si="27">IF(1*ISERROR(VLOOKUP(AV99,$K$56:$AC$65,19,FALSE)-10)=1,0,VLOOKUP(AV99,$K$56:$AC$65,19,FALSE)-10)</f>
        <v>8</v>
      </c>
      <c r="BB99" s="497">
        <f t="shared" ref="BB99:BB132" si="28">IF(1*ISERROR(VLOOKUP(AV99,$M$56:$AC$65,17,FALSE)-10)=1,0,VLOOKUP(AV99,$M$56:$AC$65,17,FALSE)-10)</f>
        <v>9</v>
      </c>
      <c r="BC99" s="497">
        <f t="shared" ref="BC99:BC132" si="29">IF(1*ISERROR(VLOOKUP(AV99,$O$56:$AC$65,15,FALSE)-10)=1,0,VLOOKUP(AV99,$O$56:$AC$65,15,FALSE)-10)</f>
        <v>9</v>
      </c>
      <c r="BD99" s="497">
        <f t="shared" ref="BD99:BD132" si="30">IF(1*ISERROR(VLOOKUP(AV99,$Q$56:$AC$65,13,FALSE)-10)=1,0,VLOOKUP(AV99,$Q$56:$AC$65,13,FALSE)-10)</f>
        <v>10</v>
      </c>
      <c r="BE99" s="497">
        <f t="shared" ref="BE99:BE132" si="31">IF(1*ISERROR(VLOOKUP(AV99,$S$56:$AC$65,11,FALSE)-10)=1,0,VLOOKUP(AV99,$S$56:$AC$65,11,FALSE)-10)</f>
        <v>10</v>
      </c>
      <c r="BF99" s="497">
        <f t="shared" ref="BF99:BF132" si="32">IF(1*ISERROR(VLOOKUP(AV99,$U$56:$AC$65,9,FALSE)-10)=1,0,VLOOKUP(AV99,$U$56:$AC$65,9,FALSE)-10)</f>
        <v>9</v>
      </c>
      <c r="BG99" s="497">
        <f t="shared" ref="BG99:BG132" si="33">IF(1*ISERROR(VLOOKUP(AV99,$W$56:$AC$65,7,FALSE)-10)=1,0,VLOOKUP(AV99,$W$56:$AC$65,7,FALSE)-10)</f>
        <v>10</v>
      </c>
      <c r="BH99" s="497">
        <f t="shared" ref="BH99:BH132" si="34">IF(1*ISERROR(VLOOKUP(AV99,$Y$56:$AC$65,5,FALSE)-10)=1,0,VLOOKUP(AV99,$Y$56:$AC$65,5,FALSE)-10)</f>
        <v>10</v>
      </c>
      <c r="BI99" s="497">
        <f t="shared" ref="BI99:BI132" si="35">SUM(AW99:BG99)</f>
        <v>93</v>
      </c>
      <c r="BJ99" s="497">
        <f>IF(BI99=0,35,_xlfn.RANK.EQ(BI99,BI98:BI132))</f>
        <v>1</v>
      </c>
      <c r="BK99" s="1348">
        <f>IF(BJ99=35,35,BJ99+COUNTIF(BJ$98:BJ98,BJ99)/COUNTIF(BJ$98:BJ$132,BJ99))</f>
        <v>1</v>
      </c>
      <c r="BL99" s="497">
        <f t="shared" si="6"/>
        <v>1</v>
      </c>
      <c r="BM99" s="497" t="s">
        <v>393</v>
      </c>
      <c r="BN99" s="497">
        <f t="shared" ref="BN99:BN132" si="36">IF(1*ISERROR(VLOOKUP(BM99,$C$66:$AC$75,27,FALSE)-20)=1,0,VLOOKUP(BM99,$C$66:$AC$75,27,FALSE)-20)</f>
        <v>8</v>
      </c>
      <c r="BO99" s="497">
        <f t="shared" ref="BO99:BO132" si="37">IF(1*ISERROR(VLOOKUP(BM99,$E$66:$AC$75,25,FALSE)-20)=1,0,VLOOKUP(BM99,$E$66:$AC$75,25,FALSE)-20)</f>
        <v>8</v>
      </c>
      <c r="BP99" s="497">
        <f t="shared" ref="BP99:BP132" si="38">IF(1*ISERROR(VLOOKUP(BM99,$G$66:$AC$75,23,FALSE)-20)=1,0,VLOOKUP(BM99,$G$66:$AC$75,23,FALSE)-20)</f>
        <v>0</v>
      </c>
      <c r="BQ99" s="497">
        <f t="shared" ref="BQ99:BQ132" si="39">IF(1*ISERROR(VLOOKUP(BM99,$I$66:$AC$75,21,FALSE)-20)=1,0,VLOOKUP(BM99,$I$66:$AC$75,21,FALSE)-20)</f>
        <v>10</v>
      </c>
      <c r="BR99" s="497">
        <f t="shared" ref="BR99:BR132" si="40">IF(1*ISERROR(VLOOKUP(BM99,$K$66:$AC$75,19,FALSE)-20)=1,0,VLOOKUP(BM99,$K$66:$AC$75,19,FALSE)-20)</f>
        <v>0</v>
      </c>
      <c r="BS99" s="497">
        <f t="shared" ref="BS99:BS132" si="41">IF(1*ISERROR(VLOOKUP(BM99,$M$66:$AC$75,17,FALSE)-20)=1,0,VLOOKUP(BM99,$M$66:$AC$75,17,FALSE)-20)</f>
        <v>0</v>
      </c>
      <c r="BT99" s="497">
        <f t="shared" ref="BT99:BT132" si="42">IF(1*ISERROR(VLOOKUP(BM99,$O$66:$AC$75,15,FALSE)-20)=1,0,VLOOKUP(BM99,$O$66:$AC$75,15,FALSE)-20)</f>
        <v>0</v>
      </c>
      <c r="BU99" s="497">
        <f t="shared" ref="BU99:BU132" si="43">IF(1*ISERROR(VLOOKUP(BM99,$Q$66:$AC$75,13,FALSE)-20)=1,0,VLOOKUP(BM99,$Q$66:$AC$75,13,FALSE)-20)</f>
        <v>0</v>
      </c>
      <c r="BV99" s="497">
        <f t="shared" ref="BV99:BV132" si="44">IF(1*ISERROR(VLOOKUP(BM99,$S$66:$AC$75,11,FALSE)-20)=1,0,VLOOKUP(BM99,$S$66:$AC$75,11,FALSE)-20)</f>
        <v>0</v>
      </c>
      <c r="BW99" s="497">
        <f t="shared" ref="BW99:BW132" si="45">IF(1*ISERROR(VLOOKUP(BM99,$U$66:$AC$75,9,FALSE)-20)=1,0,VLOOKUP(BM99,$U$66:$AC$75,9,FALSE)-20)</f>
        <v>0</v>
      </c>
      <c r="BX99" s="497">
        <f t="shared" ref="BX99:BX132" si="46">IF(1*ISERROR(VLOOKUP(BM99,$W$66:$AC$75,7,FALSE)-20)=1,0,VLOOKUP(BM99,$W$66:$AC$75,7,FALSE)-20)</f>
        <v>9</v>
      </c>
      <c r="BY99" s="497">
        <f t="shared" ref="BY99:BY132" si="47">IF(1*ISERROR(VLOOKUP(BM99,$Y$66:$AC$75,5,FALSE)-20)=1,0,VLOOKUP(BM99,$Y$66:$AC$75,5,FALSE)-20)</f>
        <v>0</v>
      </c>
      <c r="BZ99" s="497">
        <f t="shared" ref="BZ99:BZ132" si="48">IF(1*ISERROR(VLOOKUP(BM99,$AA$66:$AC$75,3,FALSE)-20)=1,0,VLOOKUP(BM99,$AA$66:$AC$75,3,FALSE)-20)</f>
        <v>9</v>
      </c>
      <c r="CA99" s="511">
        <f t="shared" ref="CA99:CA132" si="49">SUM(BN99:BY99)</f>
        <v>35</v>
      </c>
      <c r="CB99" s="511">
        <f>IF(CA99=0,35,_xlfn.RANK.EQ(CA99,CA98:CA132))</f>
        <v>9</v>
      </c>
      <c r="CC99" s="512">
        <f>IF(CB99=35,35,CB99+COUNTIF(CB$98:CB98,CB99)/COUNTIF(CB$98:CB$132,CB99))</f>
        <v>9</v>
      </c>
      <c r="CD99" s="511">
        <f t="shared" ref="CD99:CD132" si="50">_xlfn.RANK.EQ(CC99,CC$98:CC$132,1)</f>
        <v>9</v>
      </c>
      <c r="CE99" s="511" t="s">
        <v>393</v>
      </c>
      <c r="CF99" s="511">
        <f t="shared" ref="CF99:CF132" si="51">IF(1*ISERROR(VLOOKUP(CE99,$C$76:$AC$85,27,FALSE)-30)=1,0,VLOOKUP(CE99,$C$76:$AC$85,27,FALSE)-30)</f>
        <v>0</v>
      </c>
      <c r="CG99" s="511">
        <f t="shared" ref="CG99:CG132" si="52">IF(1*ISERROR(VLOOKUP(CE99,$E$76:$AC$85,25,FALSE)-30)=1,0,VLOOKUP(CE99,$E$76:$AC$85,25,FALSE)-30)</f>
        <v>0</v>
      </c>
      <c r="CH99" s="511">
        <f t="shared" ref="CH99:CH132" si="53">IF(1*ISERROR(VLOOKUP(CE99,$G$76:$AC$85,23,FALSE)-30)=1,0,VLOOKUP(CE99,$G$76:$AC$85,23,FALSE)-30)</f>
        <v>0</v>
      </c>
      <c r="CI99" s="511">
        <f t="shared" ref="CI99:CI132" si="54">IF(1*ISERROR(VLOOKUP(CE99,$I$76:$AC$85,21,FALSE)-30)=1,0,VLOOKUP(CE99,$I$76:$AC$85,21,FALSE)-30)</f>
        <v>0</v>
      </c>
      <c r="CJ99" s="511">
        <f t="shared" ref="CJ99:CJ132" si="55">IF(1*ISERROR(VLOOKUP(CE99,$K$76:$AC$85,19,FALSE)-30)=1,0,VLOOKUP(CE99,$K$76:$AC$85,19,FALSE)-30)</f>
        <v>0</v>
      </c>
      <c r="CK99" s="511">
        <f t="shared" ref="CK99:CK132" si="56">IF(1*ISERROR(VLOOKUP(CE99,$M$76:$AC$85,17,FALSE)-30)=1,0,VLOOKUP(CE99,$M$76:$AC$85,17,FALSE)-30)</f>
        <v>0</v>
      </c>
      <c r="CL99" s="511">
        <f t="shared" ref="CL99:CL132" si="57">IF(1*ISERROR(VLOOKUP(CE99,$O$76:$AC$85,15,FALSE)-30)=1,0,VLOOKUP(CE99,$O$76:$AC$85,15,FALSE)-30)</f>
        <v>0</v>
      </c>
      <c r="CM99" s="511">
        <f t="shared" ref="CM99:CM132" si="58">IF(1*ISERROR(VLOOKUP(CE99,$Q$76:$AC$85,13,FALSE)-30)=1,0,VLOOKUP(CE99,$Q$76:$AC$85,13,FALSE)-30)</f>
        <v>0</v>
      </c>
      <c r="CN99" s="511">
        <f t="shared" ref="CN99:CN132" si="59">IF(1*ISERROR(VLOOKUP(CE99,$S$76:$AC$85,11,FALSE)-30)=1,0,VLOOKUP(CE99,$S$76:$AC$85,11,FALSE)-30)</f>
        <v>0</v>
      </c>
      <c r="CO99" s="511">
        <f t="shared" ref="CO99:CO132" si="60">IF(1*ISERROR(VLOOKUP(CE99,$U$76:$AC$85,9,FALSE)-30)=1,0,VLOOKUP(CE99,$U$76:$AC$85,9,FALSE)-30)</f>
        <v>0</v>
      </c>
      <c r="CP99" s="511">
        <f t="shared" ref="CP99:CP132" si="61">IF(1*ISERROR(VLOOKUP(CE99,$W$76:$AC$85,7,FALSE)-30)=1,0,VLOOKUP(CE99,$W$76:$AC$85,7,FALSE)-30)</f>
        <v>0</v>
      </c>
      <c r="CQ99" s="511">
        <f t="shared" ref="CQ99:CQ132" si="62">IF(1*ISERROR(VLOOKUP(CE99,$Y$76:$AC$85,5,FALSE)-30)=1,0,VLOOKUP(CE99,$Y$76:$AC$85,5,FALSE)-30)</f>
        <v>0</v>
      </c>
      <c r="CR99" s="511">
        <f t="shared" ref="CR99:CR132" si="63">IF(1*ISERROR(VLOOKUP(CE99,$AA$76:$AC$85,3,FALSE)-30)=1,0,VLOOKUP(CE99,$AA$76:$AC$85,3,FALSE)-30)</f>
        <v>0</v>
      </c>
      <c r="CS99" s="511">
        <f t="shared" ref="CS99:CS132" si="64">SUM(CF99:CQ99)</f>
        <v>0</v>
      </c>
      <c r="CT99" s="511">
        <f>IF(CS99=0,35,_xlfn.RANK.EQ(CS99,CS98:CS132))</f>
        <v>35</v>
      </c>
      <c r="CU99" s="512">
        <f>IF(CT99=35,35,CT99+COUNTIF(CT$98:CT98,CT99)/COUNTIF(CT$98:CT$132,CT99))</f>
        <v>35</v>
      </c>
      <c r="CV99" s="511">
        <f t="shared" ref="CV99:CV132" si="65">_xlfn.RANK.EQ(CU99,CU$98:CU$132,1)</f>
        <v>21</v>
      </c>
      <c r="CW99" s="511" t="s">
        <v>393</v>
      </c>
      <c r="CX99" s="511">
        <f t="shared" ref="CX99:CX132" si="66">IF(1*ISERROR(VLOOKUP(CW99,$C$86:$AC$95,27,FALSE)-40)=1,0,VLOOKUP(CW99,$C$86:$AC$95,27,FALSE)-40)</f>
        <v>3</v>
      </c>
      <c r="CY99" s="511">
        <f t="shared" ref="CY99:CY132" si="67">IF(1*ISERROR(VLOOKUP(CW99,$E$86:$AC$95,25,FALSE)-40)=1,0,VLOOKUP(CW99,$E$86:$AC$95,25,FALSE)-40)</f>
        <v>5</v>
      </c>
      <c r="CZ99" s="511">
        <f t="shared" ref="CZ99:CZ132" si="68">IF(1*ISERROR(VLOOKUP(CW99,$G$86:$AC$95,23,FALSE)-40)=1,0,VLOOKUP(CW99,$G$86:$AC$95,23,FALSE)-40)</f>
        <v>6</v>
      </c>
      <c r="DA99" s="511">
        <f t="shared" ref="DA99:DA132" si="69">IF(1*ISERROR(VLOOKUP(CW99,$I$86:$AC$95,21,FALSE)-40)=1,0,VLOOKUP(CW99,$I$86:$AC$95,21,FALSE)-40)</f>
        <v>6</v>
      </c>
      <c r="DB99" s="511">
        <f t="shared" ref="DB99:DB132" si="70">IF(1*ISERROR(VLOOKUP(CW99,$K$86:$AC$95,19,FALSE)-40)=1,0,VLOOKUP(CW99,$K$86:$AC$95,19,FALSE)-40)</f>
        <v>6</v>
      </c>
      <c r="DC99" s="511">
        <f t="shared" ref="DC99:DC132" si="71">IF(1*ISERROR(VLOOKUP(CW99,$M$86:$AC$95,17,FALSE)-40)=1,0,VLOOKUP(CW99,$M$86:$AC$95,17,FALSE)-40)</f>
        <v>6</v>
      </c>
      <c r="DD99" s="511">
        <f t="shared" ref="DD99:DD132" si="72">IF(1*ISERROR(VLOOKUP(CW99,$O$86:$AC$95,15,FALSE)-40)=1,0,VLOOKUP(CW99,$O$86:$AC$95,15,FALSE)-40)</f>
        <v>6</v>
      </c>
      <c r="DE99" s="511">
        <f t="shared" ref="DE99:DE132" si="73">IF(1*ISERROR(VLOOKUP(CW99,$Q$86:$AC$95,13,FALSE)-40)=1,0,VLOOKUP(CW99,$Q$86:$AC$95,13,FALSE)-40)</f>
        <v>6</v>
      </c>
      <c r="DF99" s="511">
        <f t="shared" ref="DF99:DF132" si="74">IF(1*ISERROR(VLOOKUP(CW99,$S$86:$AC$95,11,FALSE)-40)=1,0,VLOOKUP(CW99,$S$86:$AC$95,11,FALSE)-40)</f>
        <v>7</v>
      </c>
      <c r="DG99" s="511">
        <f t="shared" ref="DG99:DG132" si="75">IF(1*ISERROR(VLOOKUP(CW99,$U$86:$AC$95,9,FALSE)-40)=1,0,VLOOKUP(CW99,$U$86:$AC$95,9,FALSE)-40)</f>
        <v>7</v>
      </c>
      <c r="DH99" s="511">
        <f t="shared" ref="DH99:DH132" si="76">IF(1*ISERROR(VLOOKUP(CW99,$W$86:$AC$95,7,FALSE)-40)=1,0,VLOOKUP(CW99,$W$86:$AC$95,7,FALSE)-40)</f>
        <v>8</v>
      </c>
      <c r="DI99" s="511">
        <f t="shared" ref="DI99:DI132" si="77">IF(1*ISERROR(VLOOKUP(CW99,$Y$86:$AC$95,5,FALSE)-40)=1,0,VLOOKUP(CW99,$Y$86:$AC$95,5,FALSE)-40)</f>
        <v>8</v>
      </c>
      <c r="DJ99" s="511">
        <f t="shared" ref="DJ99:DJ132" si="78">IF(1*ISERROR(VLOOKUP(CW99,$AA$86:$AC$95,3,FALSE)-40)=1,0,VLOOKUP(CW99,$AA$86:$AC$95,3,FALSE)-40)</f>
        <v>8</v>
      </c>
      <c r="DK99" s="524">
        <f t="shared" ref="DK99:DK132" si="79">SUM(CX99:DI99)</f>
        <v>74</v>
      </c>
      <c r="DL99" s="524">
        <f>IF(DK99=0,35,_xlfn.RANK.EQ(DK99,DK98:DK132))</f>
        <v>3</v>
      </c>
      <c r="DM99" s="772">
        <f>IF(DL99=35,35,DL99+COUNTIF(DL$98:DL98,DL99)/COUNTIF(DL$98:DL$132,DL99))</f>
        <v>3</v>
      </c>
      <c r="DN99" s="524">
        <f t="shared" ref="DN99:DN132" si="80">_xlfn.RANK.EQ(DM99,DM$98:DM$132,1)</f>
        <v>3</v>
      </c>
      <c r="DO99" s="524" t="s">
        <v>393</v>
      </c>
      <c r="DP99" s="474"/>
      <c r="DQ99" s="474"/>
      <c r="DR99" s="527"/>
      <c r="DS99" s="474"/>
      <c r="DT99" s="474"/>
      <c r="DU99" s="474"/>
      <c r="DV99" s="474"/>
      <c r="DW99" s="474"/>
      <c r="DX99" s="474"/>
      <c r="DY99" s="474"/>
      <c r="DZ99" s="474"/>
      <c r="EA99" s="474"/>
      <c r="EB99" s="474"/>
      <c r="EC99" s="474"/>
    </row>
    <row r="100" spans="1:133" s="473" customFormat="1">
      <c r="AC100" s="761">
        <f t="shared" si="7"/>
        <v>3</v>
      </c>
      <c r="AD100" s="497" t="s">
        <v>405</v>
      </c>
      <c r="AE100" s="497">
        <f t="shared" si="8"/>
        <v>0</v>
      </c>
      <c r="AF100" s="497">
        <f t="shared" si="9"/>
        <v>0</v>
      </c>
      <c r="AG100" s="497">
        <f t="shared" si="10"/>
        <v>0</v>
      </c>
      <c r="AH100" s="497">
        <f t="shared" si="11"/>
        <v>0</v>
      </c>
      <c r="AI100" s="497">
        <f t="shared" si="12"/>
        <v>0</v>
      </c>
      <c r="AJ100" s="497">
        <f t="shared" si="13"/>
        <v>0</v>
      </c>
      <c r="AK100" s="497">
        <f t="shared" si="14"/>
        <v>0</v>
      </c>
      <c r="AL100" s="497">
        <f t="shared" si="15"/>
        <v>0</v>
      </c>
      <c r="AM100" s="497">
        <f t="shared" si="16"/>
        <v>0</v>
      </c>
      <c r="AN100" s="497">
        <f t="shared" si="17"/>
        <v>0</v>
      </c>
      <c r="AO100" s="497">
        <f t="shared" si="18"/>
        <v>0</v>
      </c>
      <c r="AP100" s="497">
        <f t="shared" si="19"/>
        <v>0</v>
      </c>
      <c r="AQ100" s="497">
        <f t="shared" si="20"/>
        <v>0</v>
      </c>
      <c r="AR100" s="497">
        <f t="shared" si="21"/>
        <v>0</v>
      </c>
      <c r="AS100" s="497">
        <f>IF(AR100=0,35,_xlfn.RANK.EQ(AR100,AR98:AR132))</f>
        <v>35</v>
      </c>
      <c r="AT100" s="1348">
        <f>IF(AS100=35,35,AS100+COUNTIF(AS$98:AS99,AS100)/COUNTIF(AS$98:AS$132,AS100))</f>
        <v>35</v>
      </c>
      <c r="AU100" s="497">
        <f t="shared" si="22"/>
        <v>12</v>
      </c>
      <c r="AV100" s="497" t="s">
        <v>405</v>
      </c>
      <c r="AW100" s="497">
        <f t="shared" si="23"/>
        <v>0</v>
      </c>
      <c r="AX100" s="497">
        <f t="shared" si="24"/>
        <v>0</v>
      </c>
      <c r="AY100" s="497">
        <f t="shared" si="25"/>
        <v>0</v>
      </c>
      <c r="AZ100" s="497">
        <f t="shared" si="26"/>
        <v>0</v>
      </c>
      <c r="BA100" s="497">
        <f t="shared" si="27"/>
        <v>0</v>
      </c>
      <c r="BB100" s="497">
        <f t="shared" si="28"/>
        <v>0</v>
      </c>
      <c r="BC100" s="497">
        <f t="shared" si="29"/>
        <v>0</v>
      </c>
      <c r="BD100" s="497">
        <f t="shared" si="30"/>
        <v>0</v>
      </c>
      <c r="BE100" s="497">
        <f t="shared" si="31"/>
        <v>0</v>
      </c>
      <c r="BF100" s="497">
        <f t="shared" si="32"/>
        <v>0</v>
      </c>
      <c r="BG100" s="497">
        <f t="shared" si="33"/>
        <v>0</v>
      </c>
      <c r="BH100" s="497">
        <f t="shared" si="34"/>
        <v>0</v>
      </c>
      <c r="BI100" s="497">
        <f t="shared" si="35"/>
        <v>0</v>
      </c>
      <c r="BJ100" s="497">
        <f>IF(BI100=0,35,_xlfn.RANK.EQ(BI100,BI98:BI132))</f>
        <v>35</v>
      </c>
      <c r="BK100" s="1348">
        <f>IF(BJ100=35,35,BJ100+COUNTIF(BJ$98:BJ99,BJ100)/COUNTIF(BJ$98:BJ$132,BJ100))</f>
        <v>35</v>
      </c>
      <c r="BL100" s="497">
        <f t="shared" si="6"/>
        <v>13</v>
      </c>
      <c r="BM100" s="497" t="s">
        <v>405</v>
      </c>
      <c r="BN100" s="497">
        <f t="shared" si="36"/>
        <v>0</v>
      </c>
      <c r="BO100" s="497">
        <f t="shared" si="37"/>
        <v>0</v>
      </c>
      <c r="BP100" s="497">
        <f t="shared" si="38"/>
        <v>0</v>
      </c>
      <c r="BQ100" s="497">
        <f t="shared" si="39"/>
        <v>0</v>
      </c>
      <c r="BR100" s="497">
        <f t="shared" si="40"/>
        <v>0</v>
      </c>
      <c r="BS100" s="497">
        <f t="shared" si="41"/>
        <v>0</v>
      </c>
      <c r="BT100" s="497">
        <f t="shared" si="42"/>
        <v>0</v>
      </c>
      <c r="BU100" s="497">
        <f t="shared" si="43"/>
        <v>0</v>
      </c>
      <c r="BV100" s="497">
        <f t="shared" si="44"/>
        <v>0</v>
      </c>
      <c r="BW100" s="497">
        <f t="shared" si="45"/>
        <v>0</v>
      </c>
      <c r="BX100" s="497">
        <f t="shared" si="46"/>
        <v>0</v>
      </c>
      <c r="BY100" s="497">
        <f t="shared" si="47"/>
        <v>0</v>
      </c>
      <c r="BZ100" s="497">
        <f t="shared" si="48"/>
        <v>0</v>
      </c>
      <c r="CA100" s="511">
        <f t="shared" si="49"/>
        <v>0</v>
      </c>
      <c r="CB100" s="511">
        <f>IF(CA100=0,35,_xlfn.RANK.EQ(CA100,CA98:CA132))</f>
        <v>35</v>
      </c>
      <c r="CC100" s="512">
        <f>IF(CB100=35,35,CB100+COUNTIF(CB$98:CB99,CB100)/COUNTIF(CB$98:CB$132,CB100))</f>
        <v>35</v>
      </c>
      <c r="CD100" s="511">
        <f t="shared" si="50"/>
        <v>13</v>
      </c>
      <c r="CE100" s="511" t="s">
        <v>405</v>
      </c>
      <c r="CF100" s="511">
        <f t="shared" si="51"/>
        <v>0</v>
      </c>
      <c r="CG100" s="511">
        <f t="shared" si="52"/>
        <v>0</v>
      </c>
      <c r="CH100" s="511">
        <f t="shared" si="53"/>
        <v>0</v>
      </c>
      <c r="CI100" s="511">
        <f t="shared" si="54"/>
        <v>0</v>
      </c>
      <c r="CJ100" s="511">
        <f t="shared" si="55"/>
        <v>0</v>
      </c>
      <c r="CK100" s="511">
        <f t="shared" si="56"/>
        <v>0</v>
      </c>
      <c r="CL100" s="511">
        <f t="shared" si="57"/>
        <v>0</v>
      </c>
      <c r="CM100" s="511">
        <f t="shared" si="58"/>
        <v>0</v>
      </c>
      <c r="CN100" s="511">
        <f t="shared" si="59"/>
        <v>0</v>
      </c>
      <c r="CO100" s="511">
        <f t="shared" si="60"/>
        <v>0</v>
      </c>
      <c r="CP100" s="511">
        <f t="shared" si="61"/>
        <v>0</v>
      </c>
      <c r="CQ100" s="511">
        <f t="shared" si="62"/>
        <v>0</v>
      </c>
      <c r="CR100" s="511">
        <f t="shared" si="63"/>
        <v>0</v>
      </c>
      <c r="CS100" s="511">
        <f t="shared" si="64"/>
        <v>0</v>
      </c>
      <c r="CT100" s="511">
        <f>IF(CS100=0,35,_xlfn.RANK.EQ(CS100,CS98:CS132))</f>
        <v>35</v>
      </c>
      <c r="CU100" s="512">
        <f>IF(CT100=35,35,CT100+COUNTIF(CT$98:CT99,CT100)/COUNTIF(CT$98:CT$132,CT100))</f>
        <v>35</v>
      </c>
      <c r="CV100" s="511">
        <f t="shared" si="65"/>
        <v>21</v>
      </c>
      <c r="CW100" s="511" t="s">
        <v>405</v>
      </c>
      <c r="CX100" s="511">
        <f t="shared" si="66"/>
        <v>9</v>
      </c>
      <c r="CY100" s="511">
        <f t="shared" si="67"/>
        <v>10</v>
      </c>
      <c r="CZ100" s="511">
        <f t="shared" si="68"/>
        <v>0</v>
      </c>
      <c r="DA100" s="511">
        <f t="shared" si="69"/>
        <v>0</v>
      </c>
      <c r="DB100" s="511">
        <f t="shared" si="70"/>
        <v>0</v>
      </c>
      <c r="DC100" s="511">
        <f t="shared" si="71"/>
        <v>0</v>
      </c>
      <c r="DD100" s="511">
        <f t="shared" si="72"/>
        <v>0</v>
      </c>
      <c r="DE100" s="511">
        <f t="shared" si="73"/>
        <v>0</v>
      </c>
      <c r="DF100" s="511">
        <f t="shared" si="74"/>
        <v>0</v>
      </c>
      <c r="DG100" s="511">
        <f t="shared" si="75"/>
        <v>0</v>
      </c>
      <c r="DH100" s="511">
        <f t="shared" si="76"/>
        <v>0</v>
      </c>
      <c r="DI100" s="511">
        <f t="shared" si="77"/>
        <v>0</v>
      </c>
      <c r="DJ100" s="511">
        <f t="shared" si="78"/>
        <v>0</v>
      </c>
      <c r="DK100" s="524">
        <f t="shared" si="79"/>
        <v>19</v>
      </c>
      <c r="DL100" s="524">
        <f>IF(DK100=0,35,_xlfn.RANK.EQ(DK100,DK98:DK132))</f>
        <v>11</v>
      </c>
      <c r="DM100" s="772">
        <f>IF(DL100=35,35,DL100+COUNTIF(DL$98:DL99,DL100)/COUNTIF(DL$98:DL$132,DL100))</f>
        <v>11</v>
      </c>
      <c r="DN100" s="524">
        <f t="shared" si="80"/>
        <v>11</v>
      </c>
      <c r="DO100" s="524" t="s">
        <v>405</v>
      </c>
      <c r="DP100" s="474"/>
      <c r="DQ100" s="474"/>
      <c r="DR100" s="527"/>
      <c r="DS100" s="474"/>
      <c r="DT100" s="474"/>
      <c r="DU100" s="474"/>
      <c r="DV100" s="474"/>
      <c r="DW100" s="474"/>
      <c r="DX100" s="474"/>
      <c r="DY100" s="474"/>
      <c r="DZ100" s="474"/>
      <c r="EA100" s="474"/>
      <c r="EB100" s="474"/>
      <c r="EC100" s="474"/>
    </row>
    <row r="101" spans="1:133" s="473" customFormat="1">
      <c r="AC101" s="761">
        <f t="shared" si="7"/>
        <v>4</v>
      </c>
      <c r="AD101" s="497" t="s">
        <v>379</v>
      </c>
      <c r="AE101" s="497">
        <f t="shared" si="8"/>
        <v>3</v>
      </c>
      <c r="AF101" s="497">
        <f t="shared" si="9"/>
        <v>3</v>
      </c>
      <c r="AG101" s="497">
        <f t="shared" si="10"/>
        <v>2</v>
      </c>
      <c r="AH101" s="497">
        <f t="shared" si="11"/>
        <v>2</v>
      </c>
      <c r="AI101" s="497">
        <f t="shared" si="12"/>
        <v>2</v>
      </c>
      <c r="AJ101" s="497">
        <f t="shared" si="13"/>
        <v>2</v>
      </c>
      <c r="AK101" s="497">
        <f t="shared" si="14"/>
        <v>2</v>
      </c>
      <c r="AL101" s="497">
        <f t="shared" si="15"/>
        <v>1</v>
      </c>
      <c r="AM101" s="497">
        <f t="shared" si="16"/>
        <v>2</v>
      </c>
      <c r="AN101" s="497">
        <f t="shared" si="17"/>
        <v>1</v>
      </c>
      <c r="AO101" s="497">
        <f t="shared" si="18"/>
        <v>1</v>
      </c>
      <c r="AP101" s="497">
        <f t="shared" si="19"/>
        <v>1</v>
      </c>
      <c r="AQ101" s="497">
        <f t="shared" si="20"/>
        <v>3</v>
      </c>
      <c r="AR101" s="497">
        <f t="shared" si="21"/>
        <v>25</v>
      </c>
      <c r="AS101" s="497">
        <f>IF(AR101=0,35,_xlfn.RANK.EQ(AR101,AR98:AR132))</f>
        <v>10</v>
      </c>
      <c r="AT101" s="1348">
        <f>IF(AS101=35,35,AS101+COUNTIF(AS$98:AS100,AS101)/COUNTIF(AS$98:AS$132,AS101))</f>
        <v>10</v>
      </c>
      <c r="AU101" s="497">
        <f t="shared" si="22"/>
        <v>10</v>
      </c>
      <c r="AV101" s="497" t="s">
        <v>379</v>
      </c>
      <c r="AW101" s="497">
        <f t="shared" si="23"/>
        <v>0</v>
      </c>
      <c r="AX101" s="497">
        <f t="shared" si="24"/>
        <v>0</v>
      </c>
      <c r="AY101" s="497">
        <f t="shared" si="25"/>
        <v>0</v>
      </c>
      <c r="AZ101" s="497">
        <f t="shared" si="26"/>
        <v>0</v>
      </c>
      <c r="BA101" s="497">
        <f t="shared" si="27"/>
        <v>0</v>
      </c>
      <c r="BB101" s="497">
        <f t="shared" si="28"/>
        <v>0</v>
      </c>
      <c r="BC101" s="497">
        <f t="shared" si="29"/>
        <v>0</v>
      </c>
      <c r="BD101" s="497">
        <f t="shared" si="30"/>
        <v>0</v>
      </c>
      <c r="BE101" s="497">
        <f t="shared" si="31"/>
        <v>0</v>
      </c>
      <c r="BF101" s="497">
        <f t="shared" si="32"/>
        <v>0</v>
      </c>
      <c r="BG101" s="497">
        <f t="shared" si="33"/>
        <v>0</v>
      </c>
      <c r="BH101" s="497">
        <f t="shared" si="34"/>
        <v>0</v>
      </c>
      <c r="BI101" s="497">
        <f t="shared" si="35"/>
        <v>0</v>
      </c>
      <c r="BJ101" s="497">
        <f>IF(BI101=0,35,_xlfn.RANK.EQ(BI101,BI98:BI132))</f>
        <v>35</v>
      </c>
      <c r="BK101" s="1348">
        <f>IF(BJ101=35,35,BJ101+COUNTIF(BJ$98:BJ100,BJ101)/COUNTIF(BJ$98:BJ$132,BJ101))</f>
        <v>35</v>
      </c>
      <c r="BL101" s="497">
        <f t="shared" si="6"/>
        <v>13</v>
      </c>
      <c r="BM101" s="497" t="s">
        <v>379</v>
      </c>
      <c r="BN101" s="497">
        <f t="shared" si="36"/>
        <v>6</v>
      </c>
      <c r="BO101" s="497">
        <f t="shared" si="37"/>
        <v>6</v>
      </c>
      <c r="BP101" s="497">
        <f t="shared" si="38"/>
        <v>5</v>
      </c>
      <c r="BQ101" s="497">
        <f t="shared" si="39"/>
        <v>7</v>
      </c>
      <c r="BR101" s="497">
        <f t="shared" si="40"/>
        <v>7</v>
      </c>
      <c r="BS101" s="497">
        <f t="shared" si="41"/>
        <v>7</v>
      </c>
      <c r="BT101" s="497">
        <f t="shared" si="42"/>
        <v>8</v>
      </c>
      <c r="BU101" s="497">
        <f t="shared" si="43"/>
        <v>5</v>
      </c>
      <c r="BV101" s="497">
        <f t="shared" si="44"/>
        <v>8</v>
      </c>
      <c r="BW101" s="497">
        <f t="shared" si="45"/>
        <v>8</v>
      </c>
      <c r="BX101" s="497">
        <f t="shared" si="46"/>
        <v>7</v>
      </c>
      <c r="BY101" s="497">
        <f t="shared" si="47"/>
        <v>6</v>
      </c>
      <c r="BZ101" s="497">
        <f t="shared" si="48"/>
        <v>8</v>
      </c>
      <c r="CA101" s="511">
        <f t="shared" si="49"/>
        <v>80</v>
      </c>
      <c r="CB101" s="511">
        <f>IF(CA101=0,35,_xlfn.RANK.EQ(CA101,CA98:CA132))</f>
        <v>4</v>
      </c>
      <c r="CC101" s="512">
        <f>IF(CB101=35,35,CB101+COUNTIF(CB$98:CB100,CB101)/COUNTIF(CB$98:CB$132,CB101))</f>
        <v>4</v>
      </c>
      <c r="CD101" s="511">
        <f t="shared" si="50"/>
        <v>4</v>
      </c>
      <c r="CE101" s="511" t="s">
        <v>379</v>
      </c>
      <c r="CF101" s="511">
        <f t="shared" si="51"/>
        <v>4</v>
      </c>
      <c r="CG101" s="511">
        <f t="shared" si="52"/>
        <v>4</v>
      </c>
      <c r="CH101" s="511">
        <f t="shared" si="53"/>
        <v>9</v>
      </c>
      <c r="CI101" s="511">
        <f t="shared" si="54"/>
        <v>0</v>
      </c>
      <c r="CJ101" s="511">
        <f t="shared" si="55"/>
        <v>9</v>
      </c>
      <c r="CK101" s="511">
        <f t="shared" si="56"/>
        <v>9</v>
      </c>
      <c r="CL101" s="511">
        <f t="shared" si="57"/>
        <v>9</v>
      </c>
      <c r="CM101" s="511">
        <f t="shared" si="58"/>
        <v>7</v>
      </c>
      <c r="CN101" s="511">
        <f t="shared" si="59"/>
        <v>8</v>
      </c>
      <c r="CO101" s="511">
        <f t="shared" si="60"/>
        <v>6</v>
      </c>
      <c r="CP101" s="511">
        <f t="shared" si="61"/>
        <v>4</v>
      </c>
      <c r="CQ101" s="511">
        <f t="shared" si="62"/>
        <v>4</v>
      </c>
      <c r="CR101" s="511">
        <f t="shared" si="63"/>
        <v>4</v>
      </c>
      <c r="CS101" s="511">
        <f t="shared" si="64"/>
        <v>73</v>
      </c>
      <c r="CT101" s="511">
        <f>IF(CS101=0,35,_xlfn.RANK.EQ(CS101,CS98:CS132))</f>
        <v>1</v>
      </c>
      <c r="CU101" s="512">
        <f>IF(CT101=35,35,CT101+COUNTIF(CT$98:CT100,CT101)/COUNTIF(CT$98:CT$132,CT101))</f>
        <v>1</v>
      </c>
      <c r="CV101" s="511">
        <f t="shared" si="65"/>
        <v>1</v>
      </c>
      <c r="CW101" s="511" t="s">
        <v>379</v>
      </c>
      <c r="CX101" s="511">
        <f t="shared" si="66"/>
        <v>4</v>
      </c>
      <c r="CY101" s="511">
        <f t="shared" si="67"/>
        <v>2</v>
      </c>
      <c r="CZ101" s="511">
        <f t="shared" si="68"/>
        <v>2</v>
      </c>
      <c r="DA101" s="511">
        <f t="shared" si="69"/>
        <v>2</v>
      </c>
      <c r="DB101" s="511">
        <f t="shared" si="70"/>
        <v>2</v>
      </c>
      <c r="DC101" s="511">
        <f t="shared" si="71"/>
        <v>2</v>
      </c>
      <c r="DD101" s="511">
        <f t="shared" si="72"/>
        <v>2</v>
      </c>
      <c r="DE101" s="511">
        <f t="shared" si="73"/>
        <v>2</v>
      </c>
      <c r="DF101" s="511">
        <f t="shared" si="74"/>
        <v>2</v>
      </c>
      <c r="DG101" s="511">
        <f t="shared" si="75"/>
        <v>2</v>
      </c>
      <c r="DH101" s="511">
        <f t="shared" si="76"/>
        <v>2</v>
      </c>
      <c r="DI101" s="511">
        <f t="shared" si="77"/>
        <v>2</v>
      </c>
      <c r="DJ101" s="511">
        <f t="shared" si="78"/>
        <v>2</v>
      </c>
      <c r="DK101" s="524">
        <f t="shared" si="79"/>
        <v>26</v>
      </c>
      <c r="DL101" s="524">
        <f>IF(DK101=0,35,_xlfn.RANK.EQ(DK101,DK98:DK132))</f>
        <v>10</v>
      </c>
      <c r="DM101" s="772">
        <f>IF(DL101=35,35,DL101+COUNTIF(DL$98:DL100,DL101)/COUNTIF(DL$98:DL$132,DL101))</f>
        <v>10</v>
      </c>
      <c r="DN101" s="524">
        <f t="shared" si="80"/>
        <v>10</v>
      </c>
      <c r="DO101" s="524" t="s">
        <v>379</v>
      </c>
      <c r="DP101" s="474"/>
      <c r="DQ101" s="474"/>
      <c r="DR101" s="527"/>
      <c r="DS101" s="474"/>
      <c r="DT101" s="474"/>
      <c r="DU101" s="474"/>
      <c r="DV101" s="474"/>
      <c r="DW101" s="474"/>
      <c r="DX101" s="474"/>
      <c r="DY101" s="474"/>
      <c r="DZ101" s="474"/>
      <c r="EA101" s="474"/>
      <c r="EB101" s="474"/>
      <c r="EC101" s="474"/>
    </row>
    <row r="102" spans="1:133" s="473" customFormat="1">
      <c r="AC102" s="761">
        <f t="shared" si="7"/>
        <v>5</v>
      </c>
      <c r="AD102" s="497" t="s">
        <v>397</v>
      </c>
      <c r="AE102" s="497">
        <f t="shared" si="8"/>
        <v>0</v>
      </c>
      <c r="AF102" s="497">
        <f t="shared" si="9"/>
        <v>0</v>
      </c>
      <c r="AG102" s="497">
        <f t="shared" si="10"/>
        <v>0</v>
      </c>
      <c r="AH102" s="497">
        <f t="shared" si="11"/>
        <v>0</v>
      </c>
      <c r="AI102" s="497">
        <f t="shared" si="12"/>
        <v>0</v>
      </c>
      <c r="AJ102" s="497">
        <f t="shared" si="13"/>
        <v>0</v>
      </c>
      <c r="AK102" s="497">
        <f t="shared" si="14"/>
        <v>0</v>
      </c>
      <c r="AL102" s="497">
        <f t="shared" si="15"/>
        <v>0</v>
      </c>
      <c r="AM102" s="497">
        <f t="shared" si="16"/>
        <v>0</v>
      </c>
      <c r="AN102" s="497">
        <f t="shared" si="17"/>
        <v>0</v>
      </c>
      <c r="AO102" s="497">
        <f t="shared" si="18"/>
        <v>0</v>
      </c>
      <c r="AP102" s="497">
        <f t="shared" si="19"/>
        <v>0</v>
      </c>
      <c r="AQ102" s="497">
        <f t="shared" si="20"/>
        <v>0</v>
      </c>
      <c r="AR102" s="497">
        <f t="shared" si="21"/>
        <v>0</v>
      </c>
      <c r="AS102" s="497">
        <f>IF(AR102=0,35,_xlfn.RANK.EQ(AR102,AR98:AR132))</f>
        <v>35</v>
      </c>
      <c r="AT102" s="1348">
        <f>IF(AS102=35,35,AS102+COUNTIF(AS$98:AS101,AS102)/COUNTIF(AS$98:AS$132,AS102))</f>
        <v>35</v>
      </c>
      <c r="AU102" s="497">
        <f t="shared" si="22"/>
        <v>12</v>
      </c>
      <c r="AV102" s="497" t="s">
        <v>397</v>
      </c>
      <c r="AW102" s="497">
        <f t="shared" si="23"/>
        <v>0</v>
      </c>
      <c r="AX102" s="497">
        <f t="shared" si="24"/>
        <v>0</v>
      </c>
      <c r="AY102" s="497">
        <f t="shared" si="25"/>
        <v>0</v>
      </c>
      <c r="AZ102" s="497">
        <f t="shared" si="26"/>
        <v>0</v>
      </c>
      <c r="BA102" s="497">
        <f t="shared" si="27"/>
        <v>0</v>
      </c>
      <c r="BB102" s="497">
        <f t="shared" si="28"/>
        <v>0</v>
      </c>
      <c r="BC102" s="497">
        <f t="shared" si="29"/>
        <v>0</v>
      </c>
      <c r="BD102" s="497">
        <f>IF(1*ISERROR(VLOOKUP(AV102,$Q$56:$AC$65,13,FALSE)-10)=1,0,VLOOKUP(AV102,$Q$56:$AC$65,13,FALSE)-10)</f>
        <v>0</v>
      </c>
      <c r="BE102" s="497">
        <f t="shared" si="31"/>
        <v>0</v>
      </c>
      <c r="BF102" s="497">
        <f t="shared" si="32"/>
        <v>0</v>
      </c>
      <c r="BG102" s="497">
        <f t="shared" si="33"/>
        <v>0</v>
      </c>
      <c r="BH102" s="497">
        <f t="shared" si="34"/>
        <v>0</v>
      </c>
      <c r="BI102" s="497">
        <f t="shared" si="35"/>
        <v>0</v>
      </c>
      <c r="BJ102" s="497">
        <f>IF(BI102=0,35,_xlfn.RANK.EQ(BI102,BI98:BI132))</f>
        <v>35</v>
      </c>
      <c r="BK102" s="1348">
        <f>IF(BJ102=35,35,BJ102+COUNTIF(BJ$98:BJ101,BJ102)/COUNTIF(BJ$98:BJ$132,BJ102))</f>
        <v>35</v>
      </c>
      <c r="BL102" s="497">
        <f t="shared" si="6"/>
        <v>13</v>
      </c>
      <c r="BM102" s="497" t="s">
        <v>397</v>
      </c>
      <c r="BN102" s="497">
        <f t="shared" si="36"/>
        <v>0</v>
      </c>
      <c r="BO102" s="497">
        <f t="shared" si="37"/>
        <v>0</v>
      </c>
      <c r="BP102" s="497">
        <f t="shared" si="38"/>
        <v>0</v>
      </c>
      <c r="BQ102" s="497">
        <f t="shared" si="39"/>
        <v>0</v>
      </c>
      <c r="BR102" s="497">
        <f t="shared" si="40"/>
        <v>0</v>
      </c>
      <c r="BS102" s="497">
        <f t="shared" si="41"/>
        <v>0</v>
      </c>
      <c r="BT102" s="497">
        <f t="shared" si="42"/>
        <v>0</v>
      </c>
      <c r="BU102" s="497">
        <f t="shared" si="43"/>
        <v>0</v>
      </c>
      <c r="BV102" s="497">
        <f t="shared" si="44"/>
        <v>0</v>
      </c>
      <c r="BW102" s="497">
        <f t="shared" si="45"/>
        <v>0</v>
      </c>
      <c r="BX102" s="497">
        <f t="shared" si="46"/>
        <v>0</v>
      </c>
      <c r="BY102" s="497">
        <f t="shared" si="47"/>
        <v>0</v>
      </c>
      <c r="BZ102" s="497">
        <f t="shared" si="48"/>
        <v>0</v>
      </c>
      <c r="CA102" s="511">
        <f t="shared" si="49"/>
        <v>0</v>
      </c>
      <c r="CB102" s="511">
        <f>IF(CA102=0,35,_xlfn.RANK.EQ(CA102,CA98:CA132))</f>
        <v>35</v>
      </c>
      <c r="CC102" s="512">
        <f>IF(CB102=35,35,CB102+COUNTIF(CB$98:CB101,CB102)/COUNTIF(CB$98:CB$132,CB102))</f>
        <v>35</v>
      </c>
      <c r="CD102" s="511">
        <f t="shared" si="50"/>
        <v>13</v>
      </c>
      <c r="CE102" s="511" t="s">
        <v>397</v>
      </c>
      <c r="CF102" s="511">
        <f t="shared" si="51"/>
        <v>0</v>
      </c>
      <c r="CG102" s="511">
        <f t="shared" si="52"/>
        <v>0</v>
      </c>
      <c r="CH102" s="511">
        <f t="shared" si="53"/>
        <v>0</v>
      </c>
      <c r="CI102" s="511">
        <f t="shared" si="54"/>
        <v>0</v>
      </c>
      <c r="CJ102" s="511">
        <f t="shared" si="55"/>
        <v>0</v>
      </c>
      <c r="CK102" s="511">
        <f t="shared" si="56"/>
        <v>0</v>
      </c>
      <c r="CL102" s="511">
        <f t="shared" si="57"/>
        <v>0</v>
      </c>
      <c r="CM102" s="511">
        <f t="shared" si="58"/>
        <v>0</v>
      </c>
      <c r="CN102" s="511">
        <f t="shared" si="59"/>
        <v>0</v>
      </c>
      <c r="CO102" s="511">
        <f t="shared" si="60"/>
        <v>1</v>
      </c>
      <c r="CP102" s="511">
        <f t="shared" si="61"/>
        <v>0</v>
      </c>
      <c r="CQ102" s="511">
        <f t="shared" si="62"/>
        <v>0</v>
      </c>
      <c r="CR102" s="511">
        <f t="shared" si="63"/>
        <v>0</v>
      </c>
      <c r="CS102" s="511">
        <f t="shared" si="64"/>
        <v>1</v>
      </c>
      <c r="CT102" s="511">
        <f>IF(CS102=0,35,_xlfn.RANK.EQ(CS102,CS98:CS132))</f>
        <v>20</v>
      </c>
      <c r="CU102" s="512">
        <f>IF(CT102=35,35,CT102+COUNTIF(CT$98:CT101,CT102)/COUNTIF(CT$98:CT$132,CT102))</f>
        <v>20</v>
      </c>
      <c r="CV102" s="511">
        <f t="shared" si="65"/>
        <v>20</v>
      </c>
      <c r="CW102" s="511" t="s">
        <v>397</v>
      </c>
      <c r="CX102" s="511">
        <f t="shared" si="66"/>
        <v>0</v>
      </c>
      <c r="CY102" s="511">
        <f t="shared" si="67"/>
        <v>0</v>
      </c>
      <c r="CZ102" s="511">
        <f t="shared" si="68"/>
        <v>0</v>
      </c>
      <c r="DA102" s="511">
        <f t="shared" si="69"/>
        <v>0</v>
      </c>
      <c r="DB102" s="511">
        <f t="shared" si="70"/>
        <v>0</v>
      </c>
      <c r="DC102" s="511">
        <f t="shared" si="71"/>
        <v>0</v>
      </c>
      <c r="DD102" s="511">
        <f t="shared" si="72"/>
        <v>0</v>
      </c>
      <c r="DE102" s="511">
        <f t="shared" si="73"/>
        <v>0</v>
      </c>
      <c r="DF102" s="511">
        <f t="shared" si="74"/>
        <v>0</v>
      </c>
      <c r="DG102" s="511">
        <f t="shared" si="75"/>
        <v>0</v>
      </c>
      <c r="DH102" s="511">
        <f t="shared" si="76"/>
        <v>0</v>
      </c>
      <c r="DI102" s="511">
        <f t="shared" si="77"/>
        <v>0</v>
      </c>
      <c r="DJ102" s="511">
        <f t="shared" si="78"/>
        <v>0</v>
      </c>
      <c r="DK102" s="524">
        <f t="shared" si="79"/>
        <v>0</v>
      </c>
      <c r="DL102" s="524">
        <f>IF(DK102=0,35,_xlfn.RANK.EQ(DK102,DK98:DK132))</f>
        <v>35</v>
      </c>
      <c r="DM102" s="772">
        <f>IF(DL102=35,35,DL102+COUNTIF(DL$98:DL101,DL102)/COUNTIF(DL$98:DL$132,DL102))</f>
        <v>35</v>
      </c>
      <c r="DN102" s="524">
        <f t="shared" si="80"/>
        <v>13</v>
      </c>
      <c r="DO102" s="524" t="s">
        <v>397</v>
      </c>
      <c r="DP102" s="474"/>
      <c r="DQ102" s="474"/>
      <c r="DR102" s="527"/>
      <c r="DS102" s="474"/>
      <c r="DT102" s="474"/>
      <c r="DU102" s="474"/>
      <c r="DV102" s="474"/>
      <c r="DW102" s="474"/>
      <c r="DX102" s="474"/>
      <c r="DY102" s="474"/>
      <c r="DZ102" s="474"/>
      <c r="EA102" s="474"/>
      <c r="EB102" s="474"/>
      <c r="EC102" s="474"/>
    </row>
    <row r="103" spans="1:133" s="473" customFormat="1">
      <c r="AC103" s="761">
        <f t="shared" si="7"/>
        <v>6</v>
      </c>
      <c r="AD103" s="497" t="s">
        <v>380</v>
      </c>
      <c r="AE103" s="497">
        <f t="shared" si="8"/>
        <v>4</v>
      </c>
      <c r="AF103" s="497">
        <f t="shared" si="9"/>
        <v>4</v>
      </c>
      <c r="AG103" s="497">
        <f t="shared" si="10"/>
        <v>4</v>
      </c>
      <c r="AH103" s="497">
        <f t="shared" si="11"/>
        <v>3</v>
      </c>
      <c r="AI103" s="497">
        <f t="shared" si="12"/>
        <v>3</v>
      </c>
      <c r="AJ103" s="497">
        <f t="shared" si="13"/>
        <v>3</v>
      </c>
      <c r="AK103" s="497">
        <f t="shared" si="14"/>
        <v>3</v>
      </c>
      <c r="AL103" s="497">
        <f t="shared" si="15"/>
        <v>3</v>
      </c>
      <c r="AM103" s="497">
        <f t="shared" si="16"/>
        <v>3</v>
      </c>
      <c r="AN103" s="497">
        <f t="shared" si="17"/>
        <v>3</v>
      </c>
      <c r="AO103" s="497">
        <f t="shared" si="18"/>
        <v>3</v>
      </c>
      <c r="AP103" s="497">
        <f t="shared" si="19"/>
        <v>3</v>
      </c>
      <c r="AQ103" s="497">
        <f t="shared" si="20"/>
        <v>1</v>
      </c>
      <c r="AR103" s="497">
        <f t="shared" si="21"/>
        <v>40</v>
      </c>
      <c r="AS103" s="497">
        <f>IF(AR103=0,35,_xlfn.RANK.EQ(AR103,AR98:AR132))</f>
        <v>9</v>
      </c>
      <c r="AT103" s="1348">
        <f>IF(AS103=35,35,AS103+COUNTIF(AS$98:AS102,AS103)/COUNTIF(AS$98:AS$132,AS103))</f>
        <v>9</v>
      </c>
      <c r="AU103" s="497">
        <f t="shared" si="22"/>
        <v>9</v>
      </c>
      <c r="AV103" s="497" t="s">
        <v>380</v>
      </c>
      <c r="AW103" s="497">
        <f t="shared" si="23"/>
        <v>3</v>
      </c>
      <c r="AX103" s="497">
        <f t="shared" si="24"/>
        <v>2</v>
      </c>
      <c r="AY103" s="497">
        <f t="shared" si="25"/>
        <v>2</v>
      </c>
      <c r="AZ103" s="497">
        <f t="shared" si="26"/>
        <v>2</v>
      </c>
      <c r="BA103" s="497">
        <f t="shared" si="27"/>
        <v>3</v>
      </c>
      <c r="BB103" s="497">
        <f t="shared" si="28"/>
        <v>3</v>
      </c>
      <c r="BC103" s="497">
        <f t="shared" si="29"/>
        <v>3</v>
      </c>
      <c r="BD103" s="497">
        <f t="shared" si="30"/>
        <v>3</v>
      </c>
      <c r="BE103" s="497">
        <f t="shared" si="31"/>
        <v>3</v>
      </c>
      <c r="BF103" s="497">
        <f t="shared" si="32"/>
        <v>2</v>
      </c>
      <c r="BG103" s="497">
        <f t="shared" si="33"/>
        <v>2</v>
      </c>
      <c r="BH103" s="497">
        <f t="shared" si="34"/>
        <v>4</v>
      </c>
      <c r="BI103" s="497">
        <f t="shared" si="35"/>
        <v>28</v>
      </c>
      <c r="BJ103" s="497">
        <f>IF(BI103=0,35,_xlfn.RANK.EQ(BI103,BI98:BI132))</f>
        <v>10</v>
      </c>
      <c r="BK103" s="1348">
        <f>IF(BJ103=35,35,BJ103+COUNTIF(BJ$98:BJ102,BJ103)/COUNTIF(BJ$98:BJ$132,BJ103))</f>
        <v>10</v>
      </c>
      <c r="BL103" s="497">
        <f t="shared" si="6"/>
        <v>10</v>
      </c>
      <c r="BM103" s="497" t="s">
        <v>380</v>
      </c>
      <c r="BN103" s="497">
        <f t="shared" si="36"/>
        <v>3</v>
      </c>
      <c r="BO103" s="497">
        <f t="shared" si="37"/>
        <v>2</v>
      </c>
      <c r="BP103" s="497">
        <f t="shared" si="38"/>
        <v>2</v>
      </c>
      <c r="BQ103" s="497">
        <f t="shared" si="39"/>
        <v>2</v>
      </c>
      <c r="BR103" s="497">
        <f t="shared" si="40"/>
        <v>2</v>
      </c>
      <c r="BS103" s="497">
        <f t="shared" si="41"/>
        <v>2</v>
      </c>
      <c r="BT103" s="497">
        <f t="shared" si="42"/>
        <v>2</v>
      </c>
      <c r="BU103" s="497">
        <f t="shared" si="43"/>
        <v>2</v>
      </c>
      <c r="BV103" s="497">
        <f t="shared" si="44"/>
        <v>2</v>
      </c>
      <c r="BW103" s="497">
        <f t="shared" si="45"/>
        <v>2</v>
      </c>
      <c r="BX103" s="497">
        <f t="shared" si="46"/>
        <v>2</v>
      </c>
      <c r="BY103" s="497">
        <f t="shared" si="47"/>
        <v>2</v>
      </c>
      <c r="BZ103" s="497">
        <f t="shared" si="48"/>
        <v>2</v>
      </c>
      <c r="CA103" s="511">
        <f t="shared" si="49"/>
        <v>25</v>
      </c>
      <c r="CB103" s="511">
        <f>IF(CA103=0,35,_xlfn.RANK.EQ(CA103,CA98:CA132))</f>
        <v>10</v>
      </c>
      <c r="CC103" s="512">
        <f>IF(CB103=35,35,CB103+COUNTIF(CB$98:CB102,CB103)/COUNTIF(CB$98:CB$132,CB103))</f>
        <v>10</v>
      </c>
      <c r="CD103" s="511">
        <f t="shared" si="50"/>
        <v>10</v>
      </c>
      <c r="CE103" s="511" t="s">
        <v>380</v>
      </c>
      <c r="CF103" s="511">
        <f t="shared" si="51"/>
        <v>3</v>
      </c>
      <c r="CG103" s="511">
        <f t="shared" si="52"/>
        <v>2</v>
      </c>
      <c r="CH103" s="511">
        <f t="shared" si="53"/>
        <v>2</v>
      </c>
      <c r="CI103" s="511">
        <f t="shared" si="54"/>
        <v>2</v>
      </c>
      <c r="CJ103" s="511">
        <f t="shared" si="55"/>
        <v>2</v>
      </c>
      <c r="CK103" s="511">
        <f t="shared" si="56"/>
        <v>1</v>
      </c>
      <c r="CL103" s="511">
        <f t="shared" si="57"/>
        <v>1</v>
      </c>
      <c r="CM103" s="511">
        <f t="shared" si="58"/>
        <v>1</v>
      </c>
      <c r="CN103" s="511">
        <f t="shared" si="59"/>
        <v>1</v>
      </c>
      <c r="CO103" s="511">
        <f t="shared" si="60"/>
        <v>0</v>
      </c>
      <c r="CP103" s="511">
        <f t="shared" si="61"/>
        <v>1</v>
      </c>
      <c r="CQ103" s="511">
        <f t="shared" si="62"/>
        <v>1</v>
      </c>
      <c r="CR103" s="511">
        <f t="shared" si="63"/>
        <v>1</v>
      </c>
      <c r="CS103" s="511">
        <f t="shared" si="64"/>
        <v>17</v>
      </c>
      <c r="CT103" s="511">
        <f>IF(CS103=0,35,_xlfn.RANK.EQ(CS103,CS98:CS132))</f>
        <v>15</v>
      </c>
      <c r="CU103" s="512">
        <f>IF(CT103=35,35,CT103+COUNTIF(CT$98:CT102,CT103)/COUNTIF(CT$98:CT$132,CT103))</f>
        <v>15</v>
      </c>
      <c r="CV103" s="511">
        <f t="shared" si="65"/>
        <v>15</v>
      </c>
      <c r="CW103" s="511" t="s">
        <v>380</v>
      </c>
      <c r="CX103" s="511">
        <f t="shared" si="66"/>
        <v>1</v>
      </c>
      <c r="CY103" s="511">
        <f t="shared" si="67"/>
        <v>1</v>
      </c>
      <c r="CZ103" s="511">
        <f t="shared" si="68"/>
        <v>1</v>
      </c>
      <c r="DA103" s="511">
        <f t="shared" si="69"/>
        <v>1</v>
      </c>
      <c r="DB103" s="511">
        <f t="shared" si="70"/>
        <v>1</v>
      </c>
      <c r="DC103" s="511">
        <f t="shared" si="71"/>
        <v>1</v>
      </c>
      <c r="DD103" s="511">
        <f t="shared" si="72"/>
        <v>1</v>
      </c>
      <c r="DE103" s="511">
        <f t="shared" si="73"/>
        <v>1</v>
      </c>
      <c r="DF103" s="511">
        <f t="shared" si="74"/>
        <v>1</v>
      </c>
      <c r="DG103" s="511">
        <f t="shared" si="75"/>
        <v>1</v>
      </c>
      <c r="DH103" s="511">
        <f t="shared" si="76"/>
        <v>1</v>
      </c>
      <c r="DI103" s="511">
        <f t="shared" si="77"/>
        <v>1</v>
      </c>
      <c r="DJ103" s="511">
        <f t="shared" si="78"/>
        <v>1</v>
      </c>
      <c r="DK103" s="524">
        <f t="shared" si="79"/>
        <v>12</v>
      </c>
      <c r="DL103" s="524">
        <f>IF(DK103=0,35,_xlfn.RANK.EQ(DK103,DK98:DK132))</f>
        <v>12</v>
      </c>
      <c r="DM103" s="772">
        <f>IF(DL103=35,35,DL103+COUNTIF(DL$98:DL102,DL103)/COUNTIF(DL$98:DL$132,DL103))</f>
        <v>12</v>
      </c>
      <c r="DN103" s="524">
        <f t="shared" si="80"/>
        <v>12</v>
      </c>
      <c r="DO103" s="524" t="s">
        <v>380</v>
      </c>
      <c r="DP103" s="474"/>
      <c r="DQ103" s="474"/>
      <c r="DR103" s="527"/>
      <c r="DS103" s="474"/>
      <c r="DT103" s="474"/>
      <c r="DU103" s="474"/>
      <c r="DV103" s="474"/>
      <c r="DW103" s="474"/>
      <c r="DX103" s="474"/>
      <c r="DY103" s="474"/>
      <c r="DZ103" s="474"/>
      <c r="EA103" s="474"/>
      <c r="EB103" s="474"/>
      <c r="EC103" s="474"/>
    </row>
    <row r="104" spans="1:133" s="473" customFormat="1">
      <c r="AC104" s="761">
        <f t="shared" si="7"/>
        <v>7</v>
      </c>
      <c r="AD104" s="497" t="s">
        <v>377</v>
      </c>
      <c r="AE104" s="497">
        <f t="shared" si="8"/>
        <v>0</v>
      </c>
      <c r="AF104" s="497">
        <f t="shared" si="9"/>
        <v>0</v>
      </c>
      <c r="AG104" s="497">
        <f t="shared" si="10"/>
        <v>0</v>
      </c>
      <c r="AH104" s="497">
        <f t="shared" si="11"/>
        <v>0</v>
      </c>
      <c r="AI104" s="497">
        <f t="shared" si="12"/>
        <v>0</v>
      </c>
      <c r="AJ104" s="497">
        <f t="shared" si="13"/>
        <v>0</v>
      </c>
      <c r="AK104" s="497">
        <f t="shared" si="14"/>
        <v>0</v>
      </c>
      <c r="AL104" s="497">
        <f t="shared" si="15"/>
        <v>0</v>
      </c>
      <c r="AM104" s="497">
        <f t="shared" si="16"/>
        <v>0</v>
      </c>
      <c r="AN104" s="497">
        <f t="shared" si="17"/>
        <v>0</v>
      </c>
      <c r="AO104" s="497">
        <f t="shared" si="18"/>
        <v>0</v>
      </c>
      <c r="AP104" s="497">
        <f t="shared" si="19"/>
        <v>0</v>
      </c>
      <c r="AQ104" s="497">
        <f t="shared" si="20"/>
        <v>0</v>
      </c>
      <c r="AR104" s="497">
        <f t="shared" si="21"/>
        <v>0</v>
      </c>
      <c r="AS104" s="497">
        <f>IF(AR104=0,35,_xlfn.RANK.EQ(AR104,AR98:AR132))</f>
        <v>35</v>
      </c>
      <c r="AT104" s="1348">
        <f>IF(AS104=35,35,AS104+COUNTIF(AS$98:AS103,AS104)/COUNTIF(AS$98:AS$132,AS104))</f>
        <v>35</v>
      </c>
      <c r="AU104" s="497">
        <f t="shared" si="22"/>
        <v>12</v>
      </c>
      <c r="AV104" s="497" t="s">
        <v>377</v>
      </c>
      <c r="AW104" s="497">
        <f t="shared" si="23"/>
        <v>0</v>
      </c>
      <c r="AX104" s="497">
        <f t="shared" si="24"/>
        <v>0</v>
      </c>
      <c r="AY104" s="497">
        <f t="shared" si="25"/>
        <v>0</v>
      </c>
      <c r="AZ104" s="497">
        <f t="shared" si="26"/>
        <v>0</v>
      </c>
      <c r="BA104" s="497">
        <f t="shared" si="27"/>
        <v>0</v>
      </c>
      <c r="BB104" s="497">
        <f t="shared" si="28"/>
        <v>0</v>
      </c>
      <c r="BC104" s="497">
        <f t="shared" si="29"/>
        <v>0</v>
      </c>
      <c r="BD104" s="497">
        <f t="shared" si="30"/>
        <v>0</v>
      </c>
      <c r="BE104" s="497">
        <f t="shared" si="31"/>
        <v>0</v>
      </c>
      <c r="BF104" s="497">
        <f t="shared" si="32"/>
        <v>10</v>
      </c>
      <c r="BG104" s="497">
        <f t="shared" si="33"/>
        <v>9</v>
      </c>
      <c r="BH104" s="497">
        <f t="shared" si="34"/>
        <v>2</v>
      </c>
      <c r="BI104" s="497">
        <f t="shared" si="35"/>
        <v>19</v>
      </c>
      <c r="BJ104" s="497">
        <f>IF(BI104=0,35,_xlfn.RANK.EQ(BI104,BI98:BI132))</f>
        <v>11</v>
      </c>
      <c r="BK104" s="1348">
        <f>IF(BJ104=35,35,BJ104+COUNTIF(BJ$98:BJ103,BJ104)/COUNTIF(BJ$98:BJ$132,BJ104))</f>
        <v>11</v>
      </c>
      <c r="BL104" s="497">
        <f t="shared" si="6"/>
        <v>11</v>
      </c>
      <c r="BM104" s="497" t="s">
        <v>377</v>
      </c>
      <c r="BN104" s="497">
        <f t="shared" si="36"/>
        <v>7</v>
      </c>
      <c r="BO104" s="497">
        <f t="shared" si="37"/>
        <v>9</v>
      </c>
      <c r="BP104" s="497">
        <f t="shared" si="38"/>
        <v>8</v>
      </c>
      <c r="BQ104" s="497">
        <f t="shared" si="39"/>
        <v>6</v>
      </c>
      <c r="BR104" s="497">
        <f t="shared" si="40"/>
        <v>5</v>
      </c>
      <c r="BS104" s="497">
        <f t="shared" si="41"/>
        <v>5</v>
      </c>
      <c r="BT104" s="497">
        <f t="shared" si="42"/>
        <v>4</v>
      </c>
      <c r="BU104" s="497">
        <f t="shared" si="43"/>
        <v>4</v>
      </c>
      <c r="BV104" s="497">
        <f t="shared" si="44"/>
        <v>3</v>
      </c>
      <c r="BW104" s="497">
        <f t="shared" si="45"/>
        <v>3</v>
      </c>
      <c r="BX104" s="497">
        <f t="shared" si="46"/>
        <v>3</v>
      </c>
      <c r="BY104" s="497">
        <f t="shared" si="47"/>
        <v>3</v>
      </c>
      <c r="BZ104" s="497">
        <f t="shared" si="48"/>
        <v>4</v>
      </c>
      <c r="CA104" s="511">
        <f t="shared" si="49"/>
        <v>60</v>
      </c>
      <c r="CB104" s="511">
        <f>IF(CA104=0,35,_xlfn.RANK.EQ(CA104,CA98:CA132))</f>
        <v>6</v>
      </c>
      <c r="CC104" s="512">
        <f>IF(CB104=35,35,CB104+COUNTIF(CB$98:CB103,CB104)/COUNTIF(CB$98:CB$132,CB104))</f>
        <v>6</v>
      </c>
      <c r="CD104" s="511">
        <f t="shared" si="50"/>
        <v>6</v>
      </c>
      <c r="CE104" s="511" t="s">
        <v>377</v>
      </c>
      <c r="CF104" s="511">
        <f t="shared" si="51"/>
        <v>0</v>
      </c>
      <c r="CG104" s="511">
        <f t="shared" si="52"/>
        <v>0</v>
      </c>
      <c r="CH104" s="511">
        <f t="shared" si="53"/>
        <v>0</v>
      </c>
      <c r="CI104" s="511">
        <f t="shared" si="54"/>
        <v>0</v>
      </c>
      <c r="CJ104" s="511">
        <f t="shared" si="55"/>
        <v>0</v>
      </c>
      <c r="CK104" s="511">
        <f t="shared" si="56"/>
        <v>0</v>
      </c>
      <c r="CL104" s="511">
        <f t="shared" si="57"/>
        <v>0</v>
      </c>
      <c r="CM104" s="511">
        <f t="shared" si="58"/>
        <v>0</v>
      </c>
      <c r="CN104" s="511">
        <f t="shared" si="59"/>
        <v>0</v>
      </c>
      <c r="CO104" s="511">
        <f t="shared" si="60"/>
        <v>0</v>
      </c>
      <c r="CP104" s="511">
        <f t="shared" si="61"/>
        <v>10</v>
      </c>
      <c r="CQ104" s="511">
        <f t="shared" si="62"/>
        <v>9</v>
      </c>
      <c r="CR104" s="511">
        <f t="shared" si="63"/>
        <v>8</v>
      </c>
      <c r="CS104" s="511">
        <f t="shared" si="64"/>
        <v>19</v>
      </c>
      <c r="CT104" s="511">
        <f>IF(CS104=0,35,_xlfn.RANK.EQ(CS104,CS98:CS132))</f>
        <v>13</v>
      </c>
      <c r="CU104" s="512">
        <f>IF(CT104=35,35,CT104+COUNTIF(CT$98:CT103,CT104)/COUNTIF(CT$98:CT$132,CT104))</f>
        <v>13</v>
      </c>
      <c r="CV104" s="511">
        <f t="shared" si="65"/>
        <v>13</v>
      </c>
      <c r="CW104" s="511" t="s">
        <v>377</v>
      </c>
      <c r="CX104" s="511">
        <f t="shared" si="66"/>
        <v>8</v>
      </c>
      <c r="CY104" s="511">
        <f t="shared" si="67"/>
        <v>7</v>
      </c>
      <c r="CZ104" s="511">
        <f t="shared" si="68"/>
        <v>8</v>
      </c>
      <c r="DA104" s="511">
        <f t="shared" si="69"/>
        <v>7</v>
      </c>
      <c r="DB104" s="511">
        <f t="shared" si="70"/>
        <v>9</v>
      </c>
      <c r="DC104" s="511">
        <f t="shared" si="71"/>
        <v>9</v>
      </c>
      <c r="DD104" s="511">
        <f t="shared" si="72"/>
        <v>9</v>
      </c>
      <c r="DE104" s="511">
        <f t="shared" si="73"/>
        <v>9</v>
      </c>
      <c r="DF104" s="511">
        <f t="shared" si="74"/>
        <v>8</v>
      </c>
      <c r="DG104" s="511">
        <f t="shared" si="75"/>
        <v>8</v>
      </c>
      <c r="DH104" s="511">
        <f t="shared" si="76"/>
        <v>9</v>
      </c>
      <c r="DI104" s="511">
        <f t="shared" si="77"/>
        <v>9</v>
      </c>
      <c r="DJ104" s="511">
        <f t="shared" si="78"/>
        <v>9</v>
      </c>
      <c r="DK104" s="524">
        <f t="shared" si="79"/>
        <v>100</v>
      </c>
      <c r="DL104" s="524">
        <f>IF(DK104=0,35,_xlfn.RANK.EQ(DK104,DK98:DK132))</f>
        <v>1</v>
      </c>
      <c r="DM104" s="772">
        <f>IF(DL104=35,35,DL104+COUNTIF(DL$98:DL103,DL104)/COUNTIF(DL$98:DL$132,DL104))</f>
        <v>1</v>
      </c>
      <c r="DN104" s="524">
        <f t="shared" si="80"/>
        <v>1</v>
      </c>
      <c r="DO104" s="524" t="s">
        <v>377</v>
      </c>
      <c r="DP104" s="474"/>
      <c r="DQ104" s="474"/>
      <c r="DR104" s="527"/>
      <c r="DS104" s="474"/>
      <c r="DT104" s="474"/>
      <c r="DU104" s="474"/>
      <c r="DV104" s="474"/>
      <c r="DW104" s="474"/>
      <c r="DX104" s="474"/>
      <c r="DY104" s="474"/>
      <c r="DZ104" s="474"/>
      <c r="EA104" s="474"/>
      <c r="EB104" s="474"/>
      <c r="EC104" s="474"/>
    </row>
    <row r="105" spans="1:133" s="473" customFormat="1">
      <c r="AC105" s="761">
        <f t="shared" si="7"/>
        <v>8</v>
      </c>
      <c r="AD105" s="497" t="s">
        <v>392</v>
      </c>
      <c r="AE105" s="497">
        <f t="shared" si="8"/>
        <v>0</v>
      </c>
      <c r="AF105" s="497">
        <f t="shared" si="9"/>
        <v>0</v>
      </c>
      <c r="AG105" s="497">
        <f t="shared" si="10"/>
        <v>0</v>
      </c>
      <c r="AH105" s="497">
        <f t="shared" si="11"/>
        <v>0</v>
      </c>
      <c r="AI105" s="497">
        <f t="shared" si="12"/>
        <v>0</v>
      </c>
      <c r="AJ105" s="497">
        <f t="shared" si="13"/>
        <v>0</v>
      </c>
      <c r="AK105" s="497">
        <f t="shared" si="14"/>
        <v>0</v>
      </c>
      <c r="AL105" s="497">
        <f t="shared" si="15"/>
        <v>0</v>
      </c>
      <c r="AM105" s="497">
        <f t="shared" si="16"/>
        <v>0</v>
      </c>
      <c r="AN105" s="497">
        <f t="shared" si="17"/>
        <v>0</v>
      </c>
      <c r="AO105" s="497">
        <f t="shared" si="18"/>
        <v>0</v>
      </c>
      <c r="AP105" s="497">
        <f t="shared" si="19"/>
        <v>0</v>
      </c>
      <c r="AQ105" s="497">
        <f t="shared" si="20"/>
        <v>0</v>
      </c>
      <c r="AR105" s="497">
        <f t="shared" si="21"/>
        <v>0</v>
      </c>
      <c r="AS105" s="497">
        <f>IF(AR105=0,35,_xlfn.RANK.EQ(AR105,AR98:AR132))</f>
        <v>35</v>
      </c>
      <c r="AT105" s="1348">
        <f>IF(AS105=35,35,AS105+COUNTIF(AS$98:AS104,AS105)/COUNTIF(AS$98:AS$132,AS105))</f>
        <v>35</v>
      </c>
      <c r="AU105" s="497">
        <f t="shared" si="22"/>
        <v>12</v>
      </c>
      <c r="AV105" s="497" t="s">
        <v>392</v>
      </c>
      <c r="AW105" s="497">
        <f t="shared" si="23"/>
        <v>4</v>
      </c>
      <c r="AX105" s="497">
        <f t="shared" si="24"/>
        <v>4</v>
      </c>
      <c r="AY105" s="497">
        <f t="shared" si="25"/>
        <v>5</v>
      </c>
      <c r="AZ105" s="497">
        <f t="shared" si="26"/>
        <v>8</v>
      </c>
      <c r="BA105" s="497">
        <f t="shared" si="27"/>
        <v>9</v>
      </c>
      <c r="BB105" s="497">
        <f t="shared" si="28"/>
        <v>8</v>
      </c>
      <c r="BC105" s="497">
        <f t="shared" si="29"/>
        <v>8</v>
      </c>
      <c r="BD105" s="497">
        <f t="shared" si="30"/>
        <v>8</v>
      </c>
      <c r="BE105" s="497">
        <f t="shared" si="31"/>
        <v>8</v>
      </c>
      <c r="BF105" s="497">
        <f t="shared" si="32"/>
        <v>8</v>
      </c>
      <c r="BG105" s="497">
        <f t="shared" si="33"/>
        <v>6</v>
      </c>
      <c r="BH105" s="497">
        <f t="shared" si="34"/>
        <v>7</v>
      </c>
      <c r="BI105" s="497">
        <f t="shared" si="35"/>
        <v>76</v>
      </c>
      <c r="BJ105" s="497">
        <f>IF(BI105=0,35,_xlfn.RANK.EQ(BI105,BI98:BI132))</f>
        <v>3</v>
      </c>
      <c r="BK105" s="1348">
        <f>IF(BJ105=35,35,BJ105+COUNTIF(BJ$98:BJ104,BJ105)/COUNTIF(BJ$98:BJ$132,BJ105))</f>
        <v>3</v>
      </c>
      <c r="BL105" s="497">
        <f t="shared" si="6"/>
        <v>3</v>
      </c>
      <c r="BM105" s="497" t="s">
        <v>392</v>
      </c>
      <c r="BN105" s="497">
        <f t="shared" si="36"/>
        <v>2</v>
      </c>
      <c r="BO105" s="497">
        <f t="shared" si="37"/>
        <v>3</v>
      </c>
      <c r="BP105" s="497">
        <f t="shared" si="38"/>
        <v>4</v>
      </c>
      <c r="BQ105" s="497">
        <f t="shared" si="39"/>
        <v>4</v>
      </c>
      <c r="BR105" s="497">
        <f t="shared" si="40"/>
        <v>4</v>
      </c>
      <c r="BS105" s="497">
        <f t="shared" si="41"/>
        <v>4</v>
      </c>
      <c r="BT105" s="497">
        <f t="shared" si="42"/>
        <v>3</v>
      </c>
      <c r="BU105" s="497">
        <f t="shared" si="43"/>
        <v>3</v>
      </c>
      <c r="BV105" s="497">
        <f t="shared" si="44"/>
        <v>5</v>
      </c>
      <c r="BW105" s="497">
        <f t="shared" si="45"/>
        <v>5</v>
      </c>
      <c r="BX105" s="497">
        <f t="shared" si="46"/>
        <v>4</v>
      </c>
      <c r="BY105" s="497">
        <f t="shared" si="47"/>
        <v>4</v>
      </c>
      <c r="BZ105" s="497">
        <f t="shared" si="48"/>
        <v>3</v>
      </c>
      <c r="CA105" s="511">
        <f t="shared" si="49"/>
        <v>45</v>
      </c>
      <c r="CB105" s="511">
        <f>IF(CA105=0,35,_xlfn.RANK.EQ(CA105,CA98:CA132))</f>
        <v>8</v>
      </c>
      <c r="CC105" s="512">
        <f>IF(CB105=35,35,CB105+COUNTIF(CB$98:CB104,CB105)/COUNTIF(CB$98:CB$132,CB105))</f>
        <v>8</v>
      </c>
      <c r="CD105" s="511">
        <f t="shared" si="50"/>
        <v>8</v>
      </c>
      <c r="CE105" s="511" t="s">
        <v>392</v>
      </c>
      <c r="CF105" s="511">
        <f t="shared" si="51"/>
        <v>0</v>
      </c>
      <c r="CG105" s="511">
        <f t="shared" si="52"/>
        <v>0</v>
      </c>
      <c r="CH105" s="511">
        <f t="shared" si="53"/>
        <v>0</v>
      </c>
      <c r="CI105" s="511">
        <f t="shared" si="54"/>
        <v>0</v>
      </c>
      <c r="CJ105" s="511">
        <f t="shared" si="55"/>
        <v>0</v>
      </c>
      <c r="CK105" s="511">
        <f t="shared" si="56"/>
        <v>0</v>
      </c>
      <c r="CL105" s="511">
        <f t="shared" si="57"/>
        <v>0</v>
      </c>
      <c r="CM105" s="511">
        <f t="shared" si="58"/>
        <v>0</v>
      </c>
      <c r="CN105" s="511">
        <f t="shared" si="59"/>
        <v>0</v>
      </c>
      <c r="CO105" s="511">
        <f t="shared" si="60"/>
        <v>2</v>
      </c>
      <c r="CP105" s="511">
        <f t="shared" si="61"/>
        <v>0</v>
      </c>
      <c r="CQ105" s="511">
        <f t="shared" si="62"/>
        <v>0</v>
      </c>
      <c r="CR105" s="511">
        <f t="shared" si="63"/>
        <v>0</v>
      </c>
      <c r="CS105" s="511">
        <f t="shared" si="64"/>
        <v>2</v>
      </c>
      <c r="CT105" s="511">
        <f>IF(CS105=0,35,_xlfn.RANK.EQ(CS105,CS98:CS132))</f>
        <v>19</v>
      </c>
      <c r="CU105" s="512">
        <f>IF(CT105=35,35,CT105+COUNTIF(CT$98:CT104,CT105)/COUNTIF(CT$98:CT$132,CT105))</f>
        <v>19</v>
      </c>
      <c r="CV105" s="511">
        <f t="shared" si="65"/>
        <v>19</v>
      </c>
      <c r="CW105" s="511" t="s">
        <v>392</v>
      </c>
      <c r="CX105" s="511">
        <f t="shared" si="66"/>
        <v>6</v>
      </c>
      <c r="CY105" s="511">
        <f t="shared" si="67"/>
        <v>6</v>
      </c>
      <c r="CZ105" s="511">
        <f t="shared" si="68"/>
        <v>5</v>
      </c>
      <c r="DA105" s="511">
        <f t="shared" si="69"/>
        <v>5</v>
      </c>
      <c r="DB105" s="511">
        <f t="shared" si="70"/>
        <v>5</v>
      </c>
      <c r="DC105" s="511">
        <f t="shared" si="71"/>
        <v>5</v>
      </c>
      <c r="DD105" s="511">
        <f t="shared" si="72"/>
        <v>5</v>
      </c>
      <c r="DE105" s="511">
        <f t="shared" si="73"/>
        <v>5</v>
      </c>
      <c r="DF105" s="511">
        <f t="shared" si="74"/>
        <v>5</v>
      </c>
      <c r="DG105" s="511">
        <f t="shared" si="75"/>
        <v>5</v>
      </c>
      <c r="DH105" s="511">
        <f t="shared" si="76"/>
        <v>5</v>
      </c>
      <c r="DI105" s="511">
        <f t="shared" si="77"/>
        <v>6</v>
      </c>
      <c r="DJ105" s="511">
        <f t="shared" si="78"/>
        <v>5</v>
      </c>
      <c r="DK105" s="524">
        <f t="shared" si="79"/>
        <v>63</v>
      </c>
      <c r="DL105" s="524">
        <f>IF(DK105=0,35,_xlfn.RANK.EQ(DK105,DK98:DK132))</f>
        <v>6</v>
      </c>
      <c r="DM105" s="772">
        <f>IF(DL105=35,35,DL105+COUNTIF(DL$98:DL104,DL105)/COUNTIF(DL$98:DL$132,DL105))</f>
        <v>6</v>
      </c>
      <c r="DN105" s="524">
        <f t="shared" si="80"/>
        <v>6</v>
      </c>
      <c r="DO105" s="524" t="s">
        <v>392</v>
      </c>
      <c r="DP105" s="474"/>
      <c r="DQ105" s="474"/>
      <c r="DR105" s="527"/>
      <c r="DS105" s="474"/>
      <c r="DT105" s="474"/>
      <c r="DU105" s="474"/>
      <c r="DV105" s="474"/>
      <c r="DW105" s="474"/>
      <c r="DX105" s="474"/>
      <c r="DY105" s="474"/>
      <c r="DZ105" s="474"/>
      <c r="EA105" s="474"/>
      <c r="EB105" s="474"/>
      <c r="EC105" s="474"/>
    </row>
    <row r="106" spans="1:133" s="473" customFormat="1">
      <c r="AC106" s="761">
        <f t="shared" si="7"/>
        <v>9</v>
      </c>
      <c r="AD106" s="497" t="s">
        <v>389</v>
      </c>
      <c r="AE106" s="497">
        <f t="shared" si="8"/>
        <v>0</v>
      </c>
      <c r="AF106" s="497">
        <f t="shared" si="9"/>
        <v>0</v>
      </c>
      <c r="AG106" s="497">
        <f t="shared" si="10"/>
        <v>0</v>
      </c>
      <c r="AH106" s="497">
        <f t="shared" si="11"/>
        <v>0</v>
      </c>
      <c r="AI106" s="497">
        <f t="shared" si="12"/>
        <v>0</v>
      </c>
      <c r="AJ106" s="497">
        <f t="shared" si="13"/>
        <v>0</v>
      </c>
      <c r="AK106" s="497">
        <f t="shared" si="14"/>
        <v>0</v>
      </c>
      <c r="AL106" s="497">
        <f t="shared" si="15"/>
        <v>0</v>
      </c>
      <c r="AM106" s="497">
        <f t="shared" si="16"/>
        <v>0</v>
      </c>
      <c r="AN106" s="497">
        <f t="shared" si="17"/>
        <v>0</v>
      </c>
      <c r="AO106" s="497">
        <f t="shared" si="18"/>
        <v>0</v>
      </c>
      <c r="AP106" s="497">
        <f t="shared" si="19"/>
        <v>0</v>
      </c>
      <c r="AQ106" s="497">
        <f t="shared" si="20"/>
        <v>0</v>
      </c>
      <c r="AR106" s="497">
        <f t="shared" si="21"/>
        <v>0</v>
      </c>
      <c r="AS106" s="497">
        <f>IF(AR106=0,35,_xlfn.RANK.EQ(AR106,AR98:AR132))</f>
        <v>35</v>
      </c>
      <c r="AT106" s="1348">
        <f>IF(AS106=35,35,AS106+COUNTIF(AS$98:AS105,AS106)/COUNTIF(AS$98:AS$132,AS106))</f>
        <v>35</v>
      </c>
      <c r="AU106" s="497">
        <f t="shared" si="22"/>
        <v>12</v>
      </c>
      <c r="AV106" s="497" t="s">
        <v>389</v>
      </c>
      <c r="AW106" s="497">
        <f t="shared" si="23"/>
        <v>2</v>
      </c>
      <c r="AX106" s="497">
        <f t="shared" si="24"/>
        <v>3</v>
      </c>
      <c r="AY106" s="497">
        <f t="shared" si="25"/>
        <v>3</v>
      </c>
      <c r="AZ106" s="497">
        <f t="shared" si="26"/>
        <v>4</v>
      </c>
      <c r="BA106" s="497">
        <f t="shared" si="27"/>
        <v>4</v>
      </c>
      <c r="BB106" s="497">
        <f t="shared" si="28"/>
        <v>4</v>
      </c>
      <c r="BC106" s="497">
        <f t="shared" si="29"/>
        <v>6</v>
      </c>
      <c r="BD106" s="497">
        <f t="shared" si="30"/>
        <v>6</v>
      </c>
      <c r="BE106" s="497">
        <f t="shared" si="31"/>
        <v>6</v>
      </c>
      <c r="BF106" s="497">
        <f t="shared" si="32"/>
        <v>7</v>
      </c>
      <c r="BG106" s="497">
        <f t="shared" si="33"/>
        <v>7</v>
      </c>
      <c r="BH106" s="497">
        <f t="shared" si="34"/>
        <v>9</v>
      </c>
      <c r="BI106" s="497">
        <f t="shared" si="35"/>
        <v>52</v>
      </c>
      <c r="BJ106" s="497">
        <f>IF(BI106=0,35,_xlfn.RANK.EQ(BI106,BI98:BI132))</f>
        <v>6</v>
      </c>
      <c r="BK106" s="1348">
        <f>IF(BJ106=35,35,BJ106+COUNTIF(BJ$98:BJ105,BJ106)/COUNTIF(BJ$98:BJ$132,BJ106))</f>
        <v>6</v>
      </c>
      <c r="BL106" s="497">
        <f t="shared" si="6"/>
        <v>6</v>
      </c>
      <c r="BM106" s="497" t="s">
        <v>389</v>
      </c>
      <c r="BN106" s="497">
        <f t="shared" si="36"/>
        <v>10</v>
      </c>
      <c r="BO106" s="497">
        <f t="shared" si="37"/>
        <v>0</v>
      </c>
      <c r="BP106" s="497">
        <f t="shared" si="38"/>
        <v>0</v>
      </c>
      <c r="BQ106" s="497">
        <f t="shared" si="39"/>
        <v>0</v>
      </c>
      <c r="BR106" s="497">
        <f t="shared" si="40"/>
        <v>0</v>
      </c>
      <c r="BS106" s="497">
        <f t="shared" si="41"/>
        <v>0</v>
      </c>
      <c r="BT106" s="497">
        <f t="shared" si="42"/>
        <v>0</v>
      </c>
      <c r="BU106" s="497">
        <f t="shared" si="43"/>
        <v>0</v>
      </c>
      <c r="BV106" s="497">
        <f t="shared" si="44"/>
        <v>0</v>
      </c>
      <c r="BW106" s="497">
        <f t="shared" si="45"/>
        <v>0</v>
      </c>
      <c r="BX106" s="497">
        <f t="shared" si="46"/>
        <v>0</v>
      </c>
      <c r="BY106" s="497">
        <f t="shared" si="47"/>
        <v>0</v>
      </c>
      <c r="BZ106" s="497">
        <f t="shared" si="48"/>
        <v>0</v>
      </c>
      <c r="CA106" s="511">
        <f t="shared" si="49"/>
        <v>10</v>
      </c>
      <c r="CB106" s="511">
        <f>IF(CA106=0,35,_xlfn.RANK.EQ(CA106,CA98:CA132))</f>
        <v>12</v>
      </c>
      <c r="CC106" s="512">
        <f>IF(CB106=35,35,CB106+COUNTIF(CB$98:CB105,CB106)/COUNTIF(CB$98:CB$132,CB106))</f>
        <v>12</v>
      </c>
      <c r="CD106" s="511">
        <f t="shared" si="50"/>
        <v>12</v>
      </c>
      <c r="CE106" s="511" t="s">
        <v>389</v>
      </c>
      <c r="CF106" s="511">
        <f t="shared" si="51"/>
        <v>0</v>
      </c>
      <c r="CG106" s="511">
        <f t="shared" si="52"/>
        <v>0</v>
      </c>
      <c r="CH106" s="511">
        <f t="shared" si="53"/>
        <v>0</v>
      </c>
      <c r="CI106" s="511">
        <f t="shared" si="54"/>
        <v>0</v>
      </c>
      <c r="CJ106" s="511">
        <f t="shared" si="55"/>
        <v>0</v>
      </c>
      <c r="CK106" s="511">
        <f t="shared" si="56"/>
        <v>0</v>
      </c>
      <c r="CL106" s="511">
        <f t="shared" si="57"/>
        <v>0</v>
      </c>
      <c r="CM106" s="511">
        <f t="shared" si="58"/>
        <v>0</v>
      </c>
      <c r="CN106" s="511">
        <f t="shared" si="59"/>
        <v>0</v>
      </c>
      <c r="CO106" s="511">
        <f t="shared" si="60"/>
        <v>0</v>
      </c>
      <c r="CP106" s="511">
        <f t="shared" si="61"/>
        <v>0</v>
      </c>
      <c r="CQ106" s="511">
        <f t="shared" si="62"/>
        <v>0</v>
      </c>
      <c r="CR106" s="511">
        <f t="shared" si="63"/>
        <v>0</v>
      </c>
      <c r="CS106" s="511">
        <f t="shared" si="64"/>
        <v>0</v>
      </c>
      <c r="CT106" s="511">
        <f>IF(CS106=0,35,_xlfn.RANK.EQ(CS106,CS98:CS132))</f>
        <v>35</v>
      </c>
      <c r="CU106" s="512">
        <f>IF(CT106=35,35,CT106+COUNTIF(CT$98:CT105,CT106)/COUNTIF(CT$98:CT$132,CT106))</f>
        <v>35</v>
      </c>
      <c r="CV106" s="511">
        <f t="shared" si="65"/>
        <v>21</v>
      </c>
      <c r="CW106" s="511" t="s">
        <v>389</v>
      </c>
      <c r="CX106" s="511">
        <f t="shared" si="66"/>
        <v>0</v>
      </c>
      <c r="CY106" s="511">
        <f t="shared" si="67"/>
        <v>0</v>
      </c>
      <c r="CZ106" s="511">
        <f t="shared" si="68"/>
        <v>0</v>
      </c>
      <c r="DA106" s="511">
        <f t="shared" si="69"/>
        <v>0</v>
      </c>
      <c r="DB106" s="511">
        <f t="shared" si="70"/>
        <v>10</v>
      </c>
      <c r="DC106" s="511">
        <f t="shared" si="71"/>
        <v>10</v>
      </c>
      <c r="DD106" s="511">
        <f t="shared" si="72"/>
        <v>10</v>
      </c>
      <c r="DE106" s="511">
        <f t="shared" si="73"/>
        <v>10</v>
      </c>
      <c r="DF106" s="511">
        <f t="shared" si="74"/>
        <v>10</v>
      </c>
      <c r="DG106" s="511">
        <f t="shared" si="75"/>
        <v>0</v>
      </c>
      <c r="DH106" s="511">
        <f t="shared" si="76"/>
        <v>0</v>
      </c>
      <c r="DI106" s="511">
        <f t="shared" si="77"/>
        <v>0</v>
      </c>
      <c r="DJ106" s="511">
        <f t="shared" si="78"/>
        <v>0</v>
      </c>
      <c r="DK106" s="524">
        <f t="shared" si="79"/>
        <v>50</v>
      </c>
      <c r="DL106" s="524">
        <f>IF(DK106=0,35,_xlfn.RANK.EQ(DK106,DK98:DK132))</f>
        <v>7</v>
      </c>
      <c r="DM106" s="772">
        <f>IF(DL106=35,35,DL106+COUNTIF(DL$98:DL105,DL106)/COUNTIF(DL$98:DL$132,DL106))</f>
        <v>7</v>
      </c>
      <c r="DN106" s="524">
        <f t="shared" si="80"/>
        <v>7</v>
      </c>
      <c r="DO106" s="524" t="s">
        <v>389</v>
      </c>
      <c r="DP106" s="474"/>
      <c r="DQ106" s="474"/>
      <c r="DR106" s="527"/>
      <c r="DS106" s="474"/>
      <c r="DT106" s="474"/>
      <c r="DU106" s="474"/>
      <c r="DV106" s="474"/>
      <c r="DW106" s="474"/>
      <c r="DX106" s="474"/>
      <c r="DY106" s="474"/>
      <c r="DZ106" s="474"/>
      <c r="EA106" s="474"/>
      <c r="EB106" s="474"/>
      <c r="EC106" s="474"/>
    </row>
    <row r="107" spans="1:133" s="473" customFormat="1">
      <c r="AC107" s="761">
        <f t="shared" si="7"/>
        <v>10</v>
      </c>
      <c r="AD107" s="497" t="s">
        <v>384</v>
      </c>
      <c r="AE107" s="497">
        <f t="shared" si="8"/>
        <v>6</v>
      </c>
      <c r="AF107" s="497">
        <f t="shared" si="9"/>
        <v>6</v>
      </c>
      <c r="AG107" s="497">
        <f t="shared" si="10"/>
        <v>6</v>
      </c>
      <c r="AH107" s="497">
        <f t="shared" si="11"/>
        <v>6</v>
      </c>
      <c r="AI107" s="497">
        <f t="shared" si="12"/>
        <v>6</v>
      </c>
      <c r="AJ107" s="497">
        <f t="shared" si="13"/>
        <v>6</v>
      </c>
      <c r="AK107" s="497">
        <f t="shared" si="14"/>
        <v>6</v>
      </c>
      <c r="AL107" s="497">
        <f t="shared" si="15"/>
        <v>6</v>
      </c>
      <c r="AM107" s="497">
        <f t="shared" si="16"/>
        <v>6</v>
      </c>
      <c r="AN107" s="497">
        <f t="shared" si="17"/>
        <v>6</v>
      </c>
      <c r="AO107" s="497">
        <f t="shared" si="18"/>
        <v>7</v>
      </c>
      <c r="AP107" s="497">
        <f t="shared" si="19"/>
        <v>5</v>
      </c>
      <c r="AQ107" s="497">
        <f t="shared" si="20"/>
        <v>6</v>
      </c>
      <c r="AR107" s="497">
        <f t="shared" si="21"/>
        <v>78</v>
      </c>
      <c r="AS107" s="497">
        <f>IF(AR107=0,35,_xlfn.RANK.EQ(AR107,AR98:AR132))</f>
        <v>4</v>
      </c>
      <c r="AT107" s="1348">
        <f>IF(AS107=35,35,AS107+COUNTIF(AS$98:AS106,AS107)/COUNTIF(AS$98:AS$132,AS107))</f>
        <v>4</v>
      </c>
      <c r="AU107" s="497">
        <f t="shared" si="22"/>
        <v>4</v>
      </c>
      <c r="AV107" s="497" t="s">
        <v>384</v>
      </c>
      <c r="AW107" s="497">
        <f t="shared" si="23"/>
        <v>6</v>
      </c>
      <c r="AX107" s="497">
        <f t="shared" si="24"/>
        <v>6</v>
      </c>
      <c r="AY107" s="497">
        <f t="shared" si="25"/>
        <v>6</v>
      </c>
      <c r="AZ107" s="497">
        <f t="shared" si="26"/>
        <v>5</v>
      </c>
      <c r="BA107" s="497">
        <f t="shared" si="27"/>
        <v>6</v>
      </c>
      <c r="BB107" s="497">
        <f t="shared" si="28"/>
        <v>6</v>
      </c>
      <c r="BC107" s="497">
        <f t="shared" si="29"/>
        <v>4</v>
      </c>
      <c r="BD107" s="497">
        <f t="shared" si="30"/>
        <v>4</v>
      </c>
      <c r="BE107" s="497">
        <f t="shared" si="31"/>
        <v>5</v>
      </c>
      <c r="BF107" s="497">
        <f t="shared" si="32"/>
        <v>5</v>
      </c>
      <c r="BG107" s="497">
        <f t="shared" si="33"/>
        <v>5</v>
      </c>
      <c r="BH107" s="497">
        <f t="shared" si="34"/>
        <v>6</v>
      </c>
      <c r="BI107" s="497">
        <f t="shared" si="35"/>
        <v>58</v>
      </c>
      <c r="BJ107" s="497">
        <f>IF(BI107=0,35,_xlfn.RANK.EQ(BI107,BI98:BI132))</f>
        <v>4</v>
      </c>
      <c r="BK107" s="1348">
        <f>IF(BJ107=35,35,BJ107+COUNTIF(BJ$98:BJ106,BJ107)/COUNTIF(BJ$98:BJ$132,BJ107))</f>
        <v>4</v>
      </c>
      <c r="BL107" s="497">
        <f t="shared" si="6"/>
        <v>4</v>
      </c>
      <c r="BM107" s="497" t="s">
        <v>384</v>
      </c>
      <c r="BN107" s="497">
        <f t="shared" si="36"/>
        <v>9</v>
      </c>
      <c r="BO107" s="497">
        <f t="shared" si="37"/>
        <v>7</v>
      </c>
      <c r="BP107" s="497">
        <f t="shared" si="38"/>
        <v>7</v>
      </c>
      <c r="BQ107" s="497">
        <f t="shared" si="39"/>
        <v>8</v>
      </c>
      <c r="BR107" s="497">
        <f t="shared" si="40"/>
        <v>8</v>
      </c>
      <c r="BS107" s="497">
        <f t="shared" si="41"/>
        <v>10</v>
      </c>
      <c r="BT107" s="497">
        <f t="shared" si="42"/>
        <v>10</v>
      </c>
      <c r="BU107" s="497">
        <f t="shared" si="43"/>
        <v>10</v>
      </c>
      <c r="BV107" s="497">
        <f t="shared" si="44"/>
        <v>10</v>
      </c>
      <c r="BW107" s="497">
        <f t="shared" si="45"/>
        <v>7</v>
      </c>
      <c r="BX107" s="497">
        <f t="shared" si="46"/>
        <v>8</v>
      </c>
      <c r="BY107" s="497">
        <f t="shared" si="47"/>
        <v>7</v>
      </c>
      <c r="BZ107" s="497">
        <f t="shared" si="48"/>
        <v>6</v>
      </c>
      <c r="CA107" s="511">
        <f t="shared" si="49"/>
        <v>101</v>
      </c>
      <c r="CB107" s="511">
        <f>IF(CA107=0,35,_xlfn.RANK.EQ(CA107,CA98:CA132))</f>
        <v>1</v>
      </c>
      <c r="CC107" s="512">
        <f>IF(CB107=35,35,CB107+COUNTIF(CB$98:CB106,CB107)/COUNTIF(CB$98:CB$132,CB107))</f>
        <v>1</v>
      </c>
      <c r="CD107" s="511">
        <f t="shared" si="50"/>
        <v>1</v>
      </c>
      <c r="CE107" s="511" t="s">
        <v>384</v>
      </c>
      <c r="CF107" s="511">
        <f t="shared" si="51"/>
        <v>2</v>
      </c>
      <c r="CG107" s="511">
        <f t="shared" si="52"/>
        <v>3</v>
      </c>
      <c r="CH107" s="511">
        <f t="shared" si="53"/>
        <v>3</v>
      </c>
      <c r="CI107" s="511">
        <f t="shared" si="54"/>
        <v>3</v>
      </c>
      <c r="CJ107" s="511">
        <f t="shared" si="55"/>
        <v>3</v>
      </c>
      <c r="CK107" s="511">
        <f t="shared" si="56"/>
        <v>3</v>
      </c>
      <c r="CL107" s="511">
        <f t="shared" si="57"/>
        <v>3</v>
      </c>
      <c r="CM107" s="511">
        <f t="shared" si="58"/>
        <v>2</v>
      </c>
      <c r="CN107" s="511">
        <f t="shared" si="59"/>
        <v>2</v>
      </c>
      <c r="CO107" s="511">
        <f t="shared" si="60"/>
        <v>8</v>
      </c>
      <c r="CP107" s="511">
        <f t="shared" si="61"/>
        <v>2</v>
      </c>
      <c r="CQ107" s="511">
        <f t="shared" si="62"/>
        <v>2</v>
      </c>
      <c r="CR107" s="511">
        <f t="shared" si="63"/>
        <v>2</v>
      </c>
      <c r="CS107" s="511">
        <f t="shared" si="64"/>
        <v>36</v>
      </c>
      <c r="CT107" s="511">
        <f>IF(CS107=0,35,_xlfn.RANK.EQ(CS107,CS98:CS132))</f>
        <v>8</v>
      </c>
      <c r="CU107" s="512">
        <f>IF(CT107=35,35,CT107+COUNTIF(CT$98:CT106,CT107)/COUNTIF(CT$98:CT$132,CT107))</f>
        <v>8</v>
      </c>
      <c r="CV107" s="511">
        <f t="shared" si="65"/>
        <v>8</v>
      </c>
      <c r="CW107" s="511" t="s">
        <v>384</v>
      </c>
      <c r="CX107" s="511">
        <f t="shared" si="66"/>
        <v>10</v>
      </c>
      <c r="CY107" s="511">
        <f t="shared" si="67"/>
        <v>8</v>
      </c>
      <c r="CZ107" s="511">
        <f t="shared" si="68"/>
        <v>7</v>
      </c>
      <c r="DA107" s="511">
        <f t="shared" si="69"/>
        <v>8</v>
      </c>
      <c r="DB107" s="511">
        <f t="shared" si="70"/>
        <v>8</v>
      </c>
      <c r="DC107" s="511">
        <f t="shared" si="71"/>
        <v>8</v>
      </c>
      <c r="DD107" s="511">
        <f t="shared" si="72"/>
        <v>8</v>
      </c>
      <c r="DE107" s="511">
        <f t="shared" si="73"/>
        <v>8</v>
      </c>
      <c r="DF107" s="511">
        <f t="shared" si="74"/>
        <v>9</v>
      </c>
      <c r="DG107" s="511">
        <f t="shared" si="75"/>
        <v>9</v>
      </c>
      <c r="DH107" s="511">
        <f t="shared" si="76"/>
        <v>7</v>
      </c>
      <c r="DI107" s="511">
        <f t="shared" si="77"/>
        <v>7</v>
      </c>
      <c r="DJ107" s="511">
        <f t="shared" si="78"/>
        <v>7</v>
      </c>
      <c r="DK107" s="524">
        <f t="shared" si="79"/>
        <v>97</v>
      </c>
      <c r="DL107" s="524">
        <f>IF(DK107=0,35,_xlfn.RANK.EQ(DK107,DK98:DK132))</f>
        <v>2</v>
      </c>
      <c r="DM107" s="772">
        <f>IF(DL107=35,35,DL107+COUNTIF(DL$98:DL106,DL107)/COUNTIF(DL$98:DL$132,DL107))</f>
        <v>2</v>
      </c>
      <c r="DN107" s="524">
        <f t="shared" si="80"/>
        <v>2</v>
      </c>
      <c r="DO107" s="524" t="s">
        <v>384</v>
      </c>
      <c r="DP107" s="474"/>
      <c r="DQ107" s="474"/>
      <c r="DR107" s="527"/>
      <c r="DS107" s="474"/>
      <c r="DT107" s="474"/>
      <c r="DU107" s="474"/>
      <c r="DV107" s="474"/>
      <c r="DW107" s="474"/>
      <c r="DX107" s="474"/>
      <c r="DY107" s="474"/>
      <c r="DZ107" s="474"/>
      <c r="EA107" s="474"/>
      <c r="EB107" s="474"/>
      <c r="EC107" s="474"/>
    </row>
    <row r="108" spans="1:133" s="473" customFormat="1">
      <c r="AC108" s="761">
        <f t="shared" si="7"/>
        <v>11</v>
      </c>
      <c r="AD108" s="497" t="s">
        <v>408</v>
      </c>
      <c r="AE108" s="497">
        <f t="shared" si="8"/>
        <v>0</v>
      </c>
      <c r="AF108" s="497">
        <f t="shared" si="9"/>
        <v>0</v>
      </c>
      <c r="AG108" s="497">
        <f t="shared" si="10"/>
        <v>0</v>
      </c>
      <c r="AH108" s="497">
        <f t="shared" si="11"/>
        <v>0</v>
      </c>
      <c r="AI108" s="497">
        <f t="shared" si="12"/>
        <v>0</v>
      </c>
      <c r="AJ108" s="497">
        <f t="shared" si="13"/>
        <v>0</v>
      </c>
      <c r="AK108" s="497">
        <f t="shared" si="14"/>
        <v>0</v>
      </c>
      <c r="AL108" s="497">
        <f t="shared" si="15"/>
        <v>0</v>
      </c>
      <c r="AM108" s="497">
        <f t="shared" si="16"/>
        <v>0</v>
      </c>
      <c r="AN108" s="497">
        <f t="shared" si="17"/>
        <v>0</v>
      </c>
      <c r="AO108" s="497">
        <f t="shared" si="18"/>
        <v>0</v>
      </c>
      <c r="AP108" s="497">
        <f t="shared" si="19"/>
        <v>0</v>
      </c>
      <c r="AQ108" s="497">
        <f t="shared" si="20"/>
        <v>0</v>
      </c>
      <c r="AR108" s="497">
        <f t="shared" si="21"/>
        <v>0</v>
      </c>
      <c r="AS108" s="497">
        <f>IF(AR108=0,35,_xlfn.RANK.EQ(AR108,AR98:AR132))</f>
        <v>35</v>
      </c>
      <c r="AT108" s="1348">
        <f>IF(AS108=35,35,AS108+COUNTIF(AS$98:AS107,AS108)/COUNTIF(AS$98:AS$132,AS108))</f>
        <v>35</v>
      </c>
      <c r="AU108" s="497">
        <f t="shared" si="22"/>
        <v>12</v>
      </c>
      <c r="AV108" s="497" t="s">
        <v>408</v>
      </c>
      <c r="AW108" s="497">
        <f t="shared" si="23"/>
        <v>0</v>
      </c>
      <c r="AX108" s="497">
        <f t="shared" si="24"/>
        <v>0</v>
      </c>
      <c r="AY108" s="497">
        <f t="shared" si="25"/>
        <v>0</v>
      </c>
      <c r="AZ108" s="497">
        <f t="shared" si="26"/>
        <v>0</v>
      </c>
      <c r="BA108" s="497">
        <f t="shared" si="27"/>
        <v>0</v>
      </c>
      <c r="BB108" s="497">
        <f t="shared" si="28"/>
        <v>0</v>
      </c>
      <c r="BC108" s="497">
        <f t="shared" si="29"/>
        <v>0</v>
      </c>
      <c r="BD108" s="497">
        <f t="shared" si="30"/>
        <v>0</v>
      </c>
      <c r="BE108" s="497">
        <f t="shared" si="31"/>
        <v>0</v>
      </c>
      <c r="BF108" s="497">
        <f t="shared" si="32"/>
        <v>0</v>
      </c>
      <c r="BG108" s="497">
        <f t="shared" si="33"/>
        <v>0</v>
      </c>
      <c r="BH108" s="497">
        <f t="shared" si="34"/>
        <v>0</v>
      </c>
      <c r="BI108" s="497">
        <f t="shared" si="35"/>
        <v>0</v>
      </c>
      <c r="BJ108" s="497">
        <f>IF(BI108=0,35,_xlfn.RANK.EQ(BI108,BI98:BI132))</f>
        <v>35</v>
      </c>
      <c r="BK108" s="1348">
        <f>IF(BJ108=35,35,BJ108+COUNTIF(BJ$98:BJ107,BJ108)/COUNTIF(BJ$98:BJ$132,BJ108))</f>
        <v>35</v>
      </c>
      <c r="BL108" s="497">
        <f t="shared" si="6"/>
        <v>13</v>
      </c>
      <c r="BM108" s="497" t="s">
        <v>408</v>
      </c>
      <c r="BN108" s="497">
        <f t="shared" si="36"/>
        <v>0</v>
      </c>
      <c r="BO108" s="497">
        <f t="shared" si="37"/>
        <v>0</v>
      </c>
      <c r="BP108" s="497">
        <f t="shared" si="38"/>
        <v>0</v>
      </c>
      <c r="BQ108" s="497">
        <f t="shared" si="39"/>
        <v>0</v>
      </c>
      <c r="BR108" s="497">
        <f t="shared" si="40"/>
        <v>0</v>
      </c>
      <c r="BS108" s="497">
        <f t="shared" si="41"/>
        <v>0</v>
      </c>
      <c r="BT108" s="497">
        <f t="shared" si="42"/>
        <v>0</v>
      </c>
      <c r="BU108" s="497">
        <f t="shared" si="43"/>
        <v>0</v>
      </c>
      <c r="BV108" s="497">
        <f t="shared" si="44"/>
        <v>0</v>
      </c>
      <c r="BW108" s="497">
        <f t="shared" si="45"/>
        <v>0</v>
      </c>
      <c r="BX108" s="497">
        <f t="shared" si="46"/>
        <v>0</v>
      </c>
      <c r="BY108" s="497">
        <f t="shared" si="47"/>
        <v>0</v>
      </c>
      <c r="BZ108" s="497">
        <f t="shared" si="48"/>
        <v>0</v>
      </c>
      <c r="CA108" s="511">
        <f t="shared" si="49"/>
        <v>0</v>
      </c>
      <c r="CB108" s="511">
        <f>IF(CA108=0,35,_xlfn.RANK.EQ(CA108,CA98:CA132))</f>
        <v>35</v>
      </c>
      <c r="CC108" s="512">
        <f>IF(CB108=35,35,CB108+COUNTIF(CB$98:CB107,CB108)/COUNTIF(CB$98:CB$132,CB108))</f>
        <v>35</v>
      </c>
      <c r="CD108" s="511">
        <f t="shared" si="50"/>
        <v>13</v>
      </c>
      <c r="CE108" s="511" t="s">
        <v>408</v>
      </c>
      <c r="CF108" s="511">
        <f t="shared" si="51"/>
        <v>0</v>
      </c>
      <c r="CG108" s="511">
        <f t="shared" si="52"/>
        <v>0</v>
      </c>
      <c r="CH108" s="511">
        <f t="shared" si="53"/>
        <v>0</v>
      </c>
      <c r="CI108" s="511">
        <f t="shared" si="54"/>
        <v>0</v>
      </c>
      <c r="CJ108" s="511">
        <f t="shared" si="55"/>
        <v>0</v>
      </c>
      <c r="CK108" s="511">
        <f t="shared" si="56"/>
        <v>0</v>
      </c>
      <c r="CL108" s="511">
        <f t="shared" si="57"/>
        <v>0</v>
      </c>
      <c r="CM108" s="511">
        <f t="shared" si="58"/>
        <v>0</v>
      </c>
      <c r="CN108" s="511">
        <f t="shared" si="59"/>
        <v>0</v>
      </c>
      <c r="CO108" s="511">
        <f t="shared" si="60"/>
        <v>0</v>
      </c>
      <c r="CP108" s="511">
        <f t="shared" si="61"/>
        <v>0</v>
      </c>
      <c r="CQ108" s="511">
        <f t="shared" si="62"/>
        <v>0</v>
      </c>
      <c r="CR108" s="511">
        <f t="shared" si="63"/>
        <v>0</v>
      </c>
      <c r="CS108" s="511">
        <f t="shared" si="64"/>
        <v>0</v>
      </c>
      <c r="CT108" s="511">
        <f>IF(CS108=0,35,_xlfn.RANK.EQ(CS108,CS98:CS132))</f>
        <v>35</v>
      </c>
      <c r="CU108" s="512">
        <f>IF(CT108=35,35,CT108+COUNTIF(CT$98:CT107,CT108)/COUNTIF(CT$98:CT$132,CT108))</f>
        <v>35</v>
      </c>
      <c r="CV108" s="511">
        <f t="shared" si="65"/>
        <v>21</v>
      </c>
      <c r="CW108" s="511" t="s">
        <v>408</v>
      </c>
      <c r="CX108" s="511">
        <f t="shared" si="66"/>
        <v>0</v>
      </c>
      <c r="CY108" s="511">
        <f t="shared" si="67"/>
        <v>0</v>
      </c>
      <c r="CZ108" s="511">
        <f t="shared" si="68"/>
        <v>0</v>
      </c>
      <c r="DA108" s="511">
        <f t="shared" si="69"/>
        <v>0</v>
      </c>
      <c r="DB108" s="511">
        <f t="shared" si="70"/>
        <v>0</v>
      </c>
      <c r="DC108" s="511">
        <f t="shared" si="71"/>
        <v>0</v>
      </c>
      <c r="DD108" s="511">
        <f t="shared" si="72"/>
        <v>0</v>
      </c>
      <c r="DE108" s="511">
        <f t="shared" si="73"/>
        <v>0</v>
      </c>
      <c r="DF108" s="511">
        <f t="shared" si="74"/>
        <v>0</v>
      </c>
      <c r="DG108" s="511">
        <f t="shared" si="75"/>
        <v>0</v>
      </c>
      <c r="DH108" s="511">
        <f t="shared" si="76"/>
        <v>0</v>
      </c>
      <c r="DI108" s="511">
        <f t="shared" si="77"/>
        <v>0</v>
      </c>
      <c r="DJ108" s="511">
        <f t="shared" si="78"/>
        <v>0</v>
      </c>
      <c r="DK108" s="524">
        <f t="shared" si="79"/>
        <v>0</v>
      </c>
      <c r="DL108" s="524">
        <f>IF(DK108=0,35,_xlfn.RANK.EQ(DK108,DK98:DK132))</f>
        <v>35</v>
      </c>
      <c r="DM108" s="772">
        <f>IF(DL108=35,35,DL108+COUNTIF(DL$98:DL107,DL108)/COUNTIF(DL$98:DL$132,DL108))</f>
        <v>35</v>
      </c>
      <c r="DN108" s="524">
        <f t="shared" si="80"/>
        <v>13</v>
      </c>
      <c r="DO108" s="524" t="s">
        <v>408</v>
      </c>
      <c r="DP108" s="474"/>
      <c r="DQ108" s="474"/>
      <c r="DR108" s="527"/>
      <c r="DS108" s="474"/>
      <c r="DT108" s="474"/>
      <c r="DU108" s="474"/>
      <c r="DV108" s="474"/>
      <c r="DW108" s="474"/>
      <c r="DX108" s="474"/>
      <c r="DY108" s="474"/>
      <c r="DZ108" s="474"/>
      <c r="EA108" s="474"/>
      <c r="EB108" s="474"/>
      <c r="EC108" s="474"/>
    </row>
    <row r="109" spans="1:133" s="473" customFormat="1">
      <c r="AC109" s="761">
        <f t="shared" si="7"/>
        <v>12</v>
      </c>
      <c r="AD109" s="497" t="s">
        <v>409</v>
      </c>
      <c r="AE109" s="497">
        <f t="shared" si="8"/>
        <v>0</v>
      </c>
      <c r="AF109" s="497">
        <f t="shared" si="9"/>
        <v>0</v>
      </c>
      <c r="AG109" s="497">
        <f t="shared" si="10"/>
        <v>0</v>
      </c>
      <c r="AH109" s="497">
        <f t="shared" si="11"/>
        <v>0</v>
      </c>
      <c r="AI109" s="497">
        <f t="shared" si="12"/>
        <v>0</v>
      </c>
      <c r="AJ109" s="497">
        <f t="shared" si="13"/>
        <v>0</v>
      </c>
      <c r="AK109" s="497">
        <f t="shared" si="14"/>
        <v>0</v>
      </c>
      <c r="AL109" s="497">
        <f t="shared" si="15"/>
        <v>0</v>
      </c>
      <c r="AM109" s="497">
        <f t="shared" si="16"/>
        <v>0</v>
      </c>
      <c r="AN109" s="497">
        <f t="shared" si="17"/>
        <v>0</v>
      </c>
      <c r="AO109" s="497">
        <f t="shared" si="18"/>
        <v>0</v>
      </c>
      <c r="AP109" s="497">
        <f t="shared" si="19"/>
        <v>0</v>
      </c>
      <c r="AQ109" s="497">
        <f t="shared" si="20"/>
        <v>0</v>
      </c>
      <c r="AR109" s="497">
        <f t="shared" si="21"/>
        <v>0</v>
      </c>
      <c r="AS109" s="497">
        <f>IF(AR109=0,35,_xlfn.RANK.EQ(AR109,AR98:AR132))</f>
        <v>35</v>
      </c>
      <c r="AT109" s="1348">
        <f>IF(AS109=35,35,AS109+COUNTIF(AS$98:AS108,AS109)/COUNTIF(AS$98:AS$132,AS109))</f>
        <v>35</v>
      </c>
      <c r="AU109" s="497">
        <f t="shared" si="22"/>
        <v>12</v>
      </c>
      <c r="AV109" s="497" t="s">
        <v>409</v>
      </c>
      <c r="AW109" s="497">
        <f t="shared" si="23"/>
        <v>0</v>
      </c>
      <c r="AX109" s="497">
        <f t="shared" si="24"/>
        <v>0</v>
      </c>
      <c r="AY109" s="497">
        <f t="shared" si="25"/>
        <v>0</v>
      </c>
      <c r="AZ109" s="497">
        <f t="shared" si="26"/>
        <v>0</v>
      </c>
      <c r="BA109" s="497">
        <f t="shared" si="27"/>
        <v>0</v>
      </c>
      <c r="BB109" s="497">
        <f t="shared" si="28"/>
        <v>0</v>
      </c>
      <c r="BC109" s="497">
        <f t="shared" si="29"/>
        <v>0</v>
      </c>
      <c r="BD109" s="497">
        <f t="shared" si="30"/>
        <v>0</v>
      </c>
      <c r="BE109" s="497">
        <f t="shared" si="31"/>
        <v>0</v>
      </c>
      <c r="BF109" s="497">
        <f t="shared" si="32"/>
        <v>0</v>
      </c>
      <c r="BG109" s="497">
        <f t="shared" si="33"/>
        <v>0</v>
      </c>
      <c r="BH109" s="497">
        <f t="shared" si="34"/>
        <v>0</v>
      </c>
      <c r="BI109" s="497">
        <f t="shared" si="35"/>
        <v>0</v>
      </c>
      <c r="BJ109" s="497">
        <f>IF(BI109=0,35,_xlfn.RANK.EQ(BI109,BI98:BI132))</f>
        <v>35</v>
      </c>
      <c r="BK109" s="1348">
        <f>IF(BJ109=35,35,BJ109+COUNTIF(BJ$98:BJ108,BJ109)/COUNTIF(BJ$98:BJ$132,BJ109))</f>
        <v>35</v>
      </c>
      <c r="BL109" s="497">
        <f t="shared" si="6"/>
        <v>13</v>
      </c>
      <c r="BM109" s="497" t="s">
        <v>409</v>
      </c>
      <c r="BN109" s="497">
        <f t="shared" si="36"/>
        <v>0</v>
      </c>
      <c r="BO109" s="497">
        <f t="shared" si="37"/>
        <v>0</v>
      </c>
      <c r="BP109" s="497">
        <f t="shared" si="38"/>
        <v>0</v>
      </c>
      <c r="BQ109" s="497">
        <f t="shared" si="39"/>
        <v>0</v>
      </c>
      <c r="BR109" s="497">
        <f t="shared" si="40"/>
        <v>0</v>
      </c>
      <c r="BS109" s="497">
        <f t="shared" si="41"/>
        <v>0</v>
      </c>
      <c r="BT109" s="497">
        <f t="shared" si="42"/>
        <v>0</v>
      </c>
      <c r="BU109" s="497">
        <f t="shared" si="43"/>
        <v>0</v>
      </c>
      <c r="BV109" s="497">
        <f t="shared" si="44"/>
        <v>0</v>
      </c>
      <c r="BW109" s="497">
        <f t="shared" si="45"/>
        <v>0</v>
      </c>
      <c r="BX109" s="497">
        <f t="shared" si="46"/>
        <v>0</v>
      </c>
      <c r="BY109" s="497">
        <f t="shared" si="47"/>
        <v>0</v>
      </c>
      <c r="BZ109" s="497">
        <f t="shared" si="48"/>
        <v>0</v>
      </c>
      <c r="CA109" s="511">
        <f t="shared" si="49"/>
        <v>0</v>
      </c>
      <c r="CB109" s="511">
        <f>IF(CA109=0,35,_xlfn.RANK.EQ(CA109,CA98:CA132))</f>
        <v>35</v>
      </c>
      <c r="CC109" s="512">
        <f>IF(CB109=35,35,CB109+COUNTIF(CB$98:CB108,CB109)/COUNTIF(CB$98:CB$132,CB109))</f>
        <v>35</v>
      </c>
      <c r="CD109" s="511">
        <f t="shared" si="50"/>
        <v>13</v>
      </c>
      <c r="CE109" s="511" t="s">
        <v>409</v>
      </c>
      <c r="CF109" s="511">
        <f t="shared" si="51"/>
        <v>0</v>
      </c>
      <c r="CG109" s="511">
        <f t="shared" si="52"/>
        <v>0</v>
      </c>
      <c r="CH109" s="511">
        <f t="shared" si="53"/>
        <v>0</v>
      </c>
      <c r="CI109" s="511">
        <f t="shared" si="54"/>
        <v>0</v>
      </c>
      <c r="CJ109" s="511">
        <f t="shared" si="55"/>
        <v>0</v>
      </c>
      <c r="CK109" s="511">
        <f t="shared" si="56"/>
        <v>0</v>
      </c>
      <c r="CL109" s="511">
        <f t="shared" si="57"/>
        <v>0</v>
      </c>
      <c r="CM109" s="511">
        <f t="shared" si="58"/>
        <v>0</v>
      </c>
      <c r="CN109" s="511">
        <f t="shared" si="59"/>
        <v>0</v>
      </c>
      <c r="CO109" s="511">
        <f t="shared" si="60"/>
        <v>0</v>
      </c>
      <c r="CP109" s="511">
        <f t="shared" si="61"/>
        <v>0</v>
      </c>
      <c r="CQ109" s="511">
        <f t="shared" si="62"/>
        <v>0</v>
      </c>
      <c r="CR109" s="511">
        <f t="shared" si="63"/>
        <v>0</v>
      </c>
      <c r="CS109" s="511">
        <f t="shared" si="64"/>
        <v>0</v>
      </c>
      <c r="CT109" s="511">
        <f>IF(CS109=0,35,_xlfn.RANK.EQ(CS109,CS98:CS132))</f>
        <v>35</v>
      </c>
      <c r="CU109" s="512">
        <f>IF(CT109=35,35,CT109+COUNTIF(CT$98:CT108,CT109)/COUNTIF(CT$98:CT$132,CT109))</f>
        <v>35</v>
      </c>
      <c r="CV109" s="511">
        <f t="shared" si="65"/>
        <v>21</v>
      </c>
      <c r="CW109" s="511" t="s">
        <v>409</v>
      </c>
      <c r="CX109" s="511">
        <f t="shared" si="66"/>
        <v>0</v>
      </c>
      <c r="CY109" s="511">
        <f t="shared" si="67"/>
        <v>0</v>
      </c>
      <c r="CZ109" s="511">
        <f t="shared" si="68"/>
        <v>0</v>
      </c>
      <c r="DA109" s="511">
        <f t="shared" si="69"/>
        <v>0</v>
      </c>
      <c r="DB109" s="511">
        <f t="shared" si="70"/>
        <v>0</v>
      </c>
      <c r="DC109" s="511">
        <f t="shared" si="71"/>
        <v>0</v>
      </c>
      <c r="DD109" s="511">
        <f t="shared" si="72"/>
        <v>0</v>
      </c>
      <c r="DE109" s="511">
        <f t="shared" si="73"/>
        <v>0</v>
      </c>
      <c r="DF109" s="511">
        <f t="shared" si="74"/>
        <v>0</v>
      </c>
      <c r="DG109" s="511">
        <f t="shared" si="75"/>
        <v>0</v>
      </c>
      <c r="DH109" s="511">
        <f t="shared" si="76"/>
        <v>0</v>
      </c>
      <c r="DI109" s="511">
        <f t="shared" si="77"/>
        <v>0</v>
      </c>
      <c r="DJ109" s="511">
        <f t="shared" si="78"/>
        <v>0</v>
      </c>
      <c r="DK109" s="524">
        <f t="shared" si="79"/>
        <v>0</v>
      </c>
      <c r="DL109" s="524">
        <f>IF(DK109=0,35,_xlfn.RANK.EQ(DK109,DK98:DK132))</f>
        <v>35</v>
      </c>
      <c r="DM109" s="772">
        <f>IF(DL109=35,35,DL109+COUNTIF(DL$98:DL108,DL109)/COUNTIF(DL$98:DL$132,DL109))</f>
        <v>35</v>
      </c>
      <c r="DN109" s="524">
        <f t="shared" si="80"/>
        <v>13</v>
      </c>
      <c r="DO109" s="524" t="s">
        <v>409</v>
      </c>
      <c r="DP109" s="474"/>
      <c r="DQ109" s="474"/>
      <c r="DR109" s="527"/>
      <c r="DS109" s="474"/>
      <c r="DT109" s="474"/>
      <c r="DU109" s="474"/>
      <c r="DV109" s="474"/>
      <c r="DW109" s="474"/>
      <c r="DX109" s="474"/>
      <c r="DY109" s="474"/>
      <c r="DZ109" s="474"/>
      <c r="EA109" s="474"/>
      <c r="EB109" s="474"/>
      <c r="EC109" s="474"/>
    </row>
    <row r="110" spans="1:133" s="473" customFormat="1">
      <c r="AC110" s="761">
        <f t="shared" si="7"/>
        <v>13</v>
      </c>
      <c r="AD110" s="497" t="s">
        <v>378</v>
      </c>
      <c r="AE110" s="497">
        <f t="shared" si="8"/>
        <v>1</v>
      </c>
      <c r="AF110" s="497">
        <f t="shared" si="9"/>
        <v>1</v>
      </c>
      <c r="AG110" s="497">
        <f t="shared" si="10"/>
        <v>1</v>
      </c>
      <c r="AH110" s="497">
        <f t="shared" si="11"/>
        <v>1</v>
      </c>
      <c r="AI110" s="497">
        <f t="shared" si="12"/>
        <v>1</v>
      </c>
      <c r="AJ110" s="497">
        <f t="shared" si="13"/>
        <v>1</v>
      </c>
      <c r="AK110" s="497">
        <f t="shared" si="14"/>
        <v>1</v>
      </c>
      <c r="AL110" s="497">
        <f t="shared" si="15"/>
        <v>2</v>
      </c>
      <c r="AM110" s="497">
        <f t="shared" si="16"/>
        <v>1</v>
      </c>
      <c r="AN110" s="497">
        <f t="shared" si="17"/>
        <v>2</v>
      </c>
      <c r="AO110" s="497">
        <f t="shared" si="18"/>
        <v>2</v>
      </c>
      <c r="AP110" s="497">
        <f t="shared" si="19"/>
        <v>2</v>
      </c>
      <c r="AQ110" s="497">
        <f t="shared" si="20"/>
        <v>4</v>
      </c>
      <c r="AR110" s="497">
        <f t="shared" si="21"/>
        <v>20</v>
      </c>
      <c r="AS110" s="497">
        <f>IF(AR110=0,35,_xlfn.RANK.EQ(AR110,AR98:AR132))</f>
        <v>11</v>
      </c>
      <c r="AT110" s="1348">
        <f>IF(AS110=35,35,AS110+COUNTIF(AS$98:AS109,AS110)/COUNTIF(AS$98:AS$132,AS110))</f>
        <v>11</v>
      </c>
      <c r="AU110" s="497">
        <f t="shared" si="22"/>
        <v>11</v>
      </c>
      <c r="AV110" s="497" t="s">
        <v>378</v>
      </c>
      <c r="AW110" s="497">
        <f t="shared" si="23"/>
        <v>9</v>
      </c>
      <c r="AX110" s="497">
        <f t="shared" si="24"/>
        <v>0</v>
      </c>
      <c r="AY110" s="497">
        <f t="shared" si="25"/>
        <v>0</v>
      </c>
      <c r="AZ110" s="497">
        <f t="shared" si="26"/>
        <v>6</v>
      </c>
      <c r="BA110" s="497">
        <f t="shared" si="27"/>
        <v>5</v>
      </c>
      <c r="BB110" s="497">
        <f t="shared" si="28"/>
        <v>5</v>
      </c>
      <c r="BC110" s="497">
        <f t="shared" si="29"/>
        <v>5</v>
      </c>
      <c r="BD110" s="497">
        <f t="shared" si="30"/>
        <v>5</v>
      </c>
      <c r="BE110" s="497">
        <f t="shared" si="31"/>
        <v>4</v>
      </c>
      <c r="BF110" s="497">
        <f t="shared" si="32"/>
        <v>4</v>
      </c>
      <c r="BG110" s="497">
        <f t="shared" si="33"/>
        <v>4</v>
      </c>
      <c r="BH110" s="497">
        <f t="shared" si="34"/>
        <v>5</v>
      </c>
      <c r="BI110" s="497">
        <f t="shared" si="35"/>
        <v>47</v>
      </c>
      <c r="BJ110" s="497">
        <f>IF(BI110=0,35,_xlfn.RANK.EQ(BI110,BI98:BI132))</f>
        <v>7</v>
      </c>
      <c r="BK110" s="1348">
        <f>IF(BJ110=35,35,BJ110+COUNTIF(BJ$98:BJ109,BJ110)/COUNTIF(BJ$98:BJ$132,BJ110))</f>
        <v>7</v>
      </c>
      <c r="BL110" s="497">
        <f t="shared" si="6"/>
        <v>7</v>
      </c>
      <c r="BM110" s="497" t="s">
        <v>378</v>
      </c>
      <c r="BN110" s="497">
        <f t="shared" si="36"/>
        <v>0</v>
      </c>
      <c r="BO110" s="497">
        <f t="shared" si="37"/>
        <v>0</v>
      </c>
      <c r="BP110" s="497">
        <f t="shared" si="38"/>
        <v>9</v>
      </c>
      <c r="BQ110" s="497">
        <f t="shared" si="39"/>
        <v>9</v>
      </c>
      <c r="BR110" s="497">
        <f t="shared" si="40"/>
        <v>9</v>
      </c>
      <c r="BS110" s="497">
        <f t="shared" si="41"/>
        <v>8</v>
      </c>
      <c r="BT110" s="497">
        <f t="shared" si="42"/>
        <v>6</v>
      </c>
      <c r="BU110" s="497">
        <f t="shared" si="43"/>
        <v>7</v>
      </c>
      <c r="BV110" s="497">
        <f t="shared" si="44"/>
        <v>4</v>
      </c>
      <c r="BW110" s="497">
        <f t="shared" si="45"/>
        <v>4</v>
      </c>
      <c r="BX110" s="497">
        <f t="shared" si="46"/>
        <v>5</v>
      </c>
      <c r="BY110" s="497">
        <f t="shared" si="47"/>
        <v>5</v>
      </c>
      <c r="BZ110" s="497">
        <f t="shared" si="48"/>
        <v>5</v>
      </c>
      <c r="CA110" s="511">
        <f t="shared" si="49"/>
        <v>66</v>
      </c>
      <c r="CB110" s="511">
        <f>IF(CA110=0,35,_xlfn.RANK.EQ(CA110,CA98:CA132))</f>
        <v>5</v>
      </c>
      <c r="CC110" s="512">
        <f>IF(CB110=35,35,CB110+COUNTIF(CB$98:CB109,CB110)/COUNTIF(CB$98:CB$132,CB110))</f>
        <v>5</v>
      </c>
      <c r="CD110" s="511">
        <f t="shared" si="50"/>
        <v>5</v>
      </c>
      <c r="CE110" s="511" t="s">
        <v>378</v>
      </c>
      <c r="CF110" s="511">
        <f t="shared" si="51"/>
        <v>0</v>
      </c>
      <c r="CG110" s="511">
        <f t="shared" si="52"/>
        <v>0</v>
      </c>
      <c r="CH110" s="511">
        <f t="shared" si="53"/>
        <v>0</v>
      </c>
      <c r="CI110" s="511">
        <f t="shared" si="54"/>
        <v>0</v>
      </c>
      <c r="CJ110" s="511">
        <f t="shared" si="55"/>
        <v>0</v>
      </c>
      <c r="CK110" s="511">
        <f t="shared" si="56"/>
        <v>0</v>
      </c>
      <c r="CL110" s="511">
        <f t="shared" si="57"/>
        <v>0</v>
      </c>
      <c r="CM110" s="511">
        <f t="shared" si="58"/>
        <v>0</v>
      </c>
      <c r="CN110" s="511">
        <f t="shared" si="59"/>
        <v>0</v>
      </c>
      <c r="CO110" s="511">
        <f t="shared" si="60"/>
        <v>7</v>
      </c>
      <c r="CP110" s="511">
        <f t="shared" si="61"/>
        <v>8</v>
      </c>
      <c r="CQ110" s="511">
        <f t="shared" si="62"/>
        <v>0</v>
      </c>
      <c r="CR110" s="511">
        <f t="shared" si="63"/>
        <v>0</v>
      </c>
      <c r="CS110" s="511">
        <f t="shared" si="64"/>
        <v>15</v>
      </c>
      <c r="CT110" s="511">
        <f>IF(CS110=0,35,_xlfn.RANK.EQ(CS110,CS98:CS132))</f>
        <v>16</v>
      </c>
      <c r="CU110" s="512">
        <f>IF(CT110=35,35,CT110+COUNTIF(CT$98:CT109,CT110)/COUNTIF(CT$98:CT$132,CT110))</f>
        <v>16</v>
      </c>
      <c r="CV110" s="511">
        <f t="shared" si="65"/>
        <v>16</v>
      </c>
      <c r="CW110" s="511" t="s">
        <v>378</v>
      </c>
      <c r="CX110" s="511">
        <f t="shared" si="66"/>
        <v>2</v>
      </c>
      <c r="CY110" s="511">
        <f t="shared" si="67"/>
        <v>3</v>
      </c>
      <c r="CZ110" s="511">
        <f t="shared" si="68"/>
        <v>3</v>
      </c>
      <c r="DA110" s="511">
        <f t="shared" si="69"/>
        <v>3</v>
      </c>
      <c r="DB110" s="511">
        <f t="shared" si="70"/>
        <v>3</v>
      </c>
      <c r="DC110" s="511">
        <f t="shared" si="71"/>
        <v>3</v>
      </c>
      <c r="DD110" s="511">
        <f t="shared" si="72"/>
        <v>3</v>
      </c>
      <c r="DE110" s="511">
        <f t="shared" si="73"/>
        <v>3</v>
      </c>
      <c r="DF110" s="511">
        <f t="shared" si="74"/>
        <v>3</v>
      </c>
      <c r="DG110" s="511">
        <f t="shared" si="75"/>
        <v>3</v>
      </c>
      <c r="DH110" s="511">
        <f t="shared" si="76"/>
        <v>3</v>
      </c>
      <c r="DI110" s="511">
        <f t="shared" si="77"/>
        <v>3</v>
      </c>
      <c r="DJ110" s="511">
        <f t="shared" si="78"/>
        <v>3</v>
      </c>
      <c r="DK110" s="524">
        <f t="shared" si="79"/>
        <v>35</v>
      </c>
      <c r="DL110" s="524">
        <f>IF(DK110=0,35,_xlfn.RANK.EQ(DK110,DK98:DK132))</f>
        <v>9</v>
      </c>
      <c r="DM110" s="772">
        <f>IF(DL110=35,35,DL110+COUNTIF(DL$98:DL109,DL110)/COUNTIF(DL$98:DL$132,DL110))</f>
        <v>9</v>
      </c>
      <c r="DN110" s="524">
        <f t="shared" si="80"/>
        <v>9</v>
      </c>
      <c r="DO110" s="524" t="s">
        <v>378</v>
      </c>
      <c r="DP110" s="474"/>
      <c r="DQ110" s="474"/>
      <c r="DR110" s="527"/>
      <c r="DS110" s="474"/>
      <c r="DT110" s="474"/>
      <c r="DU110" s="474"/>
      <c r="DV110" s="474"/>
      <c r="DW110" s="474"/>
      <c r="DX110" s="474"/>
      <c r="DY110" s="474"/>
      <c r="DZ110" s="474"/>
      <c r="EA110" s="474"/>
      <c r="EB110" s="474"/>
      <c r="EC110" s="474"/>
    </row>
    <row r="111" spans="1:133" s="473" customFormat="1">
      <c r="AC111" s="761">
        <f t="shared" si="7"/>
        <v>14</v>
      </c>
      <c r="AD111" s="497" t="s">
        <v>385</v>
      </c>
      <c r="AE111" s="497">
        <f t="shared" si="8"/>
        <v>7</v>
      </c>
      <c r="AF111" s="497">
        <f t="shared" si="9"/>
        <v>7</v>
      </c>
      <c r="AG111" s="497">
        <f t="shared" si="10"/>
        <v>7</v>
      </c>
      <c r="AH111" s="497">
        <f t="shared" si="11"/>
        <v>7</v>
      </c>
      <c r="AI111" s="497">
        <f t="shared" si="12"/>
        <v>8</v>
      </c>
      <c r="AJ111" s="497">
        <f t="shared" si="13"/>
        <v>7</v>
      </c>
      <c r="AK111" s="497">
        <f t="shared" si="14"/>
        <v>10</v>
      </c>
      <c r="AL111" s="497">
        <f t="shared" si="15"/>
        <v>10</v>
      </c>
      <c r="AM111" s="497">
        <f t="shared" si="16"/>
        <v>10</v>
      </c>
      <c r="AN111" s="497">
        <f t="shared" si="17"/>
        <v>10</v>
      </c>
      <c r="AO111" s="497">
        <f t="shared" si="18"/>
        <v>10</v>
      </c>
      <c r="AP111" s="497">
        <f t="shared" si="19"/>
        <v>10</v>
      </c>
      <c r="AQ111" s="497">
        <f t="shared" si="20"/>
        <v>10</v>
      </c>
      <c r="AR111" s="497">
        <f t="shared" si="21"/>
        <v>113</v>
      </c>
      <c r="AS111" s="497">
        <f>IF(AR111=0,35,_xlfn.RANK.EQ(AR111,AR98:AR132))</f>
        <v>1</v>
      </c>
      <c r="AT111" s="1348">
        <f>IF(AS111=35,35,AS111+COUNTIF(AS$98:AS110,AS111)/COUNTIF(AS$98:AS$132,AS111))</f>
        <v>1</v>
      </c>
      <c r="AU111" s="497">
        <f t="shared" si="22"/>
        <v>1</v>
      </c>
      <c r="AV111" s="497" t="s">
        <v>385</v>
      </c>
      <c r="AW111" s="497">
        <f t="shared" si="23"/>
        <v>0</v>
      </c>
      <c r="AX111" s="497">
        <f t="shared" si="24"/>
        <v>0</v>
      </c>
      <c r="AY111" s="497">
        <f t="shared" si="25"/>
        <v>0</v>
      </c>
      <c r="AZ111" s="497">
        <f t="shared" si="26"/>
        <v>0</v>
      </c>
      <c r="BA111" s="497">
        <f t="shared" si="27"/>
        <v>0</v>
      </c>
      <c r="BB111" s="497">
        <f t="shared" si="28"/>
        <v>0</v>
      </c>
      <c r="BC111" s="497">
        <f t="shared" si="29"/>
        <v>0</v>
      </c>
      <c r="BD111" s="497">
        <f t="shared" si="30"/>
        <v>0</v>
      </c>
      <c r="BE111" s="497">
        <f t="shared" si="31"/>
        <v>0</v>
      </c>
      <c r="BF111" s="497">
        <f t="shared" si="32"/>
        <v>0</v>
      </c>
      <c r="BG111" s="497">
        <f t="shared" si="33"/>
        <v>0</v>
      </c>
      <c r="BH111" s="497">
        <f t="shared" si="34"/>
        <v>0</v>
      </c>
      <c r="BI111" s="497">
        <f t="shared" si="35"/>
        <v>0</v>
      </c>
      <c r="BJ111" s="497">
        <f>IF(BI111=0,35,_xlfn.RANK.EQ(BI111,BI98:BI132))</f>
        <v>35</v>
      </c>
      <c r="BK111" s="1348">
        <f>IF(BJ111=35,35,BJ111+COUNTIF(BJ$98:BJ110,BJ111)/COUNTIF(BJ$98:BJ$132,BJ111))</f>
        <v>35</v>
      </c>
      <c r="BL111" s="497">
        <f t="shared" si="6"/>
        <v>13</v>
      </c>
      <c r="BM111" s="497" t="s">
        <v>385</v>
      </c>
      <c r="BN111" s="497">
        <f t="shared" si="36"/>
        <v>0</v>
      </c>
      <c r="BO111" s="497">
        <f t="shared" si="37"/>
        <v>0</v>
      </c>
      <c r="BP111" s="497">
        <f t="shared" si="38"/>
        <v>0</v>
      </c>
      <c r="BQ111" s="497">
        <f t="shared" si="39"/>
        <v>0</v>
      </c>
      <c r="BR111" s="497">
        <f t="shared" si="40"/>
        <v>0</v>
      </c>
      <c r="BS111" s="497">
        <f t="shared" si="41"/>
        <v>0</v>
      </c>
      <c r="BT111" s="497">
        <f t="shared" si="42"/>
        <v>0</v>
      </c>
      <c r="BU111" s="497">
        <f t="shared" si="43"/>
        <v>0</v>
      </c>
      <c r="BV111" s="497">
        <f t="shared" si="44"/>
        <v>0</v>
      </c>
      <c r="BW111" s="497">
        <f t="shared" si="45"/>
        <v>0</v>
      </c>
      <c r="BX111" s="497">
        <f t="shared" si="46"/>
        <v>0</v>
      </c>
      <c r="BY111" s="497">
        <f t="shared" si="47"/>
        <v>0</v>
      </c>
      <c r="BZ111" s="497">
        <f t="shared" si="48"/>
        <v>0</v>
      </c>
      <c r="CA111" s="511">
        <f t="shared" si="49"/>
        <v>0</v>
      </c>
      <c r="CB111" s="511">
        <f>IF(CA111=0,35,_xlfn.RANK.EQ(CA111,CA98:CA132))</f>
        <v>35</v>
      </c>
      <c r="CC111" s="512">
        <f>IF(CB111=35,35,CB111+COUNTIF(CB$98:CB110,CB111)/COUNTIF(CB$98:CB$132,CB111))</f>
        <v>35</v>
      </c>
      <c r="CD111" s="511">
        <f t="shared" si="50"/>
        <v>13</v>
      </c>
      <c r="CE111" s="511" t="s">
        <v>385</v>
      </c>
      <c r="CF111" s="511">
        <f t="shared" si="51"/>
        <v>0</v>
      </c>
      <c r="CG111" s="511">
        <f t="shared" si="52"/>
        <v>0</v>
      </c>
      <c r="CH111" s="511">
        <f t="shared" si="53"/>
        <v>0</v>
      </c>
      <c r="CI111" s="511">
        <f t="shared" si="54"/>
        <v>0</v>
      </c>
      <c r="CJ111" s="511">
        <f t="shared" si="55"/>
        <v>0</v>
      </c>
      <c r="CK111" s="511">
        <f t="shared" si="56"/>
        <v>0</v>
      </c>
      <c r="CL111" s="511">
        <f t="shared" si="57"/>
        <v>0</v>
      </c>
      <c r="CM111" s="511">
        <f t="shared" si="58"/>
        <v>0</v>
      </c>
      <c r="CN111" s="511">
        <f t="shared" si="59"/>
        <v>0</v>
      </c>
      <c r="CO111" s="511">
        <f t="shared" si="60"/>
        <v>0</v>
      </c>
      <c r="CP111" s="511">
        <f t="shared" si="61"/>
        <v>0</v>
      </c>
      <c r="CQ111" s="511">
        <f t="shared" si="62"/>
        <v>0</v>
      </c>
      <c r="CR111" s="511">
        <f t="shared" si="63"/>
        <v>0</v>
      </c>
      <c r="CS111" s="511">
        <f t="shared" si="64"/>
        <v>0</v>
      </c>
      <c r="CT111" s="511">
        <f>IF(CS111=0,35,_xlfn.RANK.EQ(CS111,CS98:CS132))</f>
        <v>35</v>
      </c>
      <c r="CU111" s="512">
        <f>IF(CT111=35,35,CT111+COUNTIF(CT$98:CT110,CT111)/COUNTIF(CT$98:CT$132,CT111))</f>
        <v>35</v>
      </c>
      <c r="CV111" s="511">
        <f t="shared" si="65"/>
        <v>21</v>
      </c>
      <c r="CW111" s="511" t="s">
        <v>385</v>
      </c>
      <c r="CX111" s="511">
        <f t="shared" si="66"/>
        <v>0</v>
      </c>
      <c r="CY111" s="511">
        <f t="shared" si="67"/>
        <v>0</v>
      </c>
      <c r="CZ111" s="511">
        <f t="shared" si="68"/>
        <v>0</v>
      </c>
      <c r="DA111" s="511">
        <f t="shared" si="69"/>
        <v>0</v>
      </c>
      <c r="DB111" s="511">
        <f t="shared" si="70"/>
        <v>0</v>
      </c>
      <c r="DC111" s="511">
        <f t="shared" si="71"/>
        <v>0</v>
      </c>
      <c r="DD111" s="511">
        <f t="shared" si="72"/>
        <v>0</v>
      </c>
      <c r="DE111" s="511">
        <f t="shared" si="73"/>
        <v>0</v>
      </c>
      <c r="DF111" s="511">
        <f t="shared" si="74"/>
        <v>0</v>
      </c>
      <c r="DG111" s="511">
        <f t="shared" si="75"/>
        <v>0</v>
      </c>
      <c r="DH111" s="511">
        <f t="shared" si="76"/>
        <v>0</v>
      </c>
      <c r="DI111" s="511">
        <f t="shared" si="77"/>
        <v>0</v>
      </c>
      <c r="DJ111" s="511">
        <f t="shared" si="78"/>
        <v>0</v>
      </c>
      <c r="DK111" s="524">
        <f t="shared" si="79"/>
        <v>0</v>
      </c>
      <c r="DL111" s="524">
        <f>IF(DK111=0,35,_xlfn.RANK.EQ(DK111,DK98:DK132))</f>
        <v>35</v>
      </c>
      <c r="DM111" s="772">
        <f>IF(DL111=35,35,DL111+COUNTIF(DL$98:DL110,DL111)/COUNTIF(DL$98:DL$132,DL111))</f>
        <v>35</v>
      </c>
      <c r="DN111" s="524">
        <f t="shared" si="80"/>
        <v>13</v>
      </c>
      <c r="DO111" s="524" t="s">
        <v>385</v>
      </c>
      <c r="DP111" s="474"/>
      <c r="DQ111" s="474"/>
      <c r="DR111" s="527"/>
      <c r="DS111" s="474"/>
      <c r="DT111" s="474"/>
      <c r="DU111" s="474"/>
      <c r="DV111" s="474"/>
      <c r="DW111" s="474"/>
      <c r="DX111" s="474"/>
      <c r="DY111" s="474"/>
      <c r="DZ111" s="474"/>
      <c r="EA111" s="474"/>
      <c r="EB111" s="474"/>
      <c r="EC111" s="474"/>
    </row>
    <row r="112" spans="1:133" s="473" customFormat="1">
      <c r="AC112" s="761">
        <f t="shared" si="7"/>
        <v>15</v>
      </c>
      <c r="AD112" s="497" t="s">
        <v>387</v>
      </c>
      <c r="AE112" s="497">
        <f t="shared" si="8"/>
        <v>10</v>
      </c>
      <c r="AF112" s="497">
        <f t="shared" si="9"/>
        <v>10</v>
      </c>
      <c r="AG112" s="497">
        <f t="shared" si="10"/>
        <v>8</v>
      </c>
      <c r="AH112" s="497">
        <f t="shared" si="11"/>
        <v>9</v>
      </c>
      <c r="AI112" s="497">
        <f t="shared" si="12"/>
        <v>10</v>
      </c>
      <c r="AJ112" s="497">
        <f t="shared" si="13"/>
        <v>9</v>
      </c>
      <c r="AK112" s="497">
        <f t="shared" si="14"/>
        <v>8</v>
      </c>
      <c r="AL112" s="497">
        <f t="shared" si="15"/>
        <v>8</v>
      </c>
      <c r="AM112" s="497">
        <f t="shared" si="16"/>
        <v>8</v>
      </c>
      <c r="AN112" s="497">
        <f t="shared" si="17"/>
        <v>8</v>
      </c>
      <c r="AO112" s="497">
        <f t="shared" si="18"/>
        <v>8</v>
      </c>
      <c r="AP112" s="497">
        <f t="shared" si="19"/>
        <v>8</v>
      </c>
      <c r="AQ112" s="497">
        <f t="shared" si="20"/>
        <v>7</v>
      </c>
      <c r="AR112" s="497">
        <f t="shared" si="21"/>
        <v>111</v>
      </c>
      <c r="AS112" s="497">
        <f>IF(AR112=0,35,_xlfn.RANK.EQ(AR112,AR98:AR132))</f>
        <v>2</v>
      </c>
      <c r="AT112" s="1348">
        <f>IF(AS112=35,35,AS112+COUNTIF(AS$98:AS111,AS112)/COUNTIF(AS$98:AS$132,AS112))</f>
        <v>2</v>
      </c>
      <c r="AU112" s="497">
        <f t="shared" si="22"/>
        <v>2</v>
      </c>
      <c r="AV112" s="497" t="s">
        <v>387</v>
      </c>
      <c r="AW112" s="497">
        <f t="shared" si="23"/>
        <v>0</v>
      </c>
      <c r="AX112" s="497">
        <f t="shared" si="24"/>
        <v>0</v>
      </c>
      <c r="AY112" s="497">
        <f t="shared" si="25"/>
        <v>0</v>
      </c>
      <c r="AZ112" s="497">
        <f t="shared" si="26"/>
        <v>0</v>
      </c>
      <c r="BA112" s="497">
        <f t="shared" si="27"/>
        <v>0</v>
      </c>
      <c r="BB112" s="497">
        <f t="shared" si="28"/>
        <v>0</v>
      </c>
      <c r="BC112" s="497">
        <f t="shared" si="29"/>
        <v>0</v>
      </c>
      <c r="BD112" s="497">
        <f t="shared" si="30"/>
        <v>0</v>
      </c>
      <c r="BE112" s="497">
        <f t="shared" si="31"/>
        <v>0</v>
      </c>
      <c r="BF112" s="497">
        <f t="shared" si="32"/>
        <v>0</v>
      </c>
      <c r="BG112" s="497">
        <f t="shared" si="33"/>
        <v>0</v>
      </c>
      <c r="BH112" s="497">
        <f t="shared" si="34"/>
        <v>0</v>
      </c>
      <c r="BI112" s="497">
        <f t="shared" si="35"/>
        <v>0</v>
      </c>
      <c r="BJ112" s="497">
        <f>IF(BI112=0,35,_xlfn.RANK.EQ(BI112,BI98:BI132))</f>
        <v>35</v>
      </c>
      <c r="BK112" s="1348">
        <f>IF(BJ112=35,35,BJ112+COUNTIF(BJ$98:BJ111,BJ112)/COUNTIF(BJ$98:BJ$132,BJ112))</f>
        <v>35</v>
      </c>
      <c r="BL112" s="497">
        <f t="shared" si="6"/>
        <v>13</v>
      </c>
      <c r="BM112" s="497" t="s">
        <v>387</v>
      </c>
      <c r="BN112" s="497">
        <f t="shared" si="36"/>
        <v>0</v>
      </c>
      <c r="BO112" s="497">
        <f t="shared" si="37"/>
        <v>0</v>
      </c>
      <c r="BP112" s="497">
        <f t="shared" si="38"/>
        <v>0</v>
      </c>
      <c r="BQ112" s="497">
        <f t="shared" si="39"/>
        <v>0</v>
      </c>
      <c r="BR112" s="497">
        <f t="shared" si="40"/>
        <v>0</v>
      </c>
      <c r="BS112" s="497">
        <f t="shared" si="41"/>
        <v>0</v>
      </c>
      <c r="BT112" s="497">
        <f t="shared" si="42"/>
        <v>0</v>
      </c>
      <c r="BU112" s="497">
        <f t="shared" si="43"/>
        <v>0</v>
      </c>
      <c r="BV112" s="497">
        <f t="shared" si="44"/>
        <v>0</v>
      </c>
      <c r="BW112" s="497">
        <f t="shared" si="45"/>
        <v>0</v>
      </c>
      <c r="BX112" s="497">
        <f t="shared" si="46"/>
        <v>0</v>
      </c>
      <c r="BY112" s="497">
        <f t="shared" si="47"/>
        <v>0</v>
      </c>
      <c r="BZ112" s="497">
        <f t="shared" si="48"/>
        <v>0</v>
      </c>
      <c r="CA112" s="511">
        <f t="shared" si="49"/>
        <v>0</v>
      </c>
      <c r="CB112" s="511">
        <f>IF(CA112=0,35,_xlfn.RANK.EQ(CA112,CA98:CA132))</f>
        <v>35</v>
      </c>
      <c r="CC112" s="512">
        <f>IF(CB112=35,35,CB112+COUNTIF(CB$98:CB111,CB112)/COUNTIF(CB$98:CB$132,CB112))</f>
        <v>35</v>
      </c>
      <c r="CD112" s="511">
        <f t="shared" si="50"/>
        <v>13</v>
      </c>
      <c r="CE112" s="511" t="s">
        <v>387</v>
      </c>
      <c r="CF112" s="511">
        <f t="shared" si="51"/>
        <v>0</v>
      </c>
      <c r="CG112" s="511">
        <f t="shared" si="52"/>
        <v>0</v>
      </c>
      <c r="CH112" s="511">
        <f t="shared" si="53"/>
        <v>0</v>
      </c>
      <c r="CI112" s="511">
        <f t="shared" si="54"/>
        <v>0</v>
      </c>
      <c r="CJ112" s="511">
        <f t="shared" si="55"/>
        <v>0</v>
      </c>
      <c r="CK112" s="511">
        <f t="shared" si="56"/>
        <v>0</v>
      </c>
      <c r="CL112" s="511">
        <f t="shared" si="57"/>
        <v>0</v>
      </c>
      <c r="CM112" s="511">
        <f t="shared" si="58"/>
        <v>0</v>
      </c>
      <c r="CN112" s="511">
        <f t="shared" si="59"/>
        <v>0</v>
      </c>
      <c r="CO112" s="511">
        <f t="shared" si="60"/>
        <v>4</v>
      </c>
      <c r="CP112" s="511">
        <f t="shared" si="61"/>
        <v>0</v>
      </c>
      <c r="CQ112" s="511">
        <f t="shared" si="62"/>
        <v>0</v>
      </c>
      <c r="CR112" s="511">
        <f t="shared" si="63"/>
        <v>0</v>
      </c>
      <c r="CS112" s="511">
        <f t="shared" si="64"/>
        <v>4</v>
      </c>
      <c r="CT112" s="511">
        <f>IF(CS112=0,35,_xlfn.RANK.EQ(CS112,CS98:CS132))</f>
        <v>18</v>
      </c>
      <c r="CU112" s="512">
        <f>IF(CT112=35,35,CT112+COUNTIF(CT$98:CT111,CT112)/COUNTIF(CT$98:CT$132,CT112))</f>
        <v>18</v>
      </c>
      <c r="CV112" s="511">
        <f t="shared" si="65"/>
        <v>18</v>
      </c>
      <c r="CW112" s="511" t="s">
        <v>387</v>
      </c>
      <c r="CX112" s="511">
        <f t="shared" si="66"/>
        <v>0</v>
      </c>
      <c r="CY112" s="511">
        <f t="shared" si="67"/>
        <v>0</v>
      </c>
      <c r="CZ112" s="511">
        <f t="shared" si="68"/>
        <v>0</v>
      </c>
      <c r="DA112" s="511">
        <f t="shared" si="69"/>
        <v>0</v>
      </c>
      <c r="DB112" s="511">
        <f t="shared" si="70"/>
        <v>0</v>
      </c>
      <c r="DC112" s="511">
        <f t="shared" si="71"/>
        <v>0</v>
      </c>
      <c r="DD112" s="511">
        <f t="shared" si="72"/>
        <v>0</v>
      </c>
      <c r="DE112" s="511">
        <f t="shared" si="73"/>
        <v>0</v>
      </c>
      <c r="DF112" s="511">
        <f t="shared" si="74"/>
        <v>0</v>
      </c>
      <c r="DG112" s="511">
        <f t="shared" si="75"/>
        <v>0</v>
      </c>
      <c r="DH112" s="511">
        <f t="shared" si="76"/>
        <v>0</v>
      </c>
      <c r="DI112" s="511">
        <f t="shared" si="77"/>
        <v>0</v>
      </c>
      <c r="DJ112" s="511">
        <f t="shared" si="78"/>
        <v>0</v>
      </c>
      <c r="DK112" s="524">
        <f t="shared" si="79"/>
        <v>0</v>
      </c>
      <c r="DL112" s="524">
        <f>IF(DK112=0,35,_xlfn.RANK.EQ(DK112,DK98:DK132))</f>
        <v>35</v>
      </c>
      <c r="DM112" s="772">
        <f>IF(DL112=35,35,DL112+COUNTIF(DL$98:DL111,DL112)/COUNTIF(DL$98:DL$132,DL112))</f>
        <v>35</v>
      </c>
      <c r="DN112" s="524">
        <f t="shared" si="80"/>
        <v>13</v>
      </c>
      <c r="DO112" s="524" t="s">
        <v>387</v>
      </c>
      <c r="DP112" s="474"/>
      <c r="DQ112" s="474"/>
      <c r="DR112" s="527"/>
      <c r="DS112" s="474"/>
      <c r="DT112" s="474"/>
      <c r="DU112" s="474"/>
      <c r="DV112" s="474"/>
      <c r="DW112" s="474"/>
      <c r="DX112" s="474"/>
      <c r="DY112" s="474"/>
      <c r="DZ112" s="474"/>
      <c r="EA112" s="474"/>
      <c r="EB112" s="474"/>
      <c r="EC112" s="474"/>
    </row>
    <row r="113" spans="29:133" s="473" customFormat="1">
      <c r="AC113" s="761">
        <f t="shared" si="7"/>
        <v>16</v>
      </c>
      <c r="AD113" s="497" t="s">
        <v>383</v>
      </c>
      <c r="AE113" s="497">
        <f t="shared" si="8"/>
        <v>8</v>
      </c>
      <c r="AF113" s="497">
        <f t="shared" si="9"/>
        <v>9</v>
      </c>
      <c r="AG113" s="497">
        <f t="shared" si="10"/>
        <v>10</v>
      </c>
      <c r="AH113" s="497">
        <f t="shared" si="11"/>
        <v>10</v>
      </c>
      <c r="AI113" s="497">
        <f t="shared" si="12"/>
        <v>9</v>
      </c>
      <c r="AJ113" s="497">
        <f t="shared" si="13"/>
        <v>8</v>
      </c>
      <c r="AK113" s="497">
        <f t="shared" si="14"/>
        <v>7</v>
      </c>
      <c r="AL113" s="497">
        <f t="shared" si="15"/>
        <v>7</v>
      </c>
      <c r="AM113" s="497">
        <f t="shared" si="16"/>
        <v>7</v>
      </c>
      <c r="AN113" s="497">
        <f t="shared" si="17"/>
        <v>7</v>
      </c>
      <c r="AO113" s="497">
        <f t="shared" si="18"/>
        <v>5</v>
      </c>
      <c r="AP113" s="497">
        <f t="shared" si="19"/>
        <v>7</v>
      </c>
      <c r="AQ113" s="497">
        <f t="shared" si="20"/>
        <v>8</v>
      </c>
      <c r="AR113" s="497">
        <f t="shared" si="21"/>
        <v>102</v>
      </c>
      <c r="AS113" s="497">
        <f>IF(AR113=0,35,_xlfn.RANK.EQ(AR113,AR98:AR132))</f>
        <v>3</v>
      </c>
      <c r="AT113" s="1348">
        <f>IF(AS113=35,35,AS113+COUNTIF(AS$98:AS112,AS113)/COUNTIF(AS$98:AS$132,AS113))</f>
        <v>3</v>
      </c>
      <c r="AU113" s="497">
        <f t="shared" si="22"/>
        <v>3</v>
      </c>
      <c r="AV113" s="497" t="s">
        <v>383</v>
      </c>
      <c r="AW113" s="497">
        <f t="shared" si="23"/>
        <v>0</v>
      </c>
      <c r="AX113" s="497">
        <f t="shared" si="24"/>
        <v>0</v>
      </c>
      <c r="AY113" s="497">
        <f t="shared" si="25"/>
        <v>0</v>
      </c>
      <c r="AZ113" s="497">
        <f t="shared" si="26"/>
        <v>0</v>
      </c>
      <c r="BA113" s="497">
        <f t="shared" si="27"/>
        <v>0</v>
      </c>
      <c r="BB113" s="497">
        <f t="shared" si="28"/>
        <v>0</v>
      </c>
      <c r="BC113" s="497">
        <f t="shared" si="29"/>
        <v>0</v>
      </c>
      <c r="BD113" s="497">
        <f t="shared" si="30"/>
        <v>0</v>
      </c>
      <c r="BE113" s="497">
        <f t="shared" si="31"/>
        <v>0</v>
      </c>
      <c r="BF113" s="497">
        <f t="shared" si="32"/>
        <v>0</v>
      </c>
      <c r="BG113" s="497">
        <f t="shared" si="33"/>
        <v>0</v>
      </c>
      <c r="BH113" s="497">
        <f t="shared" si="34"/>
        <v>0</v>
      </c>
      <c r="BI113" s="497">
        <f t="shared" si="35"/>
        <v>0</v>
      </c>
      <c r="BJ113" s="497">
        <f>IF(BI113=0,35,_xlfn.RANK.EQ(BI113,BI98:BI132))</f>
        <v>35</v>
      </c>
      <c r="BK113" s="1348">
        <f>IF(BJ113=35,35,BJ113+COUNTIF(BJ$98:BJ112,BJ113)/COUNTIF(BJ$98:BJ$132,BJ113))</f>
        <v>35</v>
      </c>
      <c r="BL113" s="497">
        <f t="shared" si="6"/>
        <v>13</v>
      </c>
      <c r="BM113" s="497" t="s">
        <v>383</v>
      </c>
      <c r="BN113" s="497">
        <f t="shared" si="36"/>
        <v>0</v>
      </c>
      <c r="BO113" s="497">
        <f t="shared" si="37"/>
        <v>0</v>
      </c>
      <c r="BP113" s="497">
        <f t="shared" si="38"/>
        <v>0</v>
      </c>
      <c r="BQ113" s="497">
        <f t="shared" si="39"/>
        <v>0</v>
      </c>
      <c r="BR113" s="497">
        <f t="shared" si="40"/>
        <v>0</v>
      </c>
      <c r="BS113" s="497">
        <f t="shared" si="41"/>
        <v>0</v>
      </c>
      <c r="BT113" s="497">
        <f t="shared" si="42"/>
        <v>0</v>
      </c>
      <c r="BU113" s="497">
        <f t="shared" si="43"/>
        <v>0</v>
      </c>
      <c r="BV113" s="497">
        <f t="shared" si="44"/>
        <v>0</v>
      </c>
      <c r="BW113" s="497">
        <f t="shared" si="45"/>
        <v>0</v>
      </c>
      <c r="BX113" s="497">
        <f t="shared" si="46"/>
        <v>0</v>
      </c>
      <c r="BY113" s="497">
        <f t="shared" si="47"/>
        <v>0</v>
      </c>
      <c r="BZ113" s="497">
        <f t="shared" si="48"/>
        <v>0</v>
      </c>
      <c r="CA113" s="511">
        <f t="shared" si="49"/>
        <v>0</v>
      </c>
      <c r="CB113" s="511">
        <f>IF(CA113=0,35,_xlfn.RANK.EQ(CA113,CA98:CA132))</f>
        <v>35</v>
      </c>
      <c r="CC113" s="512">
        <f>IF(CB113=35,35,CB113+COUNTIF(CB$98:CB112,CB113)/COUNTIF(CB$98:CB$132,CB113))</f>
        <v>35</v>
      </c>
      <c r="CD113" s="511">
        <f t="shared" si="50"/>
        <v>13</v>
      </c>
      <c r="CE113" s="511" t="s">
        <v>383</v>
      </c>
      <c r="CF113" s="511">
        <f t="shared" si="51"/>
        <v>8</v>
      </c>
      <c r="CG113" s="511">
        <f t="shared" si="52"/>
        <v>10</v>
      </c>
      <c r="CH113" s="511">
        <f t="shared" si="53"/>
        <v>5</v>
      </c>
      <c r="CI113" s="511">
        <f t="shared" si="54"/>
        <v>4</v>
      </c>
      <c r="CJ113" s="511">
        <f t="shared" si="55"/>
        <v>10</v>
      </c>
      <c r="CK113" s="511">
        <f t="shared" si="56"/>
        <v>0</v>
      </c>
      <c r="CL113" s="511">
        <f t="shared" si="57"/>
        <v>0</v>
      </c>
      <c r="CM113" s="511">
        <f t="shared" si="58"/>
        <v>0</v>
      </c>
      <c r="CN113" s="511">
        <f t="shared" si="59"/>
        <v>0</v>
      </c>
      <c r="CO113" s="511">
        <f t="shared" si="60"/>
        <v>9</v>
      </c>
      <c r="CP113" s="511">
        <f t="shared" si="61"/>
        <v>0</v>
      </c>
      <c r="CQ113" s="511">
        <f t="shared" si="62"/>
        <v>0</v>
      </c>
      <c r="CR113" s="511">
        <f t="shared" si="63"/>
        <v>0</v>
      </c>
      <c r="CS113" s="511">
        <f t="shared" si="64"/>
        <v>46</v>
      </c>
      <c r="CT113" s="511">
        <f>IF(CS113=0,35,_xlfn.RANK.EQ(CS113,CS98:CS132))</f>
        <v>7</v>
      </c>
      <c r="CU113" s="512">
        <f>IF(CT113=35,35,CT113+COUNTIF(CT$98:CT112,CT113)/COUNTIF(CT$98:CT$132,CT113))</f>
        <v>7</v>
      </c>
      <c r="CV113" s="511">
        <f t="shared" si="65"/>
        <v>7</v>
      </c>
      <c r="CW113" s="511" t="s">
        <v>383</v>
      </c>
      <c r="CX113" s="511">
        <f t="shared" si="66"/>
        <v>7</v>
      </c>
      <c r="CY113" s="511">
        <f t="shared" si="67"/>
        <v>9</v>
      </c>
      <c r="CZ113" s="511">
        <f t="shared" si="68"/>
        <v>10</v>
      </c>
      <c r="DA113" s="511">
        <f t="shared" si="69"/>
        <v>10</v>
      </c>
      <c r="DB113" s="511">
        <f t="shared" si="70"/>
        <v>0</v>
      </c>
      <c r="DC113" s="511">
        <f t="shared" si="71"/>
        <v>0</v>
      </c>
      <c r="DD113" s="511">
        <f t="shared" si="72"/>
        <v>0</v>
      </c>
      <c r="DE113" s="511">
        <f t="shared" si="73"/>
        <v>0</v>
      </c>
      <c r="DF113" s="511">
        <f t="shared" si="74"/>
        <v>0</v>
      </c>
      <c r="DG113" s="511">
        <f t="shared" si="75"/>
        <v>10</v>
      </c>
      <c r="DH113" s="511">
        <f t="shared" si="76"/>
        <v>10</v>
      </c>
      <c r="DI113" s="511">
        <f t="shared" si="77"/>
        <v>10</v>
      </c>
      <c r="DJ113" s="511">
        <f t="shared" si="78"/>
        <v>10</v>
      </c>
      <c r="DK113" s="524">
        <f t="shared" si="79"/>
        <v>66</v>
      </c>
      <c r="DL113" s="524">
        <f>IF(DK113=0,35,_xlfn.RANK.EQ(DK113,DK98:DK132))</f>
        <v>5</v>
      </c>
      <c r="DM113" s="772">
        <f>IF(DL113=35,35,DL113+COUNTIF(DL$98:DL112,DL113)/COUNTIF(DL$98:DL$132,DL113))</f>
        <v>5</v>
      </c>
      <c r="DN113" s="524">
        <f t="shared" si="80"/>
        <v>5</v>
      </c>
      <c r="DO113" s="524" t="s">
        <v>383</v>
      </c>
      <c r="DP113" s="474"/>
      <c r="DQ113" s="474"/>
      <c r="DR113" s="527"/>
      <c r="DS113" s="474"/>
      <c r="DT113" s="474"/>
      <c r="DU113" s="474"/>
      <c r="DV113" s="474"/>
      <c r="DW113" s="474"/>
      <c r="DX113" s="474"/>
      <c r="DY113" s="474"/>
      <c r="DZ113" s="474"/>
      <c r="EA113" s="474"/>
      <c r="EB113" s="474"/>
      <c r="EC113" s="474"/>
    </row>
    <row r="114" spans="29:133" s="473" customFormat="1">
      <c r="AC114" s="761">
        <f t="shared" si="7"/>
        <v>17</v>
      </c>
      <c r="AD114" s="497" t="s">
        <v>410</v>
      </c>
      <c r="AE114" s="497">
        <f t="shared" si="8"/>
        <v>0</v>
      </c>
      <c r="AF114" s="497">
        <f t="shared" si="9"/>
        <v>0</v>
      </c>
      <c r="AG114" s="497">
        <f t="shared" si="10"/>
        <v>0</v>
      </c>
      <c r="AH114" s="497">
        <f t="shared" si="11"/>
        <v>0</v>
      </c>
      <c r="AI114" s="497">
        <f t="shared" si="12"/>
        <v>0</v>
      </c>
      <c r="AJ114" s="497">
        <f t="shared" si="13"/>
        <v>0</v>
      </c>
      <c r="AK114" s="497">
        <f t="shared" si="14"/>
        <v>0</v>
      </c>
      <c r="AL114" s="497">
        <f t="shared" si="15"/>
        <v>0</v>
      </c>
      <c r="AM114" s="497">
        <f t="shared" si="16"/>
        <v>0</v>
      </c>
      <c r="AN114" s="497">
        <f t="shared" si="17"/>
        <v>0</v>
      </c>
      <c r="AO114" s="497">
        <f t="shared" si="18"/>
        <v>0</v>
      </c>
      <c r="AP114" s="497">
        <f t="shared" si="19"/>
        <v>0</v>
      </c>
      <c r="AQ114" s="497">
        <f t="shared" si="20"/>
        <v>0</v>
      </c>
      <c r="AR114" s="497">
        <f t="shared" si="21"/>
        <v>0</v>
      </c>
      <c r="AS114" s="497">
        <f>IF(AR114=0,35,_xlfn.RANK.EQ(AR114,AR98:AR132))</f>
        <v>35</v>
      </c>
      <c r="AT114" s="1348">
        <f>IF(AS114=35,35,AS114+COUNTIF(AS$98:AS113,AS114)/COUNTIF(AS$98:AS$132,AS114))</f>
        <v>35</v>
      </c>
      <c r="AU114" s="497">
        <f t="shared" si="22"/>
        <v>12</v>
      </c>
      <c r="AV114" s="497" t="s">
        <v>410</v>
      </c>
      <c r="AW114" s="497">
        <f t="shared" si="23"/>
        <v>0</v>
      </c>
      <c r="AX114" s="497">
        <f t="shared" si="24"/>
        <v>0</v>
      </c>
      <c r="AY114" s="497">
        <f t="shared" si="25"/>
        <v>0</v>
      </c>
      <c r="AZ114" s="497">
        <f t="shared" si="26"/>
        <v>0</v>
      </c>
      <c r="BA114" s="497">
        <f t="shared" si="27"/>
        <v>0</v>
      </c>
      <c r="BB114" s="497">
        <f t="shared" si="28"/>
        <v>0</v>
      </c>
      <c r="BC114" s="497">
        <f t="shared" si="29"/>
        <v>0</v>
      </c>
      <c r="BD114" s="497">
        <f t="shared" si="30"/>
        <v>0</v>
      </c>
      <c r="BE114" s="497">
        <f t="shared" si="31"/>
        <v>0</v>
      </c>
      <c r="BF114" s="497">
        <f t="shared" si="32"/>
        <v>0</v>
      </c>
      <c r="BG114" s="497">
        <f t="shared" si="33"/>
        <v>0</v>
      </c>
      <c r="BH114" s="497">
        <f t="shared" si="34"/>
        <v>0</v>
      </c>
      <c r="BI114" s="497">
        <f t="shared" si="35"/>
        <v>0</v>
      </c>
      <c r="BJ114" s="497">
        <f>IF(BI114=0,35,_xlfn.RANK.EQ(BI114,BI98:BI132))</f>
        <v>35</v>
      </c>
      <c r="BK114" s="1348">
        <f>IF(BJ114=35,35,BJ114+COUNTIF(BJ$98:BJ113,BJ114)/COUNTIF(BJ$98:BJ$132,BJ114))</f>
        <v>35</v>
      </c>
      <c r="BL114" s="497">
        <f t="shared" si="6"/>
        <v>13</v>
      </c>
      <c r="BM114" s="497" t="s">
        <v>410</v>
      </c>
      <c r="BN114" s="497">
        <f t="shared" si="36"/>
        <v>0</v>
      </c>
      <c r="BO114" s="497">
        <f t="shared" si="37"/>
        <v>0</v>
      </c>
      <c r="BP114" s="497">
        <f t="shared" si="38"/>
        <v>0</v>
      </c>
      <c r="BQ114" s="497">
        <f t="shared" si="39"/>
        <v>0</v>
      </c>
      <c r="BR114" s="497">
        <f t="shared" si="40"/>
        <v>0</v>
      </c>
      <c r="BS114" s="497">
        <f t="shared" si="41"/>
        <v>0</v>
      </c>
      <c r="BT114" s="497">
        <f t="shared" si="42"/>
        <v>0</v>
      </c>
      <c r="BU114" s="497">
        <f t="shared" si="43"/>
        <v>0</v>
      </c>
      <c r="BV114" s="497">
        <f t="shared" si="44"/>
        <v>0</v>
      </c>
      <c r="BW114" s="497">
        <f t="shared" si="45"/>
        <v>0</v>
      </c>
      <c r="BX114" s="497">
        <f t="shared" si="46"/>
        <v>0</v>
      </c>
      <c r="BY114" s="497">
        <f t="shared" si="47"/>
        <v>0</v>
      </c>
      <c r="BZ114" s="497">
        <f t="shared" si="48"/>
        <v>0</v>
      </c>
      <c r="CA114" s="511">
        <f t="shared" si="49"/>
        <v>0</v>
      </c>
      <c r="CB114" s="511">
        <f>IF(CA114=0,35,_xlfn.RANK.EQ(CA114,CA98:CA132))</f>
        <v>35</v>
      </c>
      <c r="CC114" s="512">
        <f>IF(CB114=35,35,CB114+COUNTIF(CB$98:CB113,CB114)/COUNTIF(CB$98:CB$132,CB114))</f>
        <v>35</v>
      </c>
      <c r="CD114" s="511">
        <f t="shared" si="50"/>
        <v>13</v>
      </c>
      <c r="CE114" s="511" t="s">
        <v>410</v>
      </c>
      <c r="CF114" s="511">
        <f t="shared" si="51"/>
        <v>0</v>
      </c>
      <c r="CG114" s="511">
        <f t="shared" si="52"/>
        <v>0</v>
      </c>
      <c r="CH114" s="511">
        <f t="shared" si="53"/>
        <v>0</v>
      </c>
      <c r="CI114" s="511">
        <f t="shared" si="54"/>
        <v>0</v>
      </c>
      <c r="CJ114" s="511">
        <f t="shared" si="55"/>
        <v>0</v>
      </c>
      <c r="CK114" s="511">
        <f t="shared" si="56"/>
        <v>0</v>
      </c>
      <c r="CL114" s="511">
        <f t="shared" si="57"/>
        <v>0</v>
      </c>
      <c r="CM114" s="511">
        <f t="shared" si="58"/>
        <v>0</v>
      </c>
      <c r="CN114" s="511">
        <f t="shared" si="59"/>
        <v>0</v>
      </c>
      <c r="CO114" s="511">
        <f t="shared" si="60"/>
        <v>0</v>
      </c>
      <c r="CP114" s="511">
        <f t="shared" si="61"/>
        <v>0</v>
      </c>
      <c r="CQ114" s="511">
        <f t="shared" si="62"/>
        <v>0</v>
      </c>
      <c r="CR114" s="511">
        <f t="shared" si="63"/>
        <v>0</v>
      </c>
      <c r="CS114" s="511">
        <f t="shared" si="64"/>
        <v>0</v>
      </c>
      <c r="CT114" s="511">
        <f>IF(CS114=0,35,_xlfn.RANK.EQ(CS114,CS98:CS132))</f>
        <v>35</v>
      </c>
      <c r="CU114" s="512">
        <f>IF(CT114=35,35,CT114+COUNTIF(CT$98:CT113,CT114)/COUNTIF(CT$98:CT$132,CT114))</f>
        <v>35</v>
      </c>
      <c r="CV114" s="511">
        <f t="shared" si="65"/>
        <v>21</v>
      </c>
      <c r="CW114" s="511" t="s">
        <v>410</v>
      </c>
      <c r="CX114" s="511">
        <f t="shared" si="66"/>
        <v>0</v>
      </c>
      <c r="CY114" s="511">
        <f t="shared" si="67"/>
        <v>0</v>
      </c>
      <c r="CZ114" s="511">
        <f t="shared" si="68"/>
        <v>0</v>
      </c>
      <c r="DA114" s="511">
        <f t="shared" si="69"/>
        <v>0</v>
      </c>
      <c r="DB114" s="511">
        <f t="shared" si="70"/>
        <v>0</v>
      </c>
      <c r="DC114" s="511">
        <f t="shared" si="71"/>
        <v>0</v>
      </c>
      <c r="DD114" s="511">
        <f t="shared" si="72"/>
        <v>0</v>
      </c>
      <c r="DE114" s="511">
        <f t="shared" si="73"/>
        <v>0</v>
      </c>
      <c r="DF114" s="511">
        <f t="shared" si="74"/>
        <v>0</v>
      </c>
      <c r="DG114" s="511">
        <f t="shared" si="75"/>
        <v>0</v>
      </c>
      <c r="DH114" s="511">
        <f t="shared" si="76"/>
        <v>0</v>
      </c>
      <c r="DI114" s="511">
        <f t="shared" si="77"/>
        <v>0</v>
      </c>
      <c r="DJ114" s="511">
        <f t="shared" si="78"/>
        <v>0</v>
      </c>
      <c r="DK114" s="524">
        <f t="shared" si="79"/>
        <v>0</v>
      </c>
      <c r="DL114" s="524">
        <f>IF(DK114=0,35,_xlfn.RANK.EQ(DK114,DK98:DK132))</f>
        <v>35</v>
      </c>
      <c r="DM114" s="772">
        <f>IF(DL114=35,35,DL114+COUNTIF(DL$98:DL113,DL114)/COUNTIF(DL$98:DL$132,DL114))</f>
        <v>35</v>
      </c>
      <c r="DN114" s="524">
        <f t="shared" si="80"/>
        <v>13</v>
      </c>
      <c r="DO114" s="524" t="s">
        <v>410</v>
      </c>
      <c r="DP114" s="474"/>
      <c r="DQ114" s="474"/>
      <c r="DR114" s="527"/>
      <c r="DS114" s="474"/>
      <c r="DT114" s="474"/>
      <c r="DU114" s="474"/>
      <c r="DV114" s="474"/>
      <c r="DW114" s="474"/>
      <c r="DX114" s="474"/>
      <c r="DY114" s="474"/>
      <c r="DZ114" s="474"/>
      <c r="EA114" s="474"/>
      <c r="EB114" s="474"/>
      <c r="EC114" s="474"/>
    </row>
    <row r="115" spans="29:133" s="473" customFormat="1">
      <c r="AC115" s="761">
        <f t="shared" si="7"/>
        <v>18</v>
      </c>
      <c r="AD115" s="497" t="s">
        <v>398</v>
      </c>
      <c r="AE115" s="497">
        <f t="shared" si="8"/>
        <v>0</v>
      </c>
      <c r="AF115" s="497">
        <f t="shared" si="9"/>
        <v>0</v>
      </c>
      <c r="AG115" s="497">
        <f t="shared" si="10"/>
        <v>0</v>
      </c>
      <c r="AH115" s="497">
        <f t="shared" si="11"/>
        <v>0</v>
      </c>
      <c r="AI115" s="497">
        <f t="shared" si="12"/>
        <v>0</v>
      </c>
      <c r="AJ115" s="497">
        <f t="shared" si="13"/>
        <v>0</v>
      </c>
      <c r="AK115" s="497">
        <f t="shared" si="14"/>
        <v>0</v>
      </c>
      <c r="AL115" s="497">
        <f t="shared" si="15"/>
        <v>0</v>
      </c>
      <c r="AM115" s="497">
        <f t="shared" si="16"/>
        <v>0</v>
      </c>
      <c r="AN115" s="497">
        <f t="shared" si="17"/>
        <v>0</v>
      </c>
      <c r="AO115" s="497">
        <f t="shared" si="18"/>
        <v>0</v>
      </c>
      <c r="AP115" s="497">
        <f t="shared" si="19"/>
        <v>0</v>
      </c>
      <c r="AQ115" s="497">
        <f t="shared" si="20"/>
        <v>0</v>
      </c>
      <c r="AR115" s="497">
        <f t="shared" si="21"/>
        <v>0</v>
      </c>
      <c r="AS115" s="497">
        <f>IF(AR115=0,35,_xlfn.RANK.EQ(AR115,AR98:AR132))</f>
        <v>35</v>
      </c>
      <c r="AT115" s="1348">
        <f>IF(AS115=35,35,AS115+COUNTIF(AS$98:AS114,AS115)/COUNTIF(AS$98:AS$132,AS115))</f>
        <v>35</v>
      </c>
      <c r="AU115" s="497">
        <f t="shared" si="22"/>
        <v>12</v>
      </c>
      <c r="AV115" s="497" t="s">
        <v>398</v>
      </c>
      <c r="AW115" s="497">
        <f t="shared" si="23"/>
        <v>0</v>
      </c>
      <c r="AX115" s="497">
        <f t="shared" si="24"/>
        <v>0</v>
      </c>
      <c r="AY115" s="497">
        <f t="shared" si="25"/>
        <v>0</v>
      </c>
      <c r="AZ115" s="497">
        <f t="shared" si="26"/>
        <v>0</v>
      </c>
      <c r="BA115" s="497">
        <f t="shared" si="27"/>
        <v>0</v>
      </c>
      <c r="BB115" s="497">
        <f t="shared" si="28"/>
        <v>0</v>
      </c>
      <c r="BC115" s="497">
        <f t="shared" si="29"/>
        <v>0</v>
      </c>
      <c r="BD115" s="497">
        <f t="shared" si="30"/>
        <v>0</v>
      </c>
      <c r="BE115" s="497">
        <f t="shared" si="31"/>
        <v>0</v>
      </c>
      <c r="BF115" s="497">
        <f t="shared" si="32"/>
        <v>0</v>
      </c>
      <c r="BG115" s="497">
        <f t="shared" si="33"/>
        <v>0</v>
      </c>
      <c r="BH115" s="497">
        <f t="shared" si="34"/>
        <v>0</v>
      </c>
      <c r="BI115" s="497">
        <f t="shared" si="35"/>
        <v>0</v>
      </c>
      <c r="BJ115" s="497">
        <f>IF(BI115=0,35,_xlfn.RANK.EQ(BI115,BI98:BI132))</f>
        <v>35</v>
      </c>
      <c r="BK115" s="1348">
        <f>IF(BJ115=35,35,BJ115+COUNTIF(BJ$98:BJ114,BJ115)/COUNTIF(BJ$98:BJ$132,BJ115))</f>
        <v>35</v>
      </c>
      <c r="BL115" s="497">
        <f t="shared" si="6"/>
        <v>13</v>
      </c>
      <c r="BM115" s="497" t="s">
        <v>398</v>
      </c>
      <c r="BN115" s="497">
        <f t="shared" si="36"/>
        <v>0</v>
      </c>
      <c r="BO115" s="497">
        <f t="shared" si="37"/>
        <v>0</v>
      </c>
      <c r="BP115" s="497">
        <f t="shared" si="38"/>
        <v>0</v>
      </c>
      <c r="BQ115" s="497">
        <f t="shared" si="39"/>
        <v>0</v>
      </c>
      <c r="BR115" s="497">
        <f t="shared" si="40"/>
        <v>0</v>
      </c>
      <c r="BS115" s="497">
        <f t="shared" si="41"/>
        <v>0</v>
      </c>
      <c r="BT115" s="497">
        <f t="shared" si="42"/>
        <v>0</v>
      </c>
      <c r="BU115" s="497">
        <f t="shared" si="43"/>
        <v>0</v>
      </c>
      <c r="BV115" s="497">
        <f t="shared" si="44"/>
        <v>0</v>
      </c>
      <c r="BW115" s="497">
        <f t="shared" si="45"/>
        <v>0</v>
      </c>
      <c r="BX115" s="497">
        <f t="shared" si="46"/>
        <v>0</v>
      </c>
      <c r="BY115" s="497">
        <f t="shared" si="47"/>
        <v>0</v>
      </c>
      <c r="BZ115" s="497">
        <f t="shared" si="48"/>
        <v>0</v>
      </c>
      <c r="CA115" s="511">
        <f t="shared" si="49"/>
        <v>0</v>
      </c>
      <c r="CB115" s="511">
        <f>IF(CA115=0,35,_xlfn.RANK.EQ(CA115,CA98:CA132))</f>
        <v>35</v>
      </c>
      <c r="CC115" s="512">
        <f>IF(CB115=35,35,CB115+COUNTIF(CB$98:CB114,CB115)/COUNTIF(CB$98:CB$132,CB115))</f>
        <v>35</v>
      </c>
      <c r="CD115" s="511">
        <f t="shared" si="50"/>
        <v>13</v>
      </c>
      <c r="CE115" s="511" t="s">
        <v>398</v>
      </c>
      <c r="CF115" s="511">
        <f t="shared" si="51"/>
        <v>10</v>
      </c>
      <c r="CG115" s="511">
        <f t="shared" si="52"/>
        <v>7</v>
      </c>
      <c r="CH115" s="511">
        <f t="shared" si="53"/>
        <v>4</v>
      </c>
      <c r="CI115" s="511">
        <f t="shared" si="54"/>
        <v>5</v>
      </c>
      <c r="CJ115" s="511">
        <f t="shared" si="55"/>
        <v>5</v>
      </c>
      <c r="CK115" s="511">
        <f t="shared" si="56"/>
        <v>8</v>
      </c>
      <c r="CL115" s="511">
        <f t="shared" si="57"/>
        <v>8</v>
      </c>
      <c r="CM115" s="511">
        <f t="shared" si="58"/>
        <v>0</v>
      </c>
      <c r="CN115" s="511">
        <f t="shared" si="59"/>
        <v>0</v>
      </c>
      <c r="CO115" s="511">
        <f t="shared" si="60"/>
        <v>0</v>
      </c>
      <c r="CP115" s="511">
        <f t="shared" si="61"/>
        <v>0</v>
      </c>
      <c r="CQ115" s="511">
        <f t="shared" si="62"/>
        <v>0</v>
      </c>
      <c r="CR115" s="511">
        <f t="shared" si="63"/>
        <v>0</v>
      </c>
      <c r="CS115" s="511">
        <f t="shared" si="64"/>
        <v>47</v>
      </c>
      <c r="CT115" s="511">
        <f>IF(CS115=0,35,_xlfn.RANK.EQ(CS115,CS98:CS132))</f>
        <v>6</v>
      </c>
      <c r="CU115" s="512">
        <f>IF(CT115=35,35,CT115+COUNTIF(CT$98:CT114,CT115)/COUNTIF(CT$98:CT$132,CT115))</f>
        <v>6</v>
      </c>
      <c r="CV115" s="511">
        <f t="shared" si="65"/>
        <v>6</v>
      </c>
      <c r="CW115" s="511" t="s">
        <v>398</v>
      </c>
      <c r="CX115" s="511">
        <f t="shared" si="66"/>
        <v>0</v>
      </c>
      <c r="CY115" s="511">
        <f t="shared" si="67"/>
        <v>0</v>
      </c>
      <c r="CZ115" s="511">
        <f t="shared" si="68"/>
        <v>0</v>
      </c>
      <c r="DA115" s="511">
        <f t="shared" si="69"/>
        <v>0</v>
      </c>
      <c r="DB115" s="511">
        <f t="shared" si="70"/>
        <v>0</v>
      </c>
      <c r="DC115" s="511">
        <f t="shared" si="71"/>
        <v>0</v>
      </c>
      <c r="DD115" s="511">
        <f t="shared" si="72"/>
        <v>0</v>
      </c>
      <c r="DE115" s="511">
        <f t="shared" si="73"/>
        <v>0</v>
      </c>
      <c r="DF115" s="511">
        <f t="shared" si="74"/>
        <v>0</v>
      </c>
      <c r="DG115" s="511">
        <f t="shared" si="75"/>
        <v>0</v>
      </c>
      <c r="DH115" s="511">
        <f t="shared" si="76"/>
        <v>0</v>
      </c>
      <c r="DI115" s="511">
        <f t="shared" si="77"/>
        <v>0</v>
      </c>
      <c r="DJ115" s="511">
        <f t="shared" si="78"/>
        <v>0</v>
      </c>
      <c r="DK115" s="524">
        <f t="shared" si="79"/>
        <v>0</v>
      </c>
      <c r="DL115" s="524">
        <f>IF(DK115=0,35,_xlfn.RANK.EQ(DK115,DK98:DK132))</f>
        <v>35</v>
      </c>
      <c r="DM115" s="772">
        <f>IF(DL115=35,35,DL115+COUNTIF(DL$98:DL114,DL115)/COUNTIF(DL$98:DL$132,DL115))</f>
        <v>35</v>
      </c>
      <c r="DN115" s="524">
        <f t="shared" si="80"/>
        <v>13</v>
      </c>
      <c r="DO115" s="524" t="s">
        <v>398</v>
      </c>
      <c r="DP115" s="474"/>
      <c r="DQ115" s="474"/>
      <c r="DR115" s="527"/>
      <c r="DS115" s="474"/>
      <c r="DT115" s="474"/>
      <c r="DU115" s="474"/>
      <c r="DV115" s="474"/>
      <c r="DW115" s="474"/>
      <c r="DX115" s="474"/>
      <c r="DY115" s="474"/>
      <c r="DZ115" s="474"/>
      <c r="EA115" s="474"/>
      <c r="EB115" s="474"/>
      <c r="EC115" s="474"/>
    </row>
    <row r="116" spans="29:133" s="473" customFormat="1">
      <c r="AC116" s="761">
        <f t="shared" si="7"/>
        <v>19</v>
      </c>
      <c r="AD116" s="497" t="s">
        <v>401</v>
      </c>
      <c r="AE116" s="497">
        <f t="shared" si="8"/>
        <v>0</v>
      </c>
      <c r="AF116" s="497">
        <f t="shared" si="9"/>
        <v>0</v>
      </c>
      <c r="AG116" s="497">
        <f t="shared" si="10"/>
        <v>0</v>
      </c>
      <c r="AH116" s="497">
        <f t="shared" si="11"/>
        <v>0</v>
      </c>
      <c r="AI116" s="497">
        <f t="shared" si="12"/>
        <v>0</v>
      </c>
      <c r="AJ116" s="497">
        <f t="shared" si="13"/>
        <v>0</v>
      </c>
      <c r="AK116" s="497">
        <f t="shared" si="14"/>
        <v>0</v>
      </c>
      <c r="AL116" s="497">
        <f t="shared" si="15"/>
        <v>0</v>
      </c>
      <c r="AM116" s="497">
        <f t="shared" si="16"/>
        <v>0</v>
      </c>
      <c r="AN116" s="497">
        <f t="shared" si="17"/>
        <v>0</v>
      </c>
      <c r="AO116" s="497">
        <f t="shared" si="18"/>
        <v>0</v>
      </c>
      <c r="AP116" s="497">
        <f t="shared" si="19"/>
        <v>0</v>
      </c>
      <c r="AQ116" s="497">
        <f t="shared" si="20"/>
        <v>0</v>
      </c>
      <c r="AR116" s="497">
        <f t="shared" si="21"/>
        <v>0</v>
      </c>
      <c r="AS116" s="497">
        <f>IF(AR116=0,35,_xlfn.RANK.EQ(AR116,AR98:AR132))</f>
        <v>35</v>
      </c>
      <c r="AT116" s="1348">
        <f>IF(AS116=35,35,AS116+COUNTIF(AS$98:AS115,AS116)/COUNTIF(AS$98:AS$132,AS116))</f>
        <v>35</v>
      </c>
      <c r="AU116" s="497">
        <f t="shared" si="22"/>
        <v>12</v>
      </c>
      <c r="AV116" s="497" t="s">
        <v>401</v>
      </c>
      <c r="AW116" s="497">
        <f t="shared" si="23"/>
        <v>0</v>
      </c>
      <c r="AX116" s="497">
        <f t="shared" si="24"/>
        <v>0</v>
      </c>
      <c r="AY116" s="497">
        <f t="shared" si="25"/>
        <v>0</v>
      </c>
      <c r="AZ116" s="497">
        <f t="shared" si="26"/>
        <v>0</v>
      </c>
      <c r="BA116" s="497">
        <f t="shared" si="27"/>
        <v>0</v>
      </c>
      <c r="BB116" s="497">
        <f t="shared" si="28"/>
        <v>0</v>
      </c>
      <c r="BC116" s="497">
        <f t="shared" si="29"/>
        <v>0</v>
      </c>
      <c r="BD116" s="497">
        <f t="shared" si="30"/>
        <v>0</v>
      </c>
      <c r="BE116" s="497">
        <f t="shared" si="31"/>
        <v>0</v>
      </c>
      <c r="BF116" s="497">
        <f t="shared" si="32"/>
        <v>0</v>
      </c>
      <c r="BG116" s="497">
        <f t="shared" si="33"/>
        <v>0</v>
      </c>
      <c r="BH116" s="497">
        <f t="shared" si="34"/>
        <v>0</v>
      </c>
      <c r="BI116" s="497">
        <f t="shared" si="35"/>
        <v>0</v>
      </c>
      <c r="BJ116" s="497">
        <f>IF(BI116=0,35,_xlfn.RANK.EQ(BI116,BI98:BI132))</f>
        <v>35</v>
      </c>
      <c r="BK116" s="1348">
        <f>IF(BJ116=35,35,BJ116+COUNTIF(BJ$98:BJ115,BJ116)/COUNTIF(BJ$98:BJ$132,BJ116))</f>
        <v>35</v>
      </c>
      <c r="BL116" s="497">
        <f t="shared" si="6"/>
        <v>13</v>
      </c>
      <c r="BM116" s="497" t="s">
        <v>401</v>
      </c>
      <c r="BN116" s="497">
        <f t="shared" si="36"/>
        <v>0</v>
      </c>
      <c r="BO116" s="497">
        <f t="shared" si="37"/>
        <v>0</v>
      </c>
      <c r="BP116" s="497">
        <f t="shared" si="38"/>
        <v>0</v>
      </c>
      <c r="BQ116" s="497">
        <f t="shared" si="39"/>
        <v>0</v>
      </c>
      <c r="BR116" s="497">
        <f t="shared" si="40"/>
        <v>0</v>
      </c>
      <c r="BS116" s="497">
        <f t="shared" si="41"/>
        <v>0</v>
      </c>
      <c r="BT116" s="497">
        <f t="shared" si="42"/>
        <v>0</v>
      </c>
      <c r="BU116" s="497">
        <f t="shared" si="43"/>
        <v>0</v>
      </c>
      <c r="BV116" s="497">
        <f t="shared" si="44"/>
        <v>0</v>
      </c>
      <c r="BW116" s="497">
        <f t="shared" si="45"/>
        <v>0</v>
      </c>
      <c r="BX116" s="497">
        <f t="shared" si="46"/>
        <v>0</v>
      </c>
      <c r="BY116" s="497">
        <f t="shared" si="47"/>
        <v>0</v>
      </c>
      <c r="BZ116" s="497">
        <f t="shared" si="48"/>
        <v>0</v>
      </c>
      <c r="CA116" s="511">
        <f t="shared" si="49"/>
        <v>0</v>
      </c>
      <c r="CB116" s="511">
        <f>IF(CA116=0,35,_xlfn.RANK.EQ(CA116,CA98:CA132))</f>
        <v>35</v>
      </c>
      <c r="CC116" s="512">
        <f>IF(CB116=35,35,CB116+COUNTIF(CB$98:CB115,CB116)/COUNTIF(CB$98:CB$132,CB116))</f>
        <v>35</v>
      </c>
      <c r="CD116" s="511">
        <f t="shared" si="50"/>
        <v>13</v>
      </c>
      <c r="CE116" s="511" t="s">
        <v>401</v>
      </c>
      <c r="CF116" s="511">
        <f t="shared" si="51"/>
        <v>9</v>
      </c>
      <c r="CG116" s="511">
        <f t="shared" si="52"/>
        <v>6</v>
      </c>
      <c r="CH116" s="511">
        <f t="shared" si="53"/>
        <v>6</v>
      </c>
      <c r="CI116" s="511">
        <f t="shared" si="54"/>
        <v>8</v>
      </c>
      <c r="CJ116" s="511">
        <f t="shared" si="55"/>
        <v>0</v>
      </c>
      <c r="CK116" s="511">
        <f t="shared" si="56"/>
        <v>7</v>
      </c>
      <c r="CL116" s="511">
        <f t="shared" si="57"/>
        <v>7</v>
      </c>
      <c r="CM116" s="511">
        <f t="shared" si="58"/>
        <v>0</v>
      </c>
      <c r="CN116" s="511">
        <f t="shared" si="59"/>
        <v>0</v>
      </c>
      <c r="CO116" s="511">
        <f t="shared" si="60"/>
        <v>5</v>
      </c>
      <c r="CP116" s="511">
        <f t="shared" si="61"/>
        <v>0</v>
      </c>
      <c r="CQ116" s="511">
        <f t="shared" si="62"/>
        <v>0</v>
      </c>
      <c r="CR116" s="511">
        <f t="shared" si="63"/>
        <v>0</v>
      </c>
      <c r="CS116" s="511">
        <f t="shared" si="64"/>
        <v>48</v>
      </c>
      <c r="CT116" s="511">
        <f>IF(CS116=0,35,_xlfn.RANK.EQ(CS116,CS98:CS132))</f>
        <v>5</v>
      </c>
      <c r="CU116" s="512">
        <f>IF(CT116=35,35,CT116+COUNTIF(CT$98:CT115,CT116)/COUNTIF(CT$98:CT$132,CT116))</f>
        <v>5</v>
      </c>
      <c r="CV116" s="511">
        <f t="shared" si="65"/>
        <v>5</v>
      </c>
      <c r="CW116" s="511" t="s">
        <v>401</v>
      </c>
      <c r="CX116" s="511">
        <f t="shared" si="66"/>
        <v>0</v>
      </c>
      <c r="CY116" s="511">
        <f t="shared" si="67"/>
        <v>0</v>
      </c>
      <c r="CZ116" s="511">
        <f t="shared" si="68"/>
        <v>0</v>
      </c>
      <c r="DA116" s="511">
        <f t="shared" si="69"/>
        <v>0</v>
      </c>
      <c r="DB116" s="511">
        <f t="shared" si="70"/>
        <v>0</v>
      </c>
      <c r="DC116" s="511">
        <f t="shared" si="71"/>
        <v>0</v>
      </c>
      <c r="DD116" s="511">
        <f t="shared" si="72"/>
        <v>0</v>
      </c>
      <c r="DE116" s="511">
        <f t="shared" si="73"/>
        <v>0</v>
      </c>
      <c r="DF116" s="511">
        <f t="shared" si="74"/>
        <v>0</v>
      </c>
      <c r="DG116" s="511">
        <f t="shared" si="75"/>
        <v>0</v>
      </c>
      <c r="DH116" s="511">
        <f t="shared" si="76"/>
        <v>0</v>
      </c>
      <c r="DI116" s="511">
        <f t="shared" si="77"/>
        <v>0</v>
      </c>
      <c r="DJ116" s="511">
        <f t="shared" si="78"/>
        <v>0</v>
      </c>
      <c r="DK116" s="524">
        <f t="shared" si="79"/>
        <v>0</v>
      </c>
      <c r="DL116" s="524">
        <f>IF(DK116=0,35,_xlfn.RANK.EQ(DK116,DK98:DK132))</f>
        <v>35</v>
      </c>
      <c r="DM116" s="772">
        <f>IF(DL116=35,35,DL116+COUNTIF(DL$98:DL115,DL116)/COUNTIF(DL$98:DL$132,DL116))</f>
        <v>35</v>
      </c>
      <c r="DN116" s="524">
        <f t="shared" si="80"/>
        <v>13</v>
      </c>
      <c r="DO116" s="524" t="s">
        <v>401</v>
      </c>
      <c r="DP116" s="474"/>
      <c r="DQ116" s="474"/>
      <c r="DR116" s="527"/>
      <c r="DS116" s="474"/>
      <c r="DT116" s="474"/>
      <c r="DU116" s="474"/>
      <c r="DV116" s="474"/>
      <c r="DW116" s="474"/>
      <c r="DX116" s="474"/>
      <c r="DY116" s="474"/>
      <c r="DZ116" s="474"/>
      <c r="EA116" s="474"/>
      <c r="EB116" s="474"/>
      <c r="EC116" s="474"/>
    </row>
    <row r="117" spans="29:133" s="473" customFormat="1">
      <c r="AC117" s="761">
        <f t="shared" si="7"/>
        <v>20</v>
      </c>
      <c r="AD117" s="497" t="s">
        <v>402</v>
      </c>
      <c r="AE117" s="497">
        <f t="shared" si="8"/>
        <v>0</v>
      </c>
      <c r="AF117" s="497">
        <f t="shared" si="9"/>
        <v>0</v>
      </c>
      <c r="AG117" s="497">
        <f t="shared" si="10"/>
        <v>0</v>
      </c>
      <c r="AH117" s="497">
        <f t="shared" si="11"/>
        <v>0</v>
      </c>
      <c r="AI117" s="497">
        <f t="shared" si="12"/>
        <v>0</v>
      </c>
      <c r="AJ117" s="497">
        <f t="shared" si="13"/>
        <v>0</v>
      </c>
      <c r="AK117" s="497">
        <f t="shared" si="14"/>
        <v>0</v>
      </c>
      <c r="AL117" s="497">
        <f t="shared" si="15"/>
        <v>0</v>
      </c>
      <c r="AM117" s="497">
        <f t="shared" si="16"/>
        <v>0</v>
      </c>
      <c r="AN117" s="497">
        <f t="shared" si="17"/>
        <v>0</v>
      </c>
      <c r="AO117" s="497">
        <f t="shared" si="18"/>
        <v>0</v>
      </c>
      <c r="AP117" s="497">
        <f t="shared" si="19"/>
        <v>0</v>
      </c>
      <c r="AQ117" s="497">
        <f t="shared" si="20"/>
        <v>0</v>
      </c>
      <c r="AR117" s="497">
        <f t="shared" si="21"/>
        <v>0</v>
      </c>
      <c r="AS117" s="497">
        <f>IF(AR117=0,35,_xlfn.RANK.EQ(AR117,AR98:AR132))</f>
        <v>35</v>
      </c>
      <c r="AT117" s="1348">
        <f>IF(AS117=35,35,AS117+COUNTIF(AS$98:AS116,AS117)/COUNTIF(AS$98:AS$132,AS117))</f>
        <v>35</v>
      </c>
      <c r="AU117" s="497">
        <f t="shared" si="22"/>
        <v>12</v>
      </c>
      <c r="AV117" s="497" t="s">
        <v>402</v>
      </c>
      <c r="AW117" s="497">
        <f t="shared" si="23"/>
        <v>0</v>
      </c>
      <c r="AX117" s="497">
        <f t="shared" si="24"/>
        <v>0</v>
      </c>
      <c r="AY117" s="497">
        <f t="shared" si="25"/>
        <v>0</v>
      </c>
      <c r="AZ117" s="497">
        <f t="shared" si="26"/>
        <v>0</v>
      </c>
      <c r="BA117" s="497">
        <f t="shared" si="27"/>
        <v>0</v>
      </c>
      <c r="BB117" s="497">
        <f t="shared" si="28"/>
        <v>0</v>
      </c>
      <c r="BC117" s="497">
        <f t="shared" si="29"/>
        <v>0</v>
      </c>
      <c r="BD117" s="497">
        <f t="shared" si="30"/>
        <v>0</v>
      </c>
      <c r="BE117" s="497">
        <f t="shared" si="31"/>
        <v>0</v>
      </c>
      <c r="BF117" s="497">
        <f t="shared" si="32"/>
        <v>0</v>
      </c>
      <c r="BG117" s="497">
        <f t="shared" si="33"/>
        <v>0</v>
      </c>
      <c r="BH117" s="497">
        <f t="shared" si="34"/>
        <v>0</v>
      </c>
      <c r="BI117" s="497">
        <f t="shared" si="35"/>
        <v>0</v>
      </c>
      <c r="BJ117" s="497">
        <f>IF(BI117=0,35,_xlfn.RANK.EQ(BI117,BI98:BI132))</f>
        <v>35</v>
      </c>
      <c r="BK117" s="1348">
        <f>IF(BJ117=35,35,BJ117+COUNTIF(BJ$98:BJ116,BJ117)/COUNTIF(BJ$98:BJ$132,BJ117))</f>
        <v>35</v>
      </c>
      <c r="BL117" s="497">
        <f t="shared" si="6"/>
        <v>13</v>
      </c>
      <c r="BM117" s="497" t="s">
        <v>402</v>
      </c>
      <c r="BN117" s="497">
        <f t="shared" si="36"/>
        <v>0</v>
      </c>
      <c r="BO117" s="497">
        <f t="shared" si="37"/>
        <v>0</v>
      </c>
      <c r="BP117" s="497">
        <f t="shared" si="38"/>
        <v>0</v>
      </c>
      <c r="BQ117" s="497">
        <f t="shared" si="39"/>
        <v>0</v>
      </c>
      <c r="BR117" s="497">
        <f t="shared" si="40"/>
        <v>0</v>
      </c>
      <c r="BS117" s="497">
        <f t="shared" si="41"/>
        <v>0</v>
      </c>
      <c r="BT117" s="497">
        <f t="shared" si="42"/>
        <v>0</v>
      </c>
      <c r="BU117" s="497">
        <f t="shared" si="43"/>
        <v>0</v>
      </c>
      <c r="BV117" s="497">
        <f t="shared" si="44"/>
        <v>0</v>
      </c>
      <c r="BW117" s="497">
        <f t="shared" si="45"/>
        <v>0</v>
      </c>
      <c r="BX117" s="497">
        <f t="shared" si="46"/>
        <v>0</v>
      </c>
      <c r="BY117" s="497">
        <f t="shared" si="47"/>
        <v>0</v>
      </c>
      <c r="BZ117" s="497">
        <f t="shared" si="48"/>
        <v>0</v>
      </c>
      <c r="CA117" s="511">
        <f t="shared" si="49"/>
        <v>0</v>
      </c>
      <c r="CB117" s="511">
        <f>IF(CA117=0,35,_xlfn.RANK.EQ(CA117,CA98:CA132))</f>
        <v>35</v>
      </c>
      <c r="CC117" s="512">
        <f>IF(CB117=35,35,CB117+COUNTIF(CB$98:CB116,CB117)/COUNTIF(CB$98:CB$132,CB117))</f>
        <v>35</v>
      </c>
      <c r="CD117" s="511">
        <f t="shared" si="50"/>
        <v>13</v>
      </c>
      <c r="CE117" s="511" t="s">
        <v>402</v>
      </c>
      <c r="CF117" s="511">
        <f t="shared" si="51"/>
        <v>6</v>
      </c>
      <c r="CG117" s="511">
        <f t="shared" si="52"/>
        <v>0</v>
      </c>
      <c r="CH117" s="511">
        <f t="shared" si="53"/>
        <v>10</v>
      </c>
      <c r="CI117" s="511">
        <f t="shared" si="54"/>
        <v>10</v>
      </c>
      <c r="CJ117" s="511">
        <f t="shared" si="55"/>
        <v>0</v>
      </c>
      <c r="CK117" s="511">
        <f t="shared" si="56"/>
        <v>0</v>
      </c>
      <c r="CL117" s="511">
        <f t="shared" si="57"/>
        <v>0</v>
      </c>
      <c r="CM117" s="511">
        <f t="shared" si="58"/>
        <v>0</v>
      </c>
      <c r="CN117" s="511">
        <f t="shared" si="59"/>
        <v>0</v>
      </c>
      <c r="CO117" s="511">
        <f t="shared" si="60"/>
        <v>0</v>
      </c>
      <c r="CP117" s="511">
        <f t="shared" si="61"/>
        <v>0</v>
      </c>
      <c r="CQ117" s="511">
        <f t="shared" si="62"/>
        <v>0</v>
      </c>
      <c r="CR117" s="511">
        <f t="shared" si="63"/>
        <v>10</v>
      </c>
      <c r="CS117" s="511">
        <f t="shared" si="64"/>
        <v>26</v>
      </c>
      <c r="CT117" s="511">
        <f>IF(CS117=0,35,_xlfn.RANK.EQ(CS117,CS98:CS132))</f>
        <v>11</v>
      </c>
      <c r="CU117" s="512">
        <f>IF(CT117=35,35,CT117+COUNTIF(CT$98:CT116,CT117)/COUNTIF(CT$98:CT$132,CT117))</f>
        <v>11</v>
      </c>
      <c r="CV117" s="511">
        <f t="shared" si="65"/>
        <v>11</v>
      </c>
      <c r="CW117" s="511" t="s">
        <v>402</v>
      </c>
      <c r="CX117" s="511">
        <f t="shared" si="66"/>
        <v>0</v>
      </c>
      <c r="CY117" s="511">
        <f t="shared" si="67"/>
        <v>0</v>
      </c>
      <c r="CZ117" s="511">
        <f t="shared" si="68"/>
        <v>0</v>
      </c>
      <c r="DA117" s="511">
        <f t="shared" si="69"/>
        <v>0</v>
      </c>
      <c r="DB117" s="511">
        <f t="shared" si="70"/>
        <v>0</v>
      </c>
      <c r="DC117" s="511">
        <f t="shared" si="71"/>
        <v>0</v>
      </c>
      <c r="DD117" s="511">
        <f t="shared" si="72"/>
        <v>0</v>
      </c>
      <c r="DE117" s="511">
        <f t="shared" si="73"/>
        <v>0</v>
      </c>
      <c r="DF117" s="511">
        <f t="shared" si="74"/>
        <v>0</v>
      </c>
      <c r="DG117" s="511">
        <f t="shared" si="75"/>
        <v>0</v>
      </c>
      <c r="DH117" s="511">
        <f t="shared" si="76"/>
        <v>0</v>
      </c>
      <c r="DI117" s="511">
        <f t="shared" si="77"/>
        <v>0</v>
      </c>
      <c r="DJ117" s="511">
        <f t="shared" si="78"/>
        <v>0</v>
      </c>
      <c r="DK117" s="524">
        <f t="shared" si="79"/>
        <v>0</v>
      </c>
      <c r="DL117" s="524">
        <f>IF(DK117=0,35,_xlfn.RANK.EQ(DK117,DK98:DK132))</f>
        <v>35</v>
      </c>
      <c r="DM117" s="772">
        <f>IF(DL117=35,35,DL117+COUNTIF(DL$98:DL116,DL117)/COUNTIF(DL$98:DL$132,DL117))</f>
        <v>35</v>
      </c>
      <c r="DN117" s="524">
        <f t="shared" si="80"/>
        <v>13</v>
      </c>
      <c r="DO117" s="524" t="s">
        <v>402</v>
      </c>
      <c r="DP117" s="474"/>
      <c r="DQ117" s="474"/>
      <c r="DR117" s="527"/>
      <c r="DS117" s="474"/>
      <c r="DT117" s="474"/>
      <c r="DU117" s="474"/>
      <c r="DV117" s="474"/>
      <c r="DW117" s="474"/>
      <c r="DX117" s="474"/>
      <c r="DY117" s="474"/>
      <c r="DZ117" s="474"/>
      <c r="EA117" s="474"/>
      <c r="EB117" s="474"/>
      <c r="EC117" s="474"/>
    </row>
    <row r="118" spans="29:133" s="473" customFormat="1">
      <c r="AC118" s="761">
        <f t="shared" si="7"/>
        <v>21</v>
      </c>
      <c r="AD118" s="497" t="s">
        <v>411</v>
      </c>
      <c r="AE118" s="497">
        <f t="shared" si="8"/>
        <v>0</v>
      </c>
      <c r="AF118" s="497">
        <f t="shared" si="9"/>
        <v>0</v>
      </c>
      <c r="AG118" s="497">
        <f t="shared" si="10"/>
        <v>0</v>
      </c>
      <c r="AH118" s="497">
        <f t="shared" si="11"/>
        <v>0</v>
      </c>
      <c r="AI118" s="497">
        <f t="shared" si="12"/>
        <v>0</v>
      </c>
      <c r="AJ118" s="497">
        <f t="shared" si="13"/>
        <v>0</v>
      </c>
      <c r="AK118" s="497">
        <f t="shared" si="14"/>
        <v>0</v>
      </c>
      <c r="AL118" s="497">
        <f t="shared" si="15"/>
        <v>0</v>
      </c>
      <c r="AM118" s="497">
        <f t="shared" si="16"/>
        <v>0</v>
      </c>
      <c r="AN118" s="497">
        <f t="shared" si="17"/>
        <v>0</v>
      </c>
      <c r="AO118" s="497">
        <f t="shared" si="18"/>
        <v>0</v>
      </c>
      <c r="AP118" s="497">
        <f t="shared" si="19"/>
        <v>0</v>
      </c>
      <c r="AQ118" s="497">
        <f t="shared" si="20"/>
        <v>0</v>
      </c>
      <c r="AR118" s="497">
        <f t="shared" si="21"/>
        <v>0</v>
      </c>
      <c r="AS118" s="497">
        <f>IF(AR118=0,35,_xlfn.RANK.EQ(AR118,AR98:AR132))</f>
        <v>35</v>
      </c>
      <c r="AT118" s="1348">
        <f>IF(AS118=35,35,AS118+COUNTIF(AS$98:AS117,AS118)/COUNTIF(AS$98:AS$132,AS118))</f>
        <v>35</v>
      </c>
      <c r="AU118" s="497">
        <f t="shared" si="22"/>
        <v>12</v>
      </c>
      <c r="AV118" s="497" t="s">
        <v>411</v>
      </c>
      <c r="AW118" s="497">
        <f t="shared" si="23"/>
        <v>0</v>
      </c>
      <c r="AX118" s="497">
        <f t="shared" si="24"/>
        <v>0</v>
      </c>
      <c r="AY118" s="497">
        <f t="shared" si="25"/>
        <v>0</v>
      </c>
      <c r="AZ118" s="497">
        <f t="shared" si="26"/>
        <v>0</v>
      </c>
      <c r="BA118" s="497">
        <f t="shared" si="27"/>
        <v>0</v>
      </c>
      <c r="BB118" s="497">
        <f t="shared" si="28"/>
        <v>0</v>
      </c>
      <c r="BC118" s="497">
        <f t="shared" si="29"/>
        <v>0</v>
      </c>
      <c r="BD118" s="497">
        <f t="shared" si="30"/>
        <v>0</v>
      </c>
      <c r="BE118" s="497">
        <f t="shared" si="31"/>
        <v>0</v>
      </c>
      <c r="BF118" s="497">
        <f t="shared" si="32"/>
        <v>0</v>
      </c>
      <c r="BG118" s="497">
        <f t="shared" si="33"/>
        <v>0</v>
      </c>
      <c r="BH118" s="497">
        <f t="shared" si="34"/>
        <v>0</v>
      </c>
      <c r="BI118" s="497">
        <f t="shared" si="35"/>
        <v>0</v>
      </c>
      <c r="BJ118" s="497">
        <f>IF(BI118=0,35,_xlfn.RANK.EQ(BI118,BI98:BI132))</f>
        <v>35</v>
      </c>
      <c r="BK118" s="1348">
        <f>IF(BJ118=35,35,BJ118+COUNTIF(BJ$98:BJ117,BJ118)/COUNTIF(BJ$98:BJ$132,BJ118))</f>
        <v>35</v>
      </c>
      <c r="BL118" s="497">
        <f t="shared" si="6"/>
        <v>13</v>
      </c>
      <c r="BM118" s="497" t="s">
        <v>411</v>
      </c>
      <c r="BN118" s="497">
        <f t="shared" si="36"/>
        <v>0</v>
      </c>
      <c r="BO118" s="497">
        <f t="shared" si="37"/>
        <v>0</v>
      </c>
      <c r="BP118" s="497">
        <f t="shared" si="38"/>
        <v>0</v>
      </c>
      <c r="BQ118" s="497">
        <f t="shared" si="39"/>
        <v>0</v>
      </c>
      <c r="BR118" s="497">
        <f t="shared" si="40"/>
        <v>0</v>
      </c>
      <c r="BS118" s="497">
        <f t="shared" si="41"/>
        <v>0</v>
      </c>
      <c r="BT118" s="497">
        <f t="shared" si="42"/>
        <v>0</v>
      </c>
      <c r="BU118" s="497">
        <f t="shared" si="43"/>
        <v>0</v>
      </c>
      <c r="BV118" s="497">
        <f t="shared" si="44"/>
        <v>0</v>
      </c>
      <c r="BW118" s="497">
        <f t="shared" si="45"/>
        <v>0</v>
      </c>
      <c r="BX118" s="497">
        <f t="shared" si="46"/>
        <v>0</v>
      </c>
      <c r="BY118" s="497">
        <f t="shared" si="47"/>
        <v>0</v>
      </c>
      <c r="BZ118" s="497">
        <f t="shared" si="48"/>
        <v>0</v>
      </c>
      <c r="CA118" s="511">
        <f t="shared" si="49"/>
        <v>0</v>
      </c>
      <c r="CB118" s="511">
        <f>IF(CA118=0,35,_xlfn.RANK.EQ(CA118,CA98:CA132))</f>
        <v>35</v>
      </c>
      <c r="CC118" s="512">
        <f>IF(CB118=35,35,CB118+COUNTIF(CB$98:CB117,CB118)/COUNTIF(CB$98:CB$132,CB118))</f>
        <v>35</v>
      </c>
      <c r="CD118" s="511">
        <f t="shared" si="50"/>
        <v>13</v>
      </c>
      <c r="CE118" s="511" t="s">
        <v>411</v>
      </c>
      <c r="CF118" s="511">
        <f t="shared" si="51"/>
        <v>0</v>
      </c>
      <c r="CG118" s="511">
        <f t="shared" si="52"/>
        <v>0</v>
      </c>
      <c r="CH118" s="511">
        <f t="shared" si="53"/>
        <v>0</v>
      </c>
      <c r="CI118" s="511">
        <f t="shared" si="54"/>
        <v>0</v>
      </c>
      <c r="CJ118" s="511">
        <f t="shared" si="55"/>
        <v>0</v>
      </c>
      <c r="CK118" s="511">
        <f t="shared" si="56"/>
        <v>0</v>
      </c>
      <c r="CL118" s="511">
        <f t="shared" si="57"/>
        <v>0</v>
      </c>
      <c r="CM118" s="511">
        <f t="shared" si="58"/>
        <v>0</v>
      </c>
      <c r="CN118" s="511">
        <f t="shared" si="59"/>
        <v>0</v>
      </c>
      <c r="CO118" s="511">
        <f t="shared" si="60"/>
        <v>0</v>
      </c>
      <c r="CP118" s="511">
        <f t="shared" si="61"/>
        <v>0</v>
      </c>
      <c r="CQ118" s="511">
        <f t="shared" si="62"/>
        <v>0</v>
      </c>
      <c r="CR118" s="511">
        <f t="shared" si="63"/>
        <v>0</v>
      </c>
      <c r="CS118" s="511">
        <f t="shared" si="64"/>
        <v>0</v>
      </c>
      <c r="CT118" s="511">
        <f>IF(CS118=0,35,_xlfn.RANK.EQ(CS118,CS98:CS132))</f>
        <v>35</v>
      </c>
      <c r="CU118" s="512">
        <f>IF(CT118=35,35,CT118+COUNTIF(CT$98:CT117,CT118)/COUNTIF(CT$98:CT$132,CT118))</f>
        <v>35</v>
      </c>
      <c r="CV118" s="511">
        <f t="shared" si="65"/>
        <v>21</v>
      </c>
      <c r="CW118" s="511" t="s">
        <v>411</v>
      </c>
      <c r="CX118" s="511">
        <f t="shared" si="66"/>
        <v>0</v>
      </c>
      <c r="CY118" s="511">
        <f t="shared" si="67"/>
        <v>0</v>
      </c>
      <c r="CZ118" s="511">
        <f t="shared" si="68"/>
        <v>0</v>
      </c>
      <c r="DA118" s="511">
        <f t="shared" si="69"/>
        <v>0</v>
      </c>
      <c r="DB118" s="511">
        <f t="shared" si="70"/>
        <v>0</v>
      </c>
      <c r="DC118" s="511">
        <f t="shared" si="71"/>
        <v>0</v>
      </c>
      <c r="DD118" s="511">
        <f t="shared" si="72"/>
        <v>0</v>
      </c>
      <c r="DE118" s="511">
        <f t="shared" si="73"/>
        <v>0</v>
      </c>
      <c r="DF118" s="511">
        <f t="shared" si="74"/>
        <v>0</v>
      </c>
      <c r="DG118" s="511">
        <f t="shared" si="75"/>
        <v>0</v>
      </c>
      <c r="DH118" s="511">
        <f t="shared" si="76"/>
        <v>0</v>
      </c>
      <c r="DI118" s="511">
        <f t="shared" si="77"/>
        <v>0</v>
      </c>
      <c r="DJ118" s="511">
        <f t="shared" si="78"/>
        <v>0</v>
      </c>
      <c r="DK118" s="524">
        <f t="shared" si="79"/>
        <v>0</v>
      </c>
      <c r="DL118" s="524">
        <f>IF(DK118=0,35,_xlfn.RANK.EQ(DK118,DK98:DK132))</f>
        <v>35</v>
      </c>
      <c r="DM118" s="772">
        <f>IF(DL118=35,35,DL118+COUNTIF(DL$98:DL117,DL118)/COUNTIF(DL$98:DL$132,DL118))</f>
        <v>35</v>
      </c>
      <c r="DN118" s="524">
        <f t="shared" si="80"/>
        <v>13</v>
      </c>
      <c r="DO118" s="524" t="s">
        <v>411</v>
      </c>
      <c r="DP118" s="474"/>
      <c r="DQ118" s="474"/>
      <c r="DR118" s="527"/>
      <c r="DS118" s="474"/>
      <c r="DT118" s="474"/>
      <c r="DU118" s="474"/>
      <c r="DV118" s="474"/>
      <c r="DW118" s="474"/>
      <c r="DX118" s="474"/>
      <c r="DY118" s="474"/>
      <c r="DZ118" s="474"/>
      <c r="EA118" s="474"/>
      <c r="EB118" s="474"/>
      <c r="EC118" s="474"/>
    </row>
    <row r="119" spans="29:133" s="473" customFormat="1">
      <c r="AC119" s="761">
        <f t="shared" si="7"/>
        <v>22</v>
      </c>
      <c r="AD119" s="497" t="s">
        <v>412</v>
      </c>
      <c r="AE119" s="497">
        <f t="shared" si="8"/>
        <v>0</v>
      </c>
      <c r="AF119" s="497">
        <f t="shared" si="9"/>
        <v>0</v>
      </c>
      <c r="AG119" s="497">
        <f t="shared" si="10"/>
        <v>0</v>
      </c>
      <c r="AH119" s="497">
        <f t="shared" si="11"/>
        <v>0</v>
      </c>
      <c r="AI119" s="497">
        <f t="shared" si="12"/>
        <v>0</v>
      </c>
      <c r="AJ119" s="497">
        <f t="shared" si="13"/>
        <v>0</v>
      </c>
      <c r="AK119" s="497">
        <f t="shared" si="14"/>
        <v>0</v>
      </c>
      <c r="AL119" s="497">
        <f t="shared" si="15"/>
        <v>0</v>
      </c>
      <c r="AM119" s="497">
        <f t="shared" si="16"/>
        <v>0</v>
      </c>
      <c r="AN119" s="497">
        <f t="shared" si="17"/>
        <v>0</v>
      </c>
      <c r="AO119" s="497">
        <f t="shared" si="18"/>
        <v>0</v>
      </c>
      <c r="AP119" s="497">
        <f t="shared" si="19"/>
        <v>0</v>
      </c>
      <c r="AQ119" s="497">
        <f t="shared" si="20"/>
        <v>0</v>
      </c>
      <c r="AR119" s="497">
        <f t="shared" si="21"/>
        <v>0</v>
      </c>
      <c r="AS119" s="497">
        <f>IF(AR119=0,35,_xlfn.RANK.EQ(AR119,AR98:AR132))</f>
        <v>35</v>
      </c>
      <c r="AT119" s="1348">
        <f>IF(AS119=35,35,AS119+COUNTIF(AS$98:AS118,AS119)/COUNTIF(AS$98:AS$132,AS119))</f>
        <v>35</v>
      </c>
      <c r="AU119" s="497">
        <f t="shared" si="22"/>
        <v>12</v>
      </c>
      <c r="AV119" s="497" t="s">
        <v>412</v>
      </c>
      <c r="AW119" s="497">
        <f t="shared" si="23"/>
        <v>0</v>
      </c>
      <c r="AX119" s="497">
        <f t="shared" si="24"/>
        <v>0</v>
      </c>
      <c r="AY119" s="497">
        <f t="shared" si="25"/>
        <v>0</v>
      </c>
      <c r="AZ119" s="497">
        <f t="shared" si="26"/>
        <v>0</v>
      </c>
      <c r="BA119" s="497">
        <f t="shared" si="27"/>
        <v>0</v>
      </c>
      <c r="BB119" s="497">
        <f t="shared" si="28"/>
        <v>0</v>
      </c>
      <c r="BC119" s="497">
        <f t="shared" si="29"/>
        <v>0</v>
      </c>
      <c r="BD119" s="497">
        <f t="shared" si="30"/>
        <v>0</v>
      </c>
      <c r="BE119" s="497">
        <f t="shared" si="31"/>
        <v>0</v>
      </c>
      <c r="BF119" s="497">
        <f t="shared" si="32"/>
        <v>0</v>
      </c>
      <c r="BG119" s="497">
        <f t="shared" si="33"/>
        <v>0</v>
      </c>
      <c r="BH119" s="497">
        <f t="shared" si="34"/>
        <v>0</v>
      </c>
      <c r="BI119" s="497">
        <f t="shared" si="35"/>
        <v>0</v>
      </c>
      <c r="BJ119" s="497">
        <f>IF(BI119=0,35,_xlfn.RANK.EQ(BI119,BI98:BI132))</f>
        <v>35</v>
      </c>
      <c r="BK119" s="1348">
        <f>IF(BJ119=35,35,BJ119+COUNTIF(BJ$98:BJ118,BJ119)/COUNTIF(BJ$98:BJ$132,BJ119))</f>
        <v>35</v>
      </c>
      <c r="BL119" s="497">
        <f t="shared" si="6"/>
        <v>13</v>
      </c>
      <c r="BM119" s="497" t="s">
        <v>412</v>
      </c>
      <c r="BN119" s="497">
        <f t="shared" si="36"/>
        <v>0</v>
      </c>
      <c r="BO119" s="497">
        <f t="shared" si="37"/>
        <v>0</v>
      </c>
      <c r="BP119" s="497">
        <f t="shared" si="38"/>
        <v>0</v>
      </c>
      <c r="BQ119" s="497">
        <f t="shared" si="39"/>
        <v>0</v>
      </c>
      <c r="BR119" s="497">
        <f t="shared" si="40"/>
        <v>0</v>
      </c>
      <c r="BS119" s="497">
        <f t="shared" si="41"/>
        <v>0</v>
      </c>
      <c r="BT119" s="497">
        <f t="shared" si="42"/>
        <v>0</v>
      </c>
      <c r="BU119" s="497">
        <f t="shared" si="43"/>
        <v>0</v>
      </c>
      <c r="BV119" s="497">
        <f t="shared" si="44"/>
        <v>0</v>
      </c>
      <c r="BW119" s="497">
        <f t="shared" si="45"/>
        <v>0</v>
      </c>
      <c r="BX119" s="497">
        <f t="shared" si="46"/>
        <v>0</v>
      </c>
      <c r="BY119" s="497">
        <f t="shared" si="47"/>
        <v>0</v>
      </c>
      <c r="BZ119" s="497">
        <f t="shared" si="48"/>
        <v>0</v>
      </c>
      <c r="CA119" s="511">
        <f t="shared" si="49"/>
        <v>0</v>
      </c>
      <c r="CB119" s="511">
        <f>IF(CA119=0,35,_xlfn.RANK.EQ(CA119,CA98:CA132))</f>
        <v>35</v>
      </c>
      <c r="CC119" s="512">
        <f>IF(CB119=35,35,CB119+COUNTIF(CB$98:CB118,CB119)/COUNTIF(CB$98:CB$132,CB119))</f>
        <v>35</v>
      </c>
      <c r="CD119" s="511">
        <f t="shared" si="50"/>
        <v>13</v>
      </c>
      <c r="CE119" s="511" t="s">
        <v>412</v>
      </c>
      <c r="CF119" s="511">
        <f t="shared" si="51"/>
        <v>0</v>
      </c>
      <c r="CG119" s="511">
        <f t="shared" si="52"/>
        <v>0</v>
      </c>
      <c r="CH119" s="511">
        <f t="shared" si="53"/>
        <v>0</v>
      </c>
      <c r="CI119" s="511">
        <f t="shared" si="54"/>
        <v>0</v>
      </c>
      <c r="CJ119" s="511">
        <f t="shared" si="55"/>
        <v>0</v>
      </c>
      <c r="CK119" s="511">
        <f t="shared" si="56"/>
        <v>0</v>
      </c>
      <c r="CL119" s="511">
        <f t="shared" si="57"/>
        <v>0</v>
      </c>
      <c r="CM119" s="511">
        <f t="shared" si="58"/>
        <v>0</v>
      </c>
      <c r="CN119" s="511">
        <f t="shared" si="59"/>
        <v>0</v>
      </c>
      <c r="CO119" s="511">
        <f t="shared" si="60"/>
        <v>0</v>
      </c>
      <c r="CP119" s="511">
        <f t="shared" si="61"/>
        <v>0</v>
      </c>
      <c r="CQ119" s="511">
        <f t="shared" si="62"/>
        <v>0</v>
      </c>
      <c r="CR119" s="511">
        <f t="shared" si="63"/>
        <v>0</v>
      </c>
      <c r="CS119" s="511">
        <f t="shared" si="64"/>
        <v>0</v>
      </c>
      <c r="CT119" s="511">
        <f>IF(CS119=0,35,_xlfn.RANK.EQ(CS119,CS98:CS132))</f>
        <v>35</v>
      </c>
      <c r="CU119" s="512">
        <f>IF(CT119=35,35,CT119+COUNTIF(CT$98:CT118,CT119)/COUNTIF(CT$98:CT$132,CT119))</f>
        <v>35</v>
      </c>
      <c r="CV119" s="511">
        <f t="shared" si="65"/>
        <v>21</v>
      </c>
      <c r="CW119" s="511" t="s">
        <v>412</v>
      </c>
      <c r="CX119" s="511">
        <f t="shared" si="66"/>
        <v>0</v>
      </c>
      <c r="CY119" s="511">
        <f t="shared" si="67"/>
        <v>0</v>
      </c>
      <c r="CZ119" s="511">
        <f t="shared" si="68"/>
        <v>0</v>
      </c>
      <c r="DA119" s="511">
        <f t="shared" si="69"/>
        <v>0</v>
      </c>
      <c r="DB119" s="511">
        <f t="shared" si="70"/>
        <v>0</v>
      </c>
      <c r="DC119" s="511">
        <f t="shared" si="71"/>
        <v>0</v>
      </c>
      <c r="DD119" s="511">
        <f t="shared" si="72"/>
        <v>0</v>
      </c>
      <c r="DE119" s="511">
        <f t="shared" si="73"/>
        <v>0</v>
      </c>
      <c r="DF119" s="511">
        <f t="shared" si="74"/>
        <v>0</v>
      </c>
      <c r="DG119" s="511">
        <f t="shared" si="75"/>
        <v>0</v>
      </c>
      <c r="DH119" s="511">
        <f t="shared" si="76"/>
        <v>0</v>
      </c>
      <c r="DI119" s="511">
        <f t="shared" si="77"/>
        <v>0</v>
      </c>
      <c r="DJ119" s="511">
        <f t="shared" si="78"/>
        <v>0</v>
      </c>
      <c r="DK119" s="524">
        <f t="shared" si="79"/>
        <v>0</v>
      </c>
      <c r="DL119" s="524">
        <f>IF(DK119=0,35,_xlfn.RANK.EQ(DK119,DK98:DK132))</f>
        <v>35</v>
      </c>
      <c r="DM119" s="772">
        <f>IF(DL119=35,35,DL119+COUNTIF(DL$98:DL118,DL119)/COUNTIF(DL$98:DL$132,DL119))</f>
        <v>35</v>
      </c>
      <c r="DN119" s="524">
        <f t="shared" si="80"/>
        <v>13</v>
      </c>
      <c r="DO119" s="524" t="s">
        <v>412</v>
      </c>
      <c r="DP119" s="474"/>
      <c r="DQ119" s="474"/>
      <c r="DR119" s="527"/>
      <c r="DS119" s="474"/>
      <c r="DT119" s="474"/>
      <c r="DU119" s="474"/>
      <c r="DV119" s="474"/>
      <c r="DW119" s="474"/>
      <c r="DX119" s="474"/>
      <c r="DY119" s="474"/>
      <c r="DZ119" s="474"/>
      <c r="EA119" s="474"/>
      <c r="EB119" s="474"/>
      <c r="EC119" s="474"/>
    </row>
    <row r="120" spans="29:133" s="473" customFormat="1">
      <c r="AC120" s="761">
        <f t="shared" si="7"/>
        <v>23</v>
      </c>
      <c r="AD120" s="497" t="s">
        <v>403</v>
      </c>
      <c r="AE120" s="497">
        <f t="shared" si="8"/>
        <v>0</v>
      </c>
      <c r="AF120" s="497">
        <f t="shared" si="9"/>
        <v>0</v>
      </c>
      <c r="AG120" s="497">
        <f t="shared" si="10"/>
        <v>0</v>
      </c>
      <c r="AH120" s="497">
        <f t="shared" si="11"/>
        <v>0</v>
      </c>
      <c r="AI120" s="497">
        <f t="shared" si="12"/>
        <v>0</v>
      </c>
      <c r="AJ120" s="497">
        <f t="shared" si="13"/>
        <v>0</v>
      </c>
      <c r="AK120" s="497">
        <f t="shared" si="14"/>
        <v>0</v>
      </c>
      <c r="AL120" s="497">
        <f t="shared" si="15"/>
        <v>0</v>
      </c>
      <c r="AM120" s="497">
        <f t="shared" si="16"/>
        <v>0</v>
      </c>
      <c r="AN120" s="497">
        <f t="shared" si="17"/>
        <v>0</v>
      </c>
      <c r="AO120" s="497">
        <f t="shared" si="18"/>
        <v>0</v>
      </c>
      <c r="AP120" s="497">
        <f t="shared" si="19"/>
        <v>0</v>
      </c>
      <c r="AQ120" s="497">
        <f t="shared" si="20"/>
        <v>0</v>
      </c>
      <c r="AR120" s="497">
        <f t="shared" si="21"/>
        <v>0</v>
      </c>
      <c r="AS120" s="497">
        <f>IF(AR120=0,35,_xlfn.RANK.EQ(AR120,AR98:AR132))</f>
        <v>35</v>
      </c>
      <c r="AT120" s="1348">
        <f>IF(AS120=35,35,AS120+COUNTIF(AS$98:AS119,AS120)/COUNTIF(AS$98:AS$132,AS120))</f>
        <v>35</v>
      </c>
      <c r="AU120" s="497">
        <f t="shared" si="22"/>
        <v>12</v>
      </c>
      <c r="AV120" s="497" t="s">
        <v>403</v>
      </c>
      <c r="AW120" s="497">
        <f t="shared" si="23"/>
        <v>0</v>
      </c>
      <c r="AX120" s="497">
        <f t="shared" si="24"/>
        <v>0</v>
      </c>
      <c r="AY120" s="497">
        <f t="shared" si="25"/>
        <v>0</v>
      </c>
      <c r="AZ120" s="497">
        <f t="shared" si="26"/>
        <v>0</v>
      </c>
      <c r="BA120" s="497">
        <f t="shared" si="27"/>
        <v>0</v>
      </c>
      <c r="BB120" s="497">
        <f t="shared" si="28"/>
        <v>0</v>
      </c>
      <c r="BC120" s="497">
        <f t="shared" si="29"/>
        <v>0</v>
      </c>
      <c r="BD120" s="497">
        <f t="shared" si="30"/>
        <v>0</v>
      </c>
      <c r="BE120" s="497">
        <f t="shared" si="31"/>
        <v>0</v>
      </c>
      <c r="BF120" s="497">
        <f t="shared" si="32"/>
        <v>0</v>
      </c>
      <c r="BG120" s="497">
        <f t="shared" si="33"/>
        <v>0</v>
      </c>
      <c r="BH120" s="497">
        <f t="shared" si="34"/>
        <v>0</v>
      </c>
      <c r="BI120" s="497">
        <f t="shared" si="35"/>
        <v>0</v>
      </c>
      <c r="BJ120" s="497">
        <f>IF(BI120=0,35,_xlfn.RANK.EQ(BI120,BI98:BI132))</f>
        <v>35</v>
      </c>
      <c r="BK120" s="1348">
        <f>IF(BJ120=35,35,BJ120+COUNTIF(BJ$98:BJ119,BJ120)/COUNTIF(BJ$98:BJ$132,BJ120))</f>
        <v>35</v>
      </c>
      <c r="BL120" s="497">
        <f t="shared" si="6"/>
        <v>13</v>
      </c>
      <c r="BM120" s="497" t="s">
        <v>403</v>
      </c>
      <c r="BN120" s="497">
        <f t="shared" si="36"/>
        <v>0</v>
      </c>
      <c r="BO120" s="497">
        <f t="shared" si="37"/>
        <v>0</v>
      </c>
      <c r="BP120" s="497">
        <f t="shared" si="38"/>
        <v>0</v>
      </c>
      <c r="BQ120" s="497">
        <f t="shared" si="39"/>
        <v>0</v>
      </c>
      <c r="BR120" s="497">
        <f t="shared" si="40"/>
        <v>0</v>
      </c>
      <c r="BS120" s="497">
        <f t="shared" si="41"/>
        <v>0</v>
      </c>
      <c r="BT120" s="497">
        <f t="shared" si="42"/>
        <v>0</v>
      </c>
      <c r="BU120" s="497">
        <f t="shared" si="43"/>
        <v>0</v>
      </c>
      <c r="BV120" s="497">
        <f t="shared" si="44"/>
        <v>0</v>
      </c>
      <c r="BW120" s="497">
        <f t="shared" si="45"/>
        <v>0</v>
      </c>
      <c r="BX120" s="497">
        <f t="shared" si="46"/>
        <v>0</v>
      </c>
      <c r="BY120" s="497">
        <f t="shared" si="47"/>
        <v>0</v>
      </c>
      <c r="BZ120" s="497">
        <f t="shared" si="48"/>
        <v>0</v>
      </c>
      <c r="CA120" s="511">
        <f t="shared" si="49"/>
        <v>0</v>
      </c>
      <c r="CB120" s="511">
        <f>IF(CA120=0,35,_xlfn.RANK.EQ(CA120,CA98:CA132))</f>
        <v>35</v>
      </c>
      <c r="CC120" s="512">
        <f>IF(CB120=35,35,CB120+COUNTIF(CB$98:CB119,CB120)/COUNTIF(CB$98:CB$132,CB120))</f>
        <v>35</v>
      </c>
      <c r="CD120" s="511">
        <f t="shared" si="50"/>
        <v>13</v>
      </c>
      <c r="CE120" s="511" t="s">
        <v>403</v>
      </c>
      <c r="CF120" s="511">
        <f t="shared" si="51"/>
        <v>0</v>
      </c>
      <c r="CG120" s="511">
        <f t="shared" si="52"/>
        <v>0</v>
      </c>
      <c r="CH120" s="511">
        <f t="shared" si="53"/>
        <v>0</v>
      </c>
      <c r="CI120" s="511">
        <f t="shared" si="54"/>
        <v>0</v>
      </c>
      <c r="CJ120" s="511">
        <f t="shared" si="55"/>
        <v>0</v>
      </c>
      <c r="CK120" s="511">
        <f t="shared" si="56"/>
        <v>0</v>
      </c>
      <c r="CL120" s="511">
        <f t="shared" si="57"/>
        <v>0</v>
      </c>
      <c r="CM120" s="511">
        <f t="shared" si="58"/>
        <v>9</v>
      </c>
      <c r="CN120" s="511">
        <f t="shared" si="59"/>
        <v>7</v>
      </c>
      <c r="CO120" s="511">
        <f t="shared" si="60"/>
        <v>0</v>
      </c>
      <c r="CP120" s="511">
        <f t="shared" si="61"/>
        <v>7</v>
      </c>
      <c r="CQ120" s="511">
        <f t="shared" si="62"/>
        <v>7</v>
      </c>
      <c r="CR120" s="511">
        <f t="shared" si="63"/>
        <v>7</v>
      </c>
      <c r="CS120" s="511">
        <f t="shared" si="64"/>
        <v>30</v>
      </c>
      <c r="CT120" s="511">
        <f>IF(CS120=0,35,_xlfn.RANK.EQ(CS120,CS98:CS132))</f>
        <v>10</v>
      </c>
      <c r="CU120" s="512">
        <f>IF(CT120=35,35,CT120+COUNTIF(CT$98:CT119,CT120)/COUNTIF(CT$98:CT$132,CT120))</f>
        <v>10</v>
      </c>
      <c r="CV120" s="511">
        <f t="shared" si="65"/>
        <v>10</v>
      </c>
      <c r="CW120" s="511" t="s">
        <v>403</v>
      </c>
      <c r="CX120" s="511">
        <f t="shared" si="66"/>
        <v>0</v>
      </c>
      <c r="CY120" s="511">
        <f t="shared" si="67"/>
        <v>0</v>
      </c>
      <c r="CZ120" s="511">
        <f t="shared" si="68"/>
        <v>0</v>
      </c>
      <c r="DA120" s="511">
        <f t="shared" si="69"/>
        <v>0</v>
      </c>
      <c r="DB120" s="511">
        <f t="shared" si="70"/>
        <v>0</v>
      </c>
      <c r="DC120" s="511">
        <f t="shared" si="71"/>
        <v>0</v>
      </c>
      <c r="DD120" s="511">
        <f t="shared" si="72"/>
        <v>0</v>
      </c>
      <c r="DE120" s="511">
        <f t="shared" si="73"/>
        <v>0</v>
      </c>
      <c r="DF120" s="511">
        <f t="shared" si="74"/>
        <v>0</v>
      </c>
      <c r="DG120" s="511">
        <f t="shared" si="75"/>
        <v>0</v>
      </c>
      <c r="DH120" s="511">
        <f t="shared" si="76"/>
        <v>0</v>
      </c>
      <c r="DI120" s="511">
        <f t="shared" si="77"/>
        <v>0</v>
      </c>
      <c r="DJ120" s="511">
        <f t="shared" si="78"/>
        <v>0</v>
      </c>
      <c r="DK120" s="524">
        <f t="shared" si="79"/>
        <v>0</v>
      </c>
      <c r="DL120" s="524">
        <f>IF(DK120=0,35,_xlfn.RANK.EQ(DK120,DK98:DK132))</f>
        <v>35</v>
      </c>
      <c r="DM120" s="772">
        <f>IF(DL120=35,35,DL120+COUNTIF(DL$98:DL119,DL120)/COUNTIF(DL$98:DL$132,DL120))</f>
        <v>35</v>
      </c>
      <c r="DN120" s="524">
        <f t="shared" si="80"/>
        <v>13</v>
      </c>
      <c r="DO120" s="524" t="s">
        <v>403</v>
      </c>
      <c r="DP120" s="474"/>
      <c r="DQ120" s="474"/>
      <c r="DR120" s="527"/>
      <c r="DS120" s="474"/>
      <c r="DT120" s="474"/>
      <c r="DU120" s="474"/>
      <c r="DV120" s="474"/>
      <c r="DW120" s="474"/>
      <c r="DX120" s="474"/>
      <c r="DY120" s="474"/>
      <c r="DZ120" s="474"/>
      <c r="EA120" s="474"/>
      <c r="EB120" s="474"/>
      <c r="EC120" s="474"/>
    </row>
    <row r="121" spans="29:133" s="473" customFormat="1">
      <c r="AC121" s="761">
        <f t="shared" si="7"/>
        <v>24</v>
      </c>
      <c r="AD121" s="497" t="s">
        <v>413</v>
      </c>
      <c r="AE121" s="497">
        <f t="shared" si="8"/>
        <v>0</v>
      </c>
      <c r="AF121" s="497">
        <f t="shared" si="9"/>
        <v>0</v>
      </c>
      <c r="AG121" s="497">
        <f t="shared" si="10"/>
        <v>0</v>
      </c>
      <c r="AH121" s="497">
        <f t="shared" si="11"/>
        <v>0</v>
      </c>
      <c r="AI121" s="497">
        <f t="shared" si="12"/>
        <v>0</v>
      </c>
      <c r="AJ121" s="497">
        <f t="shared" si="13"/>
        <v>0</v>
      </c>
      <c r="AK121" s="497">
        <f t="shared" si="14"/>
        <v>0</v>
      </c>
      <c r="AL121" s="497">
        <f t="shared" si="15"/>
        <v>0</v>
      </c>
      <c r="AM121" s="497">
        <f t="shared" si="16"/>
        <v>0</v>
      </c>
      <c r="AN121" s="497">
        <f t="shared" si="17"/>
        <v>0</v>
      </c>
      <c r="AO121" s="497">
        <f t="shared" si="18"/>
        <v>0</v>
      </c>
      <c r="AP121" s="497">
        <f t="shared" si="19"/>
        <v>0</v>
      </c>
      <c r="AQ121" s="497">
        <f t="shared" si="20"/>
        <v>0</v>
      </c>
      <c r="AR121" s="497">
        <f t="shared" si="21"/>
        <v>0</v>
      </c>
      <c r="AS121" s="497">
        <f>IF(AR121=0,35,_xlfn.RANK.EQ(AR121,AR98:AR132))</f>
        <v>35</v>
      </c>
      <c r="AT121" s="1348">
        <f>IF(AS121=35,35,AS121+COUNTIF(AS$98:AS120,AS121)/COUNTIF(AS$98:AS$132,AS121))</f>
        <v>35</v>
      </c>
      <c r="AU121" s="497">
        <f t="shared" si="22"/>
        <v>12</v>
      </c>
      <c r="AV121" s="497" t="s">
        <v>413</v>
      </c>
      <c r="AW121" s="497">
        <f t="shared" si="23"/>
        <v>0</v>
      </c>
      <c r="AX121" s="497">
        <f t="shared" si="24"/>
        <v>0</v>
      </c>
      <c r="AY121" s="497">
        <f t="shared" si="25"/>
        <v>0</v>
      </c>
      <c r="AZ121" s="497">
        <f t="shared" si="26"/>
        <v>0</v>
      </c>
      <c r="BA121" s="497">
        <f t="shared" si="27"/>
        <v>0</v>
      </c>
      <c r="BB121" s="497">
        <f t="shared" si="28"/>
        <v>0</v>
      </c>
      <c r="BC121" s="497">
        <f t="shared" si="29"/>
        <v>0</v>
      </c>
      <c r="BD121" s="497">
        <f t="shared" si="30"/>
        <v>0</v>
      </c>
      <c r="BE121" s="497">
        <f t="shared" si="31"/>
        <v>0</v>
      </c>
      <c r="BF121" s="497">
        <f t="shared" si="32"/>
        <v>0</v>
      </c>
      <c r="BG121" s="497">
        <f t="shared" si="33"/>
        <v>0</v>
      </c>
      <c r="BH121" s="497">
        <f t="shared" si="34"/>
        <v>0</v>
      </c>
      <c r="BI121" s="497">
        <f t="shared" si="35"/>
        <v>0</v>
      </c>
      <c r="BJ121" s="497">
        <f>IF(BI121=0,35,_xlfn.RANK.EQ(BI121,BI98:BI132))</f>
        <v>35</v>
      </c>
      <c r="BK121" s="1348">
        <f>IF(BJ121=35,35,BJ121+COUNTIF(BJ$98:BJ120,BJ121)/COUNTIF(BJ$98:BJ$132,BJ121))</f>
        <v>35</v>
      </c>
      <c r="BL121" s="497">
        <f t="shared" si="6"/>
        <v>13</v>
      </c>
      <c r="BM121" s="497" t="s">
        <v>413</v>
      </c>
      <c r="BN121" s="497">
        <f t="shared" si="36"/>
        <v>0</v>
      </c>
      <c r="BO121" s="497">
        <f t="shared" si="37"/>
        <v>0</v>
      </c>
      <c r="BP121" s="497">
        <f t="shared" si="38"/>
        <v>0</v>
      </c>
      <c r="BQ121" s="497">
        <f t="shared" si="39"/>
        <v>0</v>
      </c>
      <c r="BR121" s="497">
        <f t="shared" si="40"/>
        <v>0</v>
      </c>
      <c r="BS121" s="497">
        <f t="shared" si="41"/>
        <v>0</v>
      </c>
      <c r="BT121" s="497">
        <f t="shared" si="42"/>
        <v>0</v>
      </c>
      <c r="BU121" s="497">
        <f t="shared" si="43"/>
        <v>0</v>
      </c>
      <c r="BV121" s="497">
        <f t="shared" si="44"/>
        <v>0</v>
      </c>
      <c r="BW121" s="497">
        <f t="shared" si="45"/>
        <v>0</v>
      </c>
      <c r="BX121" s="497">
        <f t="shared" si="46"/>
        <v>0</v>
      </c>
      <c r="BY121" s="497">
        <f t="shared" si="47"/>
        <v>0</v>
      </c>
      <c r="BZ121" s="497">
        <f t="shared" si="48"/>
        <v>0</v>
      </c>
      <c r="CA121" s="511">
        <f t="shared" si="49"/>
        <v>0</v>
      </c>
      <c r="CB121" s="511">
        <f>IF(CA121=0,35,_xlfn.RANK.EQ(CA121,CA98:CA132))</f>
        <v>35</v>
      </c>
      <c r="CC121" s="512">
        <f>IF(CB121=35,35,CB121+COUNTIF(CB$98:CB120,CB121)/COUNTIF(CB$98:CB$132,CB121))</f>
        <v>35</v>
      </c>
      <c r="CD121" s="511">
        <f t="shared" si="50"/>
        <v>13</v>
      </c>
      <c r="CE121" s="511" t="s">
        <v>413</v>
      </c>
      <c r="CF121" s="511">
        <f t="shared" si="51"/>
        <v>0</v>
      </c>
      <c r="CG121" s="511">
        <f t="shared" si="52"/>
        <v>0</v>
      </c>
      <c r="CH121" s="511">
        <f t="shared" si="53"/>
        <v>0</v>
      </c>
      <c r="CI121" s="511">
        <f t="shared" si="54"/>
        <v>0</v>
      </c>
      <c r="CJ121" s="511">
        <f t="shared" si="55"/>
        <v>0</v>
      </c>
      <c r="CK121" s="511">
        <f t="shared" si="56"/>
        <v>0</v>
      </c>
      <c r="CL121" s="511">
        <f t="shared" si="57"/>
        <v>0</v>
      </c>
      <c r="CM121" s="511">
        <f t="shared" si="58"/>
        <v>0</v>
      </c>
      <c r="CN121" s="511">
        <f t="shared" si="59"/>
        <v>0</v>
      </c>
      <c r="CO121" s="511">
        <f t="shared" si="60"/>
        <v>0</v>
      </c>
      <c r="CP121" s="511">
        <f t="shared" si="61"/>
        <v>0</v>
      </c>
      <c r="CQ121" s="511">
        <f t="shared" si="62"/>
        <v>0</v>
      </c>
      <c r="CR121" s="511">
        <f t="shared" si="63"/>
        <v>0</v>
      </c>
      <c r="CS121" s="511">
        <f t="shared" si="64"/>
        <v>0</v>
      </c>
      <c r="CT121" s="511">
        <f>IF(CS121=0,35,_xlfn.RANK.EQ(CS121,CS98:CS132))</f>
        <v>35</v>
      </c>
      <c r="CU121" s="512">
        <f>IF(CT121=35,35,CT121+COUNTIF(CT$98:CT120,CT121)/COUNTIF(CT$98:CT$132,CT121))</f>
        <v>35</v>
      </c>
      <c r="CV121" s="511">
        <f t="shared" si="65"/>
        <v>21</v>
      </c>
      <c r="CW121" s="511" t="s">
        <v>413</v>
      </c>
      <c r="CX121" s="511">
        <f t="shared" si="66"/>
        <v>0</v>
      </c>
      <c r="CY121" s="511">
        <f t="shared" si="67"/>
        <v>0</v>
      </c>
      <c r="CZ121" s="511">
        <f t="shared" si="68"/>
        <v>0</v>
      </c>
      <c r="DA121" s="511">
        <f t="shared" si="69"/>
        <v>0</v>
      </c>
      <c r="DB121" s="511">
        <f t="shared" si="70"/>
        <v>0</v>
      </c>
      <c r="DC121" s="511">
        <f t="shared" si="71"/>
        <v>0</v>
      </c>
      <c r="DD121" s="511">
        <f t="shared" si="72"/>
        <v>0</v>
      </c>
      <c r="DE121" s="511">
        <f t="shared" si="73"/>
        <v>0</v>
      </c>
      <c r="DF121" s="511">
        <f t="shared" si="74"/>
        <v>0</v>
      </c>
      <c r="DG121" s="511">
        <f t="shared" si="75"/>
        <v>0</v>
      </c>
      <c r="DH121" s="511">
        <f t="shared" si="76"/>
        <v>0</v>
      </c>
      <c r="DI121" s="511">
        <f t="shared" si="77"/>
        <v>0</v>
      </c>
      <c r="DJ121" s="511">
        <f t="shared" si="78"/>
        <v>0</v>
      </c>
      <c r="DK121" s="524">
        <f t="shared" si="79"/>
        <v>0</v>
      </c>
      <c r="DL121" s="524">
        <f>IF(DK121=0,35,_xlfn.RANK.EQ(DK121,DK98:DK132))</f>
        <v>35</v>
      </c>
      <c r="DM121" s="772">
        <f>IF(DL121=35,35,DL121+COUNTIF(DL$98:DL120,DL121)/COUNTIF(DL$98:DL$132,DL121))</f>
        <v>35</v>
      </c>
      <c r="DN121" s="524">
        <f t="shared" si="80"/>
        <v>13</v>
      </c>
      <c r="DO121" s="524" t="s">
        <v>413</v>
      </c>
      <c r="DP121" s="474"/>
      <c r="DQ121" s="474"/>
      <c r="DR121" s="527"/>
      <c r="DS121" s="474"/>
      <c r="DT121" s="474"/>
      <c r="DU121" s="474"/>
      <c r="DV121" s="474"/>
      <c r="DW121" s="474"/>
      <c r="DX121" s="474"/>
      <c r="DY121" s="474"/>
      <c r="DZ121" s="474"/>
      <c r="EA121" s="474"/>
      <c r="EB121" s="474"/>
      <c r="EC121" s="474"/>
    </row>
    <row r="122" spans="29:133" s="473" customFormat="1">
      <c r="AC122" s="761">
        <f t="shared" si="7"/>
        <v>25</v>
      </c>
      <c r="AD122" s="497" t="s">
        <v>395</v>
      </c>
      <c r="AE122" s="497">
        <f t="shared" si="8"/>
        <v>0</v>
      </c>
      <c r="AF122" s="497">
        <f t="shared" si="9"/>
        <v>0</v>
      </c>
      <c r="AG122" s="497">
        <f t="shared" si="10"/>
        <v>0</v>
      </c>
      <c r="AH122" s="497">
        <f t="shared" si="11"/>
        <v>0</v>
      </c>
      <c r="AI122" s="497">
        <f t="shared" si="12"/>
        <v>0</v>
      </c>
      <c r="AJ122" s="497">
        <f t="shared" si="13"/>
        <v>0</v>
      </c>
      <c r="AK122" s="497">
        <f t="shared" si="14"/>
        <v>0</v>
      </c>
      <c r="AL122" s="497">
        <f t="shared" si="15"/>
        <v>0</v>
      </c>
      <c r="AM122" s="497">
        <f t="shared" si="16"/>
        <v>0</v>
      </c>
      <c r="AN122" s="497">
        <f t="shared" si="17"/>
        <v>0</v>
      </c>
      <c r="AO122" s="497">
        <f t="shared" si="18"/>
        <v>0</v>
      </c>
      <c r="AP122" s="497">
        <f t="shared" si="19"/>
        <v>0</v>
      </c>
      <c r="AQ122" s="497">
        <f t="shared" si="20"/>
        <v>0</v>
      </c>
      <c r="AR122" s="497">
        <f t="shared" si="21"/>
        <v>0</v>
      </c>
      <c r="AS122" s="497">
        <f>IF(AR122=0,35,_xlfn.RANK.EQ(AR122,AR98:AR132))</f>
        <v>35</v>
      </c>
      <c r="AT122" s="1348">
        <f>IF(AS122=35,35,AS122+COUNTIF(AS$98:AS121,AS122)/COUNTIF(AS$98:AS$132,AS122))</f>
        <v>35</v>
      </c>
      <c r="AU122" s="497">
        <f t="shared" si="22"/>
        <v>12</v>
      </c>
      <c r="AV122" s="497" t="s">
        <v>395</v>
      </c>
      <c r="AW122" s="497">
        <f t="shared" si="23"/>
        <v>0</v>
      </c>
      <c r="AX122" s="497">
        <f t="shared" si="24"/>
        <v>0</v>
      </c>
      <c r="AY122" s="497">
        <f t="shared" si="25"/>
        <v>0</v>
      </c>
      <c r="AZ122" s="497">
        <f t="shared" si="26"/>
        <v>10</v>
      </c>
      <c r="BA122" s="497">
        <f t="shared" si="27"/>
        <v>10</v>
      </c>
      <c r="BB122" s="497">
        <f t="shared" si="28"/>
        <v>10</v>
      </c>
      <c r="BC122" s="497">
        <f t="shared" si="29"/>
        <v>10</v>
      </c>
      <c r="BD122" s="497">
        <f t="shared" si="30"/>
        <v>9</v>
      </c>
      <c r="BE122" s="497">
        <f t="shared" si="31"/>
        <v>9</v>
      </c>
      <c r="BF122" s="497">
        <f t="shared" si="32"/>
        <v>0</v>
      </c>
      <c r="BG122" s="497">
        <f t="shared" si="33"/>
        <v>0</v>
      </c>
      <c r="BH122" s="497">
        <f t="shared" si="34"/>
        <v>0</v>
      </c>
      <c r="BI122" s="497">
        <f t="shared" si="35"/>
        <v>58</v>
      </c>
      <c r="BJ122" s="497">
        <f>IF(BI122=0,35,_xlfn.RANK.EQ(BI122,BI98:BI132))</f>
        <v>4</v>
      </c>
      <c r="BK122" s="1348">
        <f>IF(BJ122=35,35,BJ122+COUNTIF(BJ$98:BJ121,BJ122)/COUNTIF(BJ$98:BJ$132,BJ122))</f>
        <v>4.5</v>
      </c>
      <c r="BL122" s="497">
        <f t="shared" si="6"/>
        <v>5</v>
      </c>
      <c r="BM122" s="497" t="s">
        <v>395</v>
      </c>
      <c r="BN122" s="497">
        <f t="shared" si="36"/>
        <v>0</v>
      </c>
      <c r="BO122" s="497">
        <f t="shared" si="37"/>
        <v>0</v>
      </c>
      <c r="BP122" s="497">
        <f t="shared" si="38"/>
        <v>0</v>
      </c>
      <c r="BQ122" s="497">
        <f t="shared" si="39"/>
        <v>0</v>
      </c>
      <c r="BR122" s="497">
        <f t="shared" si="40"/>
        <v>0</v>
      </c>
      <c r="BS122" s="497">
        <f t="shared" si="41"/>
        <v>0</v>
      </c>
      <c r="BT122" s="497">
        <f t="shared" si="42"/>
        <v>0</v>
      </c>
      <c r="BU122" s="497">
        <f t="shared" si="43"/>
        <v>0</v>
      </c>
      <c r="BV122" s="497">
        <f t="shared" si="44"/>
        <v>0</v>
      </c>
      <c r="BW122" s="497">
        <f t="shared" si="45"/>
        <v>0</v>
      </c>
      <c r="BX122" s="497">
        <f t="shared" si="46"/>
        <v>0</v>
      </c>
      <c r="BY122" s="497">
        <f t="shared" si="47"/>
        <v>0</v>
      </c>
      <c r="BZ122" s="497">
        <f t="shared" si="48"/>
        <v>0</v>
      </c>
      <c r="CA122" s="511">
        <f t="shared" si="49"/>
        <v>0</v>
      </c>
      <c r="CB122" s="511">
        <f>IF(CA122=0,35,_xlfn.RANK.EQ(CA122,CA98:CA132))</f>
        <v>35</v>
      </c>
      <c r="CC122" s="512">
        <f>IF(CB122=35,35,CB122+COUNTIF(CB$98:CB121,CB122)/COUNTIF(CB$98:CB$132,CB122))</f>
        <v>35</v>
      </c>
      <c r="CD122" s="511">
        <f t="shared" si="50"/>
        <v>13</v>
      </c>
      <c r="CE122" s="511" t="s">
        <v>395</v>
      </c>
      <c r="CF122" s="511">
        <f t="shared" si="51"/>
        <v>0</v>
      </c>
      <c r="CG122" s="511">
        <f t="shared" si="52"/>
        <v>0</v>
      </c>
      <c r="CH122" s="511">
        <f t="shared" si="53"/>
        <v>0</v>
      </c>
      <c r="CI122" s="511">
        <f t="shared" si="54"/>
        <v>0</v>
      </c>
      <c r="CJ122" s="511">
        <f t="shared" si="55"/>
        <v>0</v>
      </c>
      <c r="CK122" s="511">
        <f t="shared" si="56"/>
        <v>0</v>
      </c>
      <c r="CL122" s="511">
        <f t="shared" si="57"/>
        <v>0</v>
      </c>
      <c r="CM122" s="511">
        <f t="shared" si="58"/>
        <v>10</v>
      </c>
      <c r="CN122" s="511">
        <f t="shared" si="59"/>
        <v>9</v>
      </c>
      <c r="CO122" s="511">
        <f t="shared" si="60"/>
        <v>0</v>
      </c>
      <c r="CP122" s="511">
        <f t="shared" si="61"/>
        <v>0</v>
      </c>
      <c r="CQ122" s="511">
        <f t="shared" si="62"/>
        <v>0</v>
      </c>
      <c r="CR122" s="511">
        <f t="shared" si="63"/>
        <v>0</v>
      </c>
      <c r="CS122" s="511">
        <f t="shared" si="64"/>
        <v>19</v>
      </c>
      <c r="CT122" s="511">
        <f>IF(CS122=0,35,_xlfn.RANK.EQ(CS122,CS98:CS132))</f>
        <v>13</v>
      </c>
      <c r="CU122" s="512">
        <f>IF(CT122=35,35,CT122+COUNTIF(CT$98:CT121,CT122)/COUNTIF(CT$98:CT$132,CT122))</f>
        <v>13.5</v>
      </c>
      <c r="CV122" s="511">
        <f t="shared" si="65"/>
        <v>14</v>
      </c>
      <c r="CW122" s="511" t="s">
        <v>395</v>
      </c>
      <c r="CX122" s="511">
        <f t="shared" si="66"/>
        <v>0</v>
      </c>
      <c r="CY122" s="511">
        <f t="shared" si="67"/>
        <v>0</v>
      </c>
      <c r="CZ122" s="511">
        <f t="shared" si="68"/>
        <v>0</v>
      </c>
      <c r="DA122" s="511">
        <f t="shared" si="69"/>
        <v>0</v>
      </c>
      <c r="DB122" s="511">
        <f t="shared" si="70"/>
        <v>0</v>
      </c>
      <c r="DC122" s="511">
        <f t="shared" si="71"/>
        <v>0</v>
      </c>
      <c r="DD122" s="511">
        <f t="shared" si="72"/>
        <v>0</v>
      </c>
      <c r="DE122" s="511">
        <f t="shared" si="73"/>
        <v>0</v>
      </c>
      <c r="DF122" s="511">
        <f t="shared" si="74"/>
        <v>0</v>
      </c>
      <c r="DG122" s="511">
        <f t="shared" si="75"/>
        <v>0</v>
      </c>
      <c r="DH122" s="511">
        <f t="shared" si="76"/>
        <v>0</v>
      </c>
      <c r="DI122" s="511">
        <f t="shared" si="77"/>
        <v>0</v>
      </c>
      <c r="DJ122" s="511">
        <f t="shared" si="78"/>
        <v>0</v>
      </c>
      <c r="DK122" s="524">
        <f t="shared" si="79"/>
        <v>0</v>
      </c>
      <c r="DL122" s="524">
        <f>IF(DK122=0,35,_xlfn.RANK.EQ(DK122,DK98:DK132))</f>
        <v>35</v>
      </c>
      <c r="DM122" s="772">
        <f>IF(DL122=35,35,DL122+COUNTIF(DL$98:DL121,DL122)/COUNTIF(DL$98:DL$132,DL122))</f>
        <v>35</v>
      </c>
      <c r="DN122" s="524">
        <f t="shared" si="80"/>
        <v>13</v>
      </c>
      <c r="DO122" s="524" t="s">
        <v>395</v>
      </c>
      <c r="DP122" s="474"/>
      <c r="DQ122" s="474"/>
      <c r="DR122" s="527"/>
      <c r="DS122" s="474"/>
      <c r="DT122" s="474"/>
      <c r="DU122" s="474"/>
      <c r="DV122" s="474"/>
      <c r="DW122" s="474"/>
      <c r="DX122" s="474"/>
      <c r="DY122" s="474"/>
      <c r="DZ122" s="474"/>
      <c r="EA122" s="474"/>
      <c r="EB122" s="474"/>
      <c r="EC122" s="474"/>
    </row>
    <row r="123" spans="29:133" s="473" customFormat="1">
      <c r="AC123" s="761">
        <f t="shared" si="7"/>
        <v>26</v>
      </c>
      <c r="AD123" s="497" t="s">
        <v>399</v>
      </c>
      <c r="AE123" s="497">
        <f t="shared" si="8"/>
        <v>0</v>
      </c>
      <c r="AF123" s="497">
        <f t="shared" si="9"/>
        <v>0</v>
      </c>
      <c r="AG123" s="497">
        <f t="shared" si="10"/>
        <v>0</v>
      </c>
      <c r="AH123" s="497">
        <f t="shared" si="11"/>
        <v>0</v>
      </c>
      <c r="AI123" s="497">
        <f t="shared" si="12"/>
        <v>0</v>
      </c>
      <c r="AJ123" s="497">
        <f t="shared" si="13"/>
        <v>0</v>
      </c>
      <c r="AK123" s="497">
        <f t="shared" si="14"/>
        <v>0</v>
      </c>
      <c r="AL123" s="497">
        <f t="shared" si="15"/>
        <v>0</v>
      </c>
      <c r="AM123" s="497">
        <f t="shared" si="16"/>
        <v>0</v>
      </c>
      <c r="AN123" s="497">
        <f t="shared" si="17"/>
        <v>0</v>
      </c>
      <c r="AO123" s="497">
        <f t="shared" si="18"/>
        <v>0</v>
      </c>
      <c r="AP123" s="497">
        <f t="shared" si="19"/>
        <v>0</v>
      </c>
      <c r="AQ123" s="497">
        <f t="shared" si="20"/>
        <v>0</v>
      </c>
      <c r="AR123" s="497">
        <f t="shared" si="21"/>
        <v>0</v>
      </c>
      <c r="AS123" s="497">
        <f>IF(AR123=0,35,_xlfn.RANK.EQ(AR123,AR98:AR132))</f>
        <v>35</v>
      </c>
      <c r="AT123" s="1348">
        <f>IF(AS123=35,35,AS123+COUNTIF(AS$98:AS122,AS123)/COUNTIF(AS$98:AS$132,AS123))</f>
        <v>35</v>
      </c>
      <c r="AU123" s="497">
        <f t="shared" si="22"/>
        <v>12</v>
      </c>
      <c r="AV123" s="497" t="s">
        <v>399</v>
      </c>
      <c r="AW123" s="497">
        <f t="shared" si="23"/>
        <v>0</v>
      </c>
      <c r="AX123" s="497">
        <f t="shared" si="24"/>
        <v>0</v>
      </c>
      <c r="AY123" s="497">
        <f t="shared" si="25"/>
        <v>0</v>
      </c>
      <c r="AZ123" s="497">
        <f t="shared" si="26"/>
        <v>0</v>
      </c>
      <c r="BA123" s="497">
        <f t="shared" si="27"/>
        <v>0</v>
      </c>
      <c r="BB123" s="497">
        <f t="shared" si="28"/>
        <v>0</v>
      </c>
      <c r="BC123" s="497">
        <f t="shared" si="29"/>
        <v>0</v>
      </c>
      <c r="BD123" s="497">
        <f t="shared" si="30"/>
        <v>0</v>
      </c>
      <c r="BE123" s="497">
        <f t="shared" si="31"/>
        <v>0</v>
      </c>
      <c r="BF123" s="497">
        <f t="shared" si="32"/>
        <v>0</v>
      </c>
      <c r="BG123" s="497">
        <f t="shared" si="33"/>
        <v>0</v>
      </c>
      <c r="BH123" s="497">
        <f t="shared" si="34"/>
        <v>0</v>
      </c>
      <c r="BI123" s="497">
        <f t="shared" si="35"/>
        <v>0</v>
      </c>
      <c r="BJ123" s="497">
        <f>IF(BI123=0,35,_xlfn.RANK.EQ(BI123,BI98:BI132))</f>
        <v>35</v>
      </c>
      <c r="BK123" s="1348">
        <f>IF(BJ123=35,35,BJ123+COUNTIF(BJ$98:BJ122,BJ123)/COUNTIF(BJ$98:BJ$132,BJ123))</f>
        <v>35</v>
      </c>
      <c r="BL123" s="497">
        <f t="shared" si="6"/>
        <v>13</v>
      </c>
      <c r="BM123" s="497" t="s">
        <v>399</v>
      </c>
      <c r="BN123" s="497">
        <f t="shared" si="36"/>
        <v>0</v>
      </c>
      <c r="BO123" s="497">
        <f t="shared" si="37"/>
        <v>0</v>
      </c>
      <c r="BP123" s="497">
        <f t="shared" si="38"/>
        <v>0</v>
      </c>
      <c r="BQ123" s="497">
        <f t="shared" si="39"/>
        <v>0</v>
      </c>
      <c r="BR123" s="497">
        <f t="shared" si="40"/>
        <v>0</v>
      </c>
      <c r="BS123" s="497">
        <f t="shared" si="41"/>
        <v>0</v>
      </c>
      <c r="BT123" s="497">
        <f t="shared" si="42"/>
        <v>0</v>
      </c>
      <c r="BU123" s="497">
        <f t="shared" si="43"/>
        <v>0</v>
      </c>
      <c r="BV123" s="497">
        <f t="shared" si="44"/>
        <v>0</v>
      </c>
      <c r="BW123" s="497">
        <f t="shared" si="45"/>
        <v>0</v>
      </c>
      <c r="BX123" s="497">
        <f t="shared" si="46"/>
        <v>0</v>
      </c>
      <c r="BY123" s="497">
        <f t="shared" si="47"/>
        <v>0</v>
      </c>
      <c r="BZ123" s="497">
        <f t="shared" si="48"/>
        <v>0</v>
      </c>
      <c r="CA123" s="511">
        <f t="shared" si="49"/>
        <v>0</v>
      </c>
      <c r="CB123" s="511">
        <f>IF(CA123=0,35,_xlfn.RANK.EQ(CA123,CA98:CA132))</f>
        <v>35</v>
      </c>
      <c r="CC123" s="512">
        <f>IF(CB123=35,35,CB123+COUNTIF(CB$98:CB122,CB123)/COUNTIF(CB$98:CB$132,CB123))</f>
        <v>35</v>
      </c>
      <c r="CD123" s="511">
        <f t="shared" si="50"/>
        <v>13</v>
      </c>
      <c r="CE123" s="511" t="s">
        <v>399</v>
      </c>
      <c r="CF123" s="511">
        <f t="shared" si="51"/>
        <v>5</v>
      </c>
      <c r="CG123" s="511">
        <f t="shared" si="52"/>
        <v>5</v>
      </c>
      <c r="CH123" s="511">
        <f t="shared" si="53"/>
        <v>7</v>
      </c>
      <c r="CI123" s="511">
        <f t="shared" si="54"/>
        <v>6</v>
      </c>
      <c r="CJ123" s="511">
        <f t="shared" si="55"/>
        <v>4</v>
      </c>
      <c r="CK123" s="511">
        <f t="shared" si="56"/>
        <v>6</v>
      </c>
      <c r="CL123" s="511">
        <f t="shared" si="57"/>
        <v>6</v>
      </c>
      <c r="CM123" s="511">
        <f t="shared" si="58"/>
        <v>5</v>
      </c>
      <c r="CN123" s="511">
        <f t="shared" si="59"/>
        <v>5</v>
      </c>
      <c r="CO123" s="511">
        <f t="shared" si="60"/>
        <v>0</v>
      </c>
      <c r="CP123" s="511">
        <f t="shared" si="61"/>
        <v>5</v>
      </c>
      <c r="CQ123" s="511">
        <f t="shared" si="62"/>
        <v>5</v>
      </c>
      <c r="CR123" s="511">
        <f t="shared" si="63"/>
        <v>5</v>
      </c>
      <c r="CS123" s="511">
        <f t="shared" si="64"/>
        <v>59</v>
      </c>
      <c r="CT123" s="511">
        <f>IF(CS123=0,35,_xlfn.RANK.EQ(CS123,CS98:CS132))</f>
        <v>4</v>
      </c>
      <c r="CU123" s="512">
        <f>IF(CT123=35,35,CT123+COUNTIF(CT$98:CT122,CT123)/COUNTIF(CT$98:CT$132,CT123))</f>
        <v>4</v>
      </c>
      <c r="CV123" s="511">
        <f t="shared" si="65"/>
        <v>4</v>
      </c>
      <c r="CW123" s="511" t="s">
        <v>399</v>
      </c>
      <c r="CX123" s="511">
        <f t="shared" si="66"/>
        <v>0</v>
      </c>
      <c r="CY123" s="511">
        <f t="shared" si="67"/>
        <v>0</v>
      </c>
      <c r="CZ123" s="511">
        <f t="shared" si="68"/>
        <v>0</v>
      </c>
      <c r="DA123" s="511">
        <f t="shared" si="69"/>
        <v>0</v>
      </c>
      <c r="DB123" s="511">
        <f t="shared" si="70"/>
        <v>0</v>
      </c>
      <c r="DC123" s="511">
        <f t="shared" si="71"/>
        <v>0</v>
      </c>
      <c r="DD123" s="511">
        <f t="shared" si="72"/>
        <v>0</v>
      </c>
      <c r="DE123" s="511">
        <f t="shared" si="73"/>
        <v>0</v>
      </c>
      <c r="DF123" s="511">
        <f t="shared" si="74"/>
        <v>0</v>
      </c>
      <c r="DG123" s="511">
        <f t="shared" si="75"/>
        <v>0</v>
      </c>
      <c r="DH123" s="511">
        <f t="shared" si="76"/>
        <v>0</v>
      </c>
      <c r="DI123" s="511">
        <f t="shared" si="77"/>
        <v>0</v>
      </c>
      <c r="DJ123" s="511">
        <f t="shared" si="78"/>
        <v>0</v>
      </c>
      <c r="DK123" s="524">
        <f t="shared" si="79"/>
        <v>0</v>
      </c>
      <c r="DL123" s="524">
        <f>IF(DK123=0,35,_xlfn.RANK.EQ(DK123,DK98:DK132))</f>
        <v>35</v>
      </c>
      <c r="DM123" s="772">
        <f>IF(DL123=35,35,DL123+COUNTIF(DL$98:DL122,DL123)/COUNTIF(DL$98:DL$132,DL123))</f>
        <v>35</v>
      </c>
      <c r="DN123" s="524">
        <f t="shared" si="80"/>
        <v>13</v>
      </c>
      <c r="DO123" s="524" t="s">
        <v>399</v>
      </c>
      <c r="DP123" s="474"/>
      <c r="DQ123" s="474"/>
      <c r="DR123" s="527"/>
      <c r="DS123" s="474"/>
      <c r="DT123" s="474"/>
      <c r="DU123" s="474"/>
      <c r="DV123" s="474"/>
      <c r="DW123" s="474"/>
      <c r="DX123" s="474"/>
      <c r="DY123" s="474"/>
      <c r="DZ123" s="474"/>
      <c r="EA123" s="474"/>
      <c r="EB123" s="474"/>
      <c r="EC123" s="474"/>
    </row>
    <row r="124" spans="29:133" s="473" customFormat="1">
      <c r="AC124" s="761">
        <f t="shared" si="7"/>
        <v>27</v>
      </c>
      <c r="AD124" s="497" t="s">
        <v>386</v>
      </c>
      <c r="AE124" s="497">
        <f t="shared" si="8"/>
        <v>9</v>
      </c>
      <c r="AF124" s="497">
        <f t="shared" si="9"/>
        <v>8</v>
      </c>
      <c r="AG124" s="497">
        <f t="shared" si="10"/>
        <v>9</v>
      </c>
      <c r="AH124" s="497">
        <f t="shared" si="11"/>
        <v>8</v>
      </c>
      <c r="AI124" s="497">
        <f t="shared" si="12"/>
        <v>7</v>
      </c>
      <c r="AJ124" s="497">
        <f t="shared" si="13"/>
        <v>0</v>
      </c>
      <c r="AK124" s="497">
        <f t="shared" si="14"/>
        <v>0</v>
      </c>
      <c r="AL124" s="497">
        <f t="shared" si="15"/>
        <v>0</v>
      </c>
      <c r="AM124" s="497">
        <f t="shared" si="16"/>
        <v>0</v>
      </c>
      <c r="AN124" s="497">
        <f t="shared" si="17"/>
        <v>0</v>
      </c>
      <c r="AO124" s="497">
        <f t="shared" si="18"/>
        <v>0</v>
      </c>
      <c r="AP124" s="497">
        <f t="shared" si="19"/>
        <v>0</v>
      </c>
      <c r="AQ124" s="497">
        <f t="shared" si="20"/>
        <v>0</v>
      </c>
      <c r="AR124" s="497">
        <f t="shared" si="21"/>
        <v>41</v>
      </c>
      <c r="AS124" s="497">
        <f>IF(AR124=0,35,_xlfn.RANK.EQ(AR124,AR98:AR132))</f>
        <v>8</v>
      </c>
      <c r="AT124" s="1348">
        <f>IF(AS124=35,35,AS124+COUNTIF(AS$98:AS123,AS124)/COUNTIF(AS$98:AS$132,AS124))</f>
        <v>8</v>
      </c>
      <c r="AU124" s="497">
        <f t="shared" si="22"/>
        <v>8</v>
      </c>
      <c r="AV124" s="497" t="s">
        <v>386</v>
      </c>
      <c r="AW124" s="497">
        <f t="shared" si="23"/>
        <v>10</v>
      </c>
      <c r="AX124" s="497">
        <f t="shared" si="24"/>
        <v>10</v>
      </c>
      <c r="AY124" s="497">
        <f t="shared" si="25"/>
        <v>10</v>
      </c>
      <c r="AZ124" s="497">
        <f t="shared" si="26"/>
        <v>0</v>
      </c>
      <c r="BA124" s="497">
        <f t="shared" si="27"/>
        <v>0</v>
      </c>
      <c r="BB124" s="497">
        <f t="shared" si="28"/>
        <v>0</v>
      </c>
      <c r="BC124" s="497">
        <f t="shared" si="29"/>
        <v>0</v>
      </c>
      <c r="BD124" s="497">
        <f t="shared" si="30"/>
        <v>0</v>
      </c>
      <c r="BE124" s="497">
        <f t="shared" si="31"/>
        <v>0</v>
      </c>
      <c r="BF124" s="497">
        <f t="shared" si="32"/>
        <v>0</v>
      </c>
      <c r="BG124" s="497">
        <f t="shared" si="33"/>
        <v>0</v>
      </c>
      <c r="BH124" s="497">
        <f t="shared" si="34"/>
        <v>0</v>
      </c>
      <c r="BI124" s="497">
        <f t="shared" si="35"/>
        <v>30</v>
      </c>
      <c r="BJ124" s="497">
        <f>IF(BI124=0,35,_xlfn.RANK.EQ(BI124,BI98:BI132))</f>
        <v>9</v>
      </c>
      <c r="BK124" s="1348">
        <f>IF(BJ124=35,35,BJ124+COUNTIF(BJ$98:BJ123,BJ124)/COUNTIF(BJ$98:BJ$132,BJ124))</f>
        <v>9</v>
      </c>
      <c r="BL124" s="497">
        <f t="shared" si="6"/>
        <v>9</v>
      </c>
      <c r="BM124" s="497" t="s">
        <v>386</v>
      </c>
      <c r="BN124" s="497">
        <f t="shared" si="36"/>
        <v>0</v>
      </c>
      <c r="BO124" s="497">
        <f t="shared" si="37"/>
        <v>0</v>
      </c>
      <c r="BP124" s="497">
        <f t="shared" si="38"/>
        <v>0</v>
      </c>
      <c r="BQ124" s="497">
        <f t="shared" si="39"/>
        <v>0</v>
      </c>
      <c r="BR124" s="497">
        <f t="shared" si="40"/>
        <v>0</v>
      </c>
      <c r="BS124" s="497">
        <f t="shared" si="41"/>
        <v>0</v>
      </c>
      <c r="BT124" s="497">
        <f t="shared" si="42"/>
        <v>0</v>
      </c>
      <c r="BU124" s="497">
        <f t="shared" si="43"/>
        <v>0</v>
      </c>
      <c r="BV124" s="497">
        <f t="shared" si="44"/>
        <v>0</v>
      </c>
      <c r="BW124" s="497">
        <f t="shared" si="45"/>
        <v>0</v>
      </c>
      <c r="BX124" s="497">
        <f t="shared" si="46"/>
        <v>0</v>
      </c>
      <c r="BY124" s="497">
        <f t="shared" si="47"/>
        <v>0</v>
      </c>
      <c r="BZ124" s="497">
        <f t="shared" si="48"/>
        <v>0</v>
      </c>
      <c r="CA124" s="511">
        <f t="shared" si="49"/>
        <v>0</v>
      </c>
      <c r="CB124" s="511">
        <f>IF(CA124=0,35,_xlfn.RANK.EQ(CA124,CA98:CA132))</f>
        <v>35</v>
      </c>
      <c r="CC124" s="512">
        <f>IF(CB124=35,35,CB124+COUNTIF(CB$98:CB123,CB124)/COUNTIF(CB$98:CB$132,CB124))</f>
        <v>35</v>
      </c>
      <c r="CD124" s="511">
        <f t="shared" si="50"/>
        <v>13</v>
      </c>
      <c r="CE124" s="511" t="s">
        <v>386</v>
      </c>
      <c r="CF124" s="511">
        <f t="shared" si="51"/>
        <v>0</v>
      </c>
      <c r="CG124" s="511">
        <f t="shared" si="52"/>
        <v>0</v>
      </c>
      <c r="CH124" s="511">
        <f t="shared" si="53"/>
        <v>0</v>
      </c>
      <c r="CI124" s="511">
        <f t="shared" si="54"/>
        <v>0</v>
      </c>
      <c r="CJ124" s="511">
        <f t="shared" si="55"/>
        <v>0</v>
      </c>
      <c r="CK124" s="511">
        <f t="shared" si="56"/>
        <v>0</v>
      </c>
      <c r="CL124" s="511">
        <f t="shared" si="57"/>
        <v>0</v>
      </c>
      <c r="CM124" s="511">
        <f t="shared" si="58"/>
        <v>0</v>
      </c>
      <c r="CN124" s="511">
        <f t="shared" si="59"/>
        <v>0</v>
      </c>
      <c r="CO124" s="511">
        <f t="shared" si="60"/>
        <v>0</v>
      </c>
      <c r="CP124" s="511">
        <f t="shared" si="61"/>
        <v>0</v>
      </c>
      <c r="CQ124" s="511">
        <f t="shared" si="62"/>
        <v>0</v>
      </c>
      <c r="CR124" s="511">
        <f t="shared" si="63"/>
        <v>0</v>
      </c>
      <c r="CS124" s="511">
        <f t="shared" si="64"/>
        <v>0</v>
      </c>
      <c r="CT124" s="511">
        <f>IF(CS124=0,35,_xlfn.RANK.EQ(CS124,CS98:CS132))</f>
        <v>35</v>
      </c>
      <c r="CU124" s="512">
        <f>IF(CT124=35,35,CT124+COUNTIF(CT$98:CT123,CT124)/COUNTIF(CT$98:CT$132,CT124))</f>
        <v>35</v>
      </c>
      <c r="CV124" s="511">
        <f t="shared" si="65"/>
        <v>21</v>
      </c>
      <c r="CW124" s="511" t="s">
        <v>386</v>
      </c>
      <c r="CX124" s="511">
        <f t="shared" si="66"/>
        <v>0</v>
      </c>
      <c r="CY124" s="511">
        <f t="shared" si="67"/>
        <v>0</v>
      </c>
      <c r="CZ124" s="511">
        <f t="shared" si="68"/>
        <v>0</v>
      </c>
      <c r="DA124" s="511">
        <f t="shared" si="69"/>
        <v>0</v>
      </c>
      <c r="DB124" s="511">
        <f t="shared" si="70"/>
        <v>0</v>
      </c>
      <c r="DC124" s="511">
        <f t="shared" si="71"/>
        <v>0</v>
      </c>
      <c r="DD124" s="511">
        <f t="shared" si="72"/>
        <v>0</v>
      </c>
      <c r="DE124" s="511">
        <f t="shared" si="73"/>
        <v>0</v>
      </c>
      <c r="DF124" s="511">
        <f t="shared" si="74"/>
        <v>0</v>
      </c>
      <c r="DG124" s="511">
        <f t="shared" si="75"/>
        <v>0</v>
      </c>
      <c r="DH124" s="511">
        <f t="shared" si="76"/>
        <v>0</v>
      </c>
      <c r="DI124" s="511">
        <f t="shared" si="77"/>
        <v>0</v>
      </c>
      <c r="DJ124" s="511">
        <f t="shared" si="78"/>
        <v>0</v>
      </c>
      <c r="DK124" s="524">
        <f t="shared" si="79"/>
        <v>0</v>
      </c>
      <c r="DL124" s="524">
        <f>IF(DK124=0,35,_xlfn.RANK.EQ(DK124,DK98:DK132))</f>
        <v>35</v>
      </c>
      <c r="DM124" s="772">
        <f>IF(DL124=35,35,DL124+COUNTIF(DL$98:DL123,DL124)/COUNTIF(DL$98:DL$132,DL124))</f>
        <v>35</v>
      </c>
      <c r="DN124" s="524">
        <f t="shared" si="80"/>
        <v>13</v>
      </c>
      <c r="DO124" s="524" t="s">
        <v>386</v>
      </c>
      <c r="DP124" s="474"/>
      <c r="DQ124" s="474"/>
      <c r="DR124" s="527"/>
      <c r="DS124" s="474"/>
      <c r="DT124" s="474"/>
      <c r="DU124" s="474"/>
      <c r="DV124" s="474"/>
      <c r="DW124" s="474"/>
      <c r="DX124" s="474"/>
      <c r="DY124" s="474"/>
      <c r="DZ124" s="474"/>
      <c r="EA124" s="474"/>
      <c r="EB124" s="474"/>
      <c r="EC124" s="474"/>
    </row>
    <row r="125" spans="29:133" s="473" customFormat="1">
      <c r="AC125" s="761">
        <f t="shared" si="7"/>
        <v>28</v>
      </c>
      <c r="AD125" s="497" t="s">
        <v>414</v>
      </c>
      <c r="AE125" s="497">
        <f t="shared" si="8"/>
        <v>0</v>
      </c>
      <c r="AF125" s="497">
        <f t="shared" si="9"/>
        <v>0</v>
      </c>
      <c r="AG125" s="497">
        <f t="shared" si="10"/>
        <v>0</v>
      </c>
      <c r="AH125" s="497">
        <f t="shared" si="11"/>
        <v>0</v>
      </c>
      <c r="AI125" s="497">
        <f t="shared" si="12"/>
        <v>0</v>
      </c>
      <c r="AJ125" s="497">
        <f t="shared" si="13"/>
        <v>0</v>
      </c>
      <c r="AK125" s="497">
        <f t="shared" si="14"/>
        <v>0</v>
      </c>
      <c r="AL125" s="497">
        <f t="shared" si="15"/>
        <v>0</v>
      </c>
      <c r="AM125" s="497">
        <f t="shared" si="16"/>
        <v>0</v>
      </c>
      <c r="AN125" s="497">
        <f t="shared" si="17"/>
        <v>0</v>
      </c>
      <c r="AO125" s="497">
        <f t="shared" si="18"/>
        <v>0</v>
      </c>
      <c r="AP125" s="497">
        <f t="shared" si="19"/>
        <v>0</v>
      </c>
      <c r="AQ125" s="497">
        <f t="shared" si="20"/>
        <v>0</v>
      </c>
      <c r="AR125" s="497">
        <f t="shared" si="21"/>
        <v>0</v>
      </c>
      <c r="AS125" s="497">
        <f>IF(AR125=0,35,_xlfn.RANK.EQ(AR125,AR98:AR132))</f>
        <v>35</v>
      </c>
      <c r="AT125" s="1348">
        <f>IF(AS125=35,35,AS125+COUNTIF(AS$98:AS124,AS125)/COUNTIF(AS$98:AS$132,AS125))</f>
        <v>35</v>
      </c>
      <c r="AU125" s="497">
        <f t="shared" si="22"/>
        <v>12</v>
      </c>
      <c r="AV125" s="497" t="s">
        <v>414</v>
      </c>
      <c r="AW125" s="497">
        <f t="shared" si="23"/>
        <v>0</v>
      </c>
      <c r="AX125" s="497">
        <f t="shared" si="24"/>
        <v>0</v>
      </c>
      <c r="AY125" s="497">
        <f t="shared" si="25"/>
        <v>0</v>
      </c>
      <c r="AZ125" s="497">
        <f t="shared" si="26"/>
        <v>0</v>
      </c>
      <c r="BA125" s="497">
        <f t="shared" si="27"/>
        <v>0</v>
      </c>
      <c r="BB125" s="497">
        <f t="shared" si="28"/>
        <v>0</v>
      </c>
      <c r="BC125" s="497">
        <f t="shared" si="29"/>
        <v>0</v>
      </c>
      <c r="BD125" s="497">
        <f t="shared" si="30"/>
        <v>0</v>
      </c>
      <c r="BE125" s="497">
        <f t="shared" si="31"/>
        <v>0</v>
      </c>
      <c r="BF125" s="497">
        <f t="shared" si="32"/>
        <v>0</v>
      </c>
      <c r="BG125" s="497">
        <f t="shared" si="33"/>
        <v>0</v>
      </c>
      <c r="BH125" s="497">
        <f t="shared" si="34"/>
        <v>0</v>
      </c>
      <c r="BI125" s="497">
        <f t="shared" si="35"/>
        <v>0</v>
      </c>
      <c r="BJ125" s="497">
        <f>IF(BI125=0,35,_xlfn.RANK.EQ(BI125,BI98:BI132))</f>
        <v>35</v>
      </c>
      <c r="BK125" s="1348">
        <f>IF(BJ125=35,35,BJ125+COUNTIF(BJ$98:BJ124,BJ125)/COUNTIF(BJ$98:BJ$132,BJ125))</f>
        <v>35</v>
      </c>
      <c r="BL125" s="497">
        <f t="shared" si="6"/>
        <v>13</v>
      </c>
      <c r="BM125" s="497" t="s">
        <v>414</v>
      </c>
      <c r="BN125" s="497">
        <f t="shared" si="36"/>
        <v>0</v>
      </c>
      <c r="BO125" s="497">
        <f t="shared" si="37"/>
        <v>0</v>
      </c>
      <c r="BP125" s="497">
        <f t="shared" si="38"/>
        <v>0</v>
      </c>
      <c r="BQ125" s="497">
        <f t="shared" si="39"/>
        <v>0</v>
      </c>
      <c r="BR125" s="497">
        <f t="shared" si="40"/>
        <v>0</v>
      </c>
      <c r="BS125" s="497">
        <f t="shared" si="41"/>
        <v>0</v>
      </c>
      <c r="BT125" s="497">
        <f t="shared" si="42"/>
        <v>0</v>
      </c>
      <c r="BU125" s="497">
        <f t="shared" si="43"/>
        <v>0</v>
      </c>
      <c r="BV125" s="497">
        <f t="shared" si="44"/>
        <v>0</v>
      </c>
      <c r="BW125" s="497">
        <f t="shared" si="45"/>
        <v>0</v>
      </c>
      <c r="BX125" s="497">
        <f t="shared" si="46"/>
        <v>0</v>
      </c>
      <c r="BY125" s="497">
        <f t="shared" si="47"/>
        <v>0</v>
      </c>
      <c r="BZ125" s="497">
        <f t="shared" si="48"/>
        <v>0</v>
      </c>
      <c r="CA125" s="511">
        <f t="shared" si="49"/>
        <v>0</v>
      </c>
      <c r="CB125" s="511">
        <f>IF(CA125=0,35,_xlfn.RANK.EQ(CA125,CA98:CA132))</f>
        <v>35</v>
      </c>
      <c r="CC125" s="512">
        <f>IF(CB125=35,35,CB125+COUNTIF(CB$98:CB124,CB125)/COUNTIF(CB$98:CB$132,CB125))</f>
        <v>35</v>
      </c>
      <c r="CD125" s="511">
        <f t="shared" si="50"/>
        <v>13</v>
      </c>
      <c r="CE125" s="511" t="s">
        <v>414</v>
      </c>
      <c r="CF125" s="511">
        <f t="shared" si="51"/>
        <v>0</v>
      </c>
      <c r="CG125" s="511">
        <f t="shared" si="52"/>
        <v>0</v>
      </c>
      <c r="CH125" s="511">
        <f t="shared" si="53"/>
        <v>0</v>
      </c>
      <c r="CI125" s="511">
        <f t="shared" si="54"/>
        <v>0</v>
      </c>
      <c r="CJ125" s="511">
        <f t="shared" si="55"/>
        <v>0</v>
      </c>
      <c r="CK125" s="511">
        <f t="shared" si="56"/>
        <v>0</v>
      </c>
      <c r="CL125" s="511">
        <f t="shared" si="57"/>
        <v>0</v>
      </c>
      <c r="CM125" s="511">
        <f t="shared" si="58"/>
        <v>0</v>
      </c>
      <c r="CN125" s="511">
        <f t="shared" si="59"/>
        <v>0</v>
      </c>
      <c r="CO125" s="511">
        <f t="shared" si="60"/>
        <v>0</v>
      </c>
      <c r="CP125" s="511">
        <f t="shared" si="61"/>
        <v>0</v>
      </c>
      <c r="CQ125" s="511">
        <f t="shared" si="62"/>
        <v>0</v>
      </c>
      <c r="CR125" s="511">
        <f t="shared" si="63"/>
        <v>0</v>
      </c>
      <c r="CS125" s="511">
        <f t="shared" si="64"/>
        <v>0</v>
      </c>
      <c r="CT125" s="511">
        <f>IF(CS125=0,35,_xlfn.RANK.EQ(CS125,CS98:CS132))</f>
        <v>35</v>
      </c>
      <c r="CU125" s="512">
        <f>IF(CT125=35,35,CT125+COUNTIF(CT$98:CT124,CT125)/COUNTIF(CT$98:CT$132,CT125))</f>
        <v>35</v>
      </c>
      <c r="CV125" s="511">
        <f t="shared" si="65"/>
        <v>21</v>
      </c>
      <c r="CW125" s="511" t="s">
        <v>414</v>
      </c>
      <c r="CX125" s="511">
        <f t="shared" si="66"/>
        <v>0</v>
      </c>
      <c r="CY125" s="511">
        <f t="shared" si="67"/>
        <v>0</v>
      </c>
      <c r="CZ125" s="511">
        <f t="shared" si="68"/>
        <v>0</v>
      </c>
      <c r="DA125" s="511">
        <f t="shared" si="69"/>
        <v>0</v>
      </c>
      <c r="DB125" s="511">
        <f t="shared" si="70"/>
        <v>0</v>
      </c>
      <c r="DC125" s="511">
        <f t="shared" si="71"/>
        <v>0</v>
      </c>
      <c r="DD125" s="511">
        <f t="shared" si="72"/>
        <v>0</v>
      </c>
      <c r="DE125" s="511">
        <f t="shared" si="73"/>
        <v>0</v>
      </c>
      <c r="DF125" s="511">
        <f t="shared" si="74"/>
        <v>0</v>
      </c>
      <c r="DG125" s="511">
        <f t="shared" si="75"/>
        <v>0</v>
      </c>
      <c r="DH125" s="511">
        <f t="shared" si="76"/>
        <v>0</v>
      </c>
      <c r="DI125" s="511">
        <f t="shared" si="77"/>
        <v>0</v>
      </c>
      <c r="DJ125" s="511">
        <f t="shared" si="78"/>
        <v>0</v>
      </c>
      <c r="DK125" s="524">
        <f t="shared" si="79"/>
        <v>0</v>
      </c>
      <c r="DL125" s="524">
        <f>IF(DK125=0,35,_xlfn.RANK.EQ(DK125,DK98:DK132))</f>
        <v>35</v>
      </c>
      <c r="DM125" s="772">
        <f>IF(DL125=35,35,DL125+COUNTIF(DL$98:DL124,DL125)/COUNTIF(DL$98:DL$132,DL125))</f>
        <v>35</v>
      </c>
      <c r="DN125" s="524">
        <f t="shared" si="80"/>
        <v>13</v>
      </c>
      <c r="DO125" s="524" t="s">
        <v>414</v>
      </c>
      <c r="DP125" s="474"/>
      <c r="DQ125" s="474"/>
      <c r="DR125" s="527"/>
      <c r="DS125" s="474"/>
      <c r="DT125" s="474"/>
      <c r="DU125" s="474"/>
      <c r="DV125" s="474"/>
      <c r="DW125" s="474"/>
      <c r="DX125" s="474"/>
      <c r="DY125" s="474"/>
      <c r="DZ125" s="474"/>
      <c r="EA125" s="474"/>
      <c r="EB125" s="474"/>
      <c r="EC125" s="474"/>
    </row>
    <row r="126" spans="29:133" s="473" customFormat="1">
      <c r="AC126" s="761">
        <f t="shared" si="7"/>
        <v>29</v>
      </c>
      <c r="AD126" s="497" t="s">
        <v>388</v>
      </c>
      <c r="AE126" s="497">
        <f t="shared" si="8"/>
        <v>0</v>
      </c>
      <c r="AF126" s="497">
        <f t="shared" si="9"/>
        <v>0</v>
      </c>
      <c r="AG126" s="497">
        <f t="shared" si="10"/>
        <v>0</v>
      </c>
      <c r="AH126" s="497">
        <f t="shared" si="11"/>
        <v>0</v>
      </c>
      <c r="AI126" s="497">
        <f t="shared" si="12"/>
        <v>0</v>
      </c>
      <c r="AJ126" s="497">
        <f t="shared" si="13"/>
        <v>10</v>
      </c>
      <c r="AK126" s="497">
        <f t="shared" si="14"/>
        <v>9</v>
      </c>
      <c r="AL126" s="497">
        <f t="shared" si="15"/>
        <v>9</v>
      </c>
      <c r="AM126" s="497">
        <f t="shared" si="16"/>
        <v>9</v>
      </c>
      <c r="AN126" s="497">
        <f t="shared" si="17"/>
        <v>9</v>
      </c>
      <c r="AO126" s="497">
        <f t="shared" si="18"/>
        <v>9</v>
      </c>
      <c r="AP126" s="497">
        <f t="shared" si="19"/>
        <v>9</v>
      </c>
      <c r="AQ126" s="497">
        <f t="shared" si="20"/>
        <v>9</v>
      </c>
      <c r="AR126" s="497">
        <f t="shared" si="21"/>
        <v>73</v>
      </c>
      <c r="AS126" s="497">
        <f>IF(AR126=0,35,_xlfn.RANK.EQ(AR126,AR98:AR132))</f>
        <v>5</v>
      </c>
      <c r="AT126" s="1348">
        <f>IF(AS126=35,35,AS126+COUNTIF(AS$98:AS125,AS126)/COUNTIF(AS$98:AS$132,AS126))</f>
        <v>5</v>
      </c>
      <c r="AU126" s="497">
        <f t="shared" si="22"/>
        <v>5</v>
      </c>
      <c r="AV126" s="497" t="s">
        <v>388</v>
      </c>
      <c r="AW126" s="497">
        <f t="shared" si="23"/>
        <v>0</v>
      </c>
      <c r="AX126" s="497">
        <f t="shared" si="24"/>
        <v>0</v>
      </c>
      <c r="AY126" s="497">
        <f t="shared" si="25"/>
        <v>0</v>
      </c>
      <c r="AZ126" s="497">
        <f t="shared" si="26"/>
        <v>0</v>
      </c>
      <c r="BA126" s="497">
        <f t="shared" si="27"/>
        <v>0</v>
      </c>
      <c r="BB126" s="497">
        <f t="shared" si="28"/>
        <v>0</v>
      </c>
      <c r="BC126" s="497">
        <f t="shared" si="29"/>
        <v>0</v>
      </c>
      <c r="BD126" s="497">
        <f t="shared" si="30"/>
        <v>0</v>
      </c>
      <c r="BE126" s="497">
        <f t="shared" si="31"/>
        <v>0</v>
      </c>
      <c r="BF126" s="497">
        <f t="shared" si="32"/>
        <v>0</v>
      </c>
      <c r="BG126" s="497">
        <f t="shared" si="33"/>
        <v>0</v>
      </c>
      <c r="BH126" s="497">
        <f t="shared" si="34"/>
        <v>0</v>
      </c>
      <c r="BI126" s="497">
        <f t="shared" si="35"/>
        <v>0</v>
      </c>
      <c r="BJ126" s="497">
        <f>IF(BI126=0,35,_xlfn.RANK.EQ(BI126,BI98:BI132))</f>
        <v>35</v>
      </c>
      <c r="BK126" s="1348">
        <f>IF(BJ126=35,35,BJ126+COUNTIF(BJ$98:BJ125,BJ126)/COUNTIF(BJ$98:BJ$132,BJ126))</f>
        <v>35</v>
      </c>
      <c r="BL126" s="497">
        <f t="shared" si="6"/>
        <v>13</v>
      </c>
      <c r="BM126" s="497" t="s">
        <v>388</v>
      </c>
      <c r="BN126" s="497">
        <f t="shared" si="36"/>
        <v>0</v>
      </c>
      <c r="BO126" s="497">
        <f t="shared" si="37"/>
        <v>10</v>
      </c>
      <c r="BP126" s="497">
        <f t="shared" si="38"/>
        <v>10</v>
      </c>
      <c r="BQ126" s="497">
        <f t="shared" si="39"/>
        <v>0</v>
      </c>
      <c r="BR126" s="497">
        <f t="shared" si="40"/>
        <v>10</v>
      </c>
      <c r="BS126" s="497">
        <f t="shared" si="41"/>
        <v>9</v>
      </c>
      <c r="BT126" s="497">
        <f t="shared" si="42"/>
        <v>9</v>
      </c>
      <c r="BU126" s="497">
        <f t="shared" si="43"/>
        <v>9</v>
      </c>
      <c r="BV126" s="497">
        <f t="shared" si="44"/>
        <v>9</v>
      </c>
      <c r="BW126" s="497">
        <f t="shared" si="45"/>
        <v>10</v>
      </c>
      <c r="BX126" s="497">
        <f t="shared" si="46"/>
        <v>0</v>
      </c>
      <c r="BY126" s="497">
        <f t="shared" si="47"/>
        <v>10</v>
      </c>
      <c r="BZ126" s="497">
        <f t="shared" si="48"/>
        <v>0</v>
      </c>
      <c r="CA126" s="511">
        <f t="shared" si="49"/>
        <v>86</v>
      </c>
      <c r="CB126" s="511">
        <f>IF(CA126=0,35,_xlfn.RANK.EQ(CA126,CA98:CA132))</f>
        <v>2</v>
      </c>
      <c r="CC126" s="512">
        <f>IF(CB126=35,35,CB126+COUNTIF(CB$98:CB125,CB126)/COUNTIF(CB$98:CB$132,CB126))</f>
        <v>2</v>
      </c>
      <c r="CD126" s="511">
        <f t="shared" si="50"/>
        <v>2</v>
      </c>
      <c r="CE126" s="511" t="s">
        <v>388</v>
      </c>
      <c r="CF126" s="511">
        <f t="shared" si="51"/>
        <v>0</v>
      </c>
      <c r="CG126" s="511">
        <f t="shared" si="52"/>
        <v>9</v>
      </c>
      <c r="CH126" s="511">
        <f t="shared" si="53"/>
        <v>8</v>
      </c>
      <c r="CI126" s="511">
        <f t="shared" si="54"/>
        <v>7</v>
      </c>
      <c r="CJ126" s="511">
        <f t="shared" si="55"/>
        <v>6</v>
      </c>
      <c r="CK126" s="511">
        <f t="shared" si="56"/>
        <v>5</v>
      </c>
      <c r="CL126" s="511">
        <f t="shared" si="57"/>
        <v>5</v>
      </c>
      <c r="CM126" s="511">
        <f t="shared" si="58"/>
        <v>6</v>
      </c>
      <c r="CN126" s="511">
        <f t="shared" si="59"/>
        <v>6</v>
      </c>
      <c r="CO126" s="511">
        <f t="shared" si="60"/>
        <v>10</v>
      </c>
      <c r="CP126" s="511">
        <f t="shared" si="61"/>
        <v>0</v>
      </c>
      <c r="CQ126" s="511">
        <f t="shared" si="62"/>
        <v>10</v>
      </c>
      <c r="CR126" s="511">
        <f t="shared" si="63"/>
        <v>0</v>
      </c>
      <c r="CS126" s="511">
        <f t="shared" si="64"/>
        <v>72</v>
      </c>
      <c r="CT126" s="511">
        <f>IF(CS126=0,35,_xlfn.RANK.EQ(CS126,CS98:CS132))</f>
        <v>2</v>
      </c>
      <c r="CU126" s="512">
        <f>IF(CT126=35,35,CT126+COUNTIF(CT$98:CT125,CT126)/COUNTIF(CT$98:CT$132,CT126))</f>
        <v>2</v>
      </c>
      <c r="CV126" s="511">
        <f t="shared" si="65"/>
        <v>2</v>
      </c>
      <c r="CW126" s="511" t="s">
        <v>388</v>
      </c>
      <c r="CX126" s="511">
        <f t="shared" si="66"/>
        <v>0</v>
      </c>
      <c r="CY126" s="511">
        <f t="shared" si="67"/>
        <v>0</v>
      </c>
      <c r="CZ126" s="511">
        <f t="shared" si="68"/>
        <v>0</v>
      </c>
      <c r="DA126" s="511">
        <f t="shared" si="69"/>
        <v>0</v>
      </c>
      <c r="DB126" s="511">
        <f t="shared" si="70"/>
        <v>0</v>
      </c>
      <c r="DC126" s="511">
        <f t="shared" si="71"/>
        <v>0</v>
      </c>
      <c r="DD126" s="511">
        <f t="shared" si="72"/>
        <v>0</v>
      </c>
      <c r="DE126" s="511">
        <f t="shared" si="73"/>
        <v>0</v>
      </c>
      <c r="DF126" s="511">
        <f t="shared" si="74"/>
        <v>0</v>
      </c>
      <c r="DG126" s="511">
        <f t="shared" si="75"/>
        <v>0</v>
      </c>
      <c r="DH126" s="511">
        <f t="shared" si="76"/>
        <v>0</v>
      </c>
      <c r="DI126" s="511">
        <f t="shared" si="77"/>
        <v>0</v>
      </c>
      <c r="DJ126" s="511">
        <f t="shared" si="78"/>
        <v>0</v>
      </c>
      <c r="DK126" s="524">
        <f t="shared" si="79"/>
        <v>0</v>
      </c>
      <c r="DL126" s="524">
        <f>IF(DK126=0,35,_xlfn.RANK.EQ(DK126,DK98:DK132))</f>
        <v>35</v>
      </c>
      <c r="DM126" s="772">
        <f>IF(DL126=35,35,DL126+COUNTIF(DL$98:DL125,DL126)/COUNTIF(DL$98:DL$132,DL126))</f>
        <v>35</v>
      </c>
      <c r="DN126" s="524">
        <f t="shared" si="80"/>
        <v>13</v>
      </c>
      <c r="DO126" s="524" t="s">
        <v>388</v>
      </c>
      <c r="DP126" s="474"/>
      <c r="DQ126" s="474"/>
      <c r="DR126" s="527"/>
      <c r="DS126" s="474"/>
      <c r="DT126" s="474"/>
      <c r="DU126" s="474"/>
      <c r="DV126" s="474"/>
      <c r="DW126" s="474"/>
      <c r="DX126" s="474"/>
      <c r="DY126" s="474"/>
      <c r="DZ126" s="474"/>
      <c r="EA126" s="474"/>
      <c r="EB126" s="474"/>
      <c r="EC126" s="474"/>
    </row>
    <row r="127" spans="29:133" s="473" customFormat="1">
      <c r="AC127" s="761">
        <f t="shared" si="7"/>
        <v>30</v>
      </c>
      <c r="AD127" s="497" t="s">
        <v>415</v>
      </c>
      <c r="AE127" s="497">
        <f t="shared" si="8"/>
        <v>0</v>
      </c>
      <c r="AF127" s="497">
        <f t="shared" si="9"/>
        <v>0</v>
      </c>
      <c r="AG127" s="497">
        <f t="shared" si="10"/>
        <v>0</v>
      </c>
      <c r="AH127" s="497">
        <f t="shared" si="11"/>
        <v>0</v>
      </c>
      <c r="AI127" s="497">
        <f t="shared" si="12"/>
        <v>0</v>
      </c>
      <c r="AJ127" s="497">
        <f t="shared" si="13"/>
        <v>0</v>
      </c>
      <c r="AK127" s="497">
        <f t="shared" si="14"/>
        <v>0</v>
      </c>
      <c r="AL127" s="497">
        <f t="shared" si="15"/>
        <v>0</v>
      </c>
      <c r="AM127" s="497">
        <f t="shared" si="16"/>
        <v>0</v>
      </c>
      <c r="AN127" s="497">
        <f t="shared" si="17"/>
        <v>0</v>
      </c>
      <c r="AO127" s="497">
        <f t="shared" si="18"/>
        <v>0</v>
      </c>
      <c r="AP127" s="497">
        <f t="shared" si="19"/>
        <v>0</v>
      </c>
      <c r="AQ127" s="497">
        <f t="shared" si="20"/>
        <v>0</v>
      </c>
      <c r="AR127" s="497">
        <f t="shared" si="21"/>
        <v>0</v>
      </c>
      <c r="AS127" s="497">
        <f>IF(AR127=0,35,_xlfn.RANK.EQ(AR127,AR98:AR132))</f>
        <v>35</v>
      </c>
      <c r="AT127" s="1348">
        <f>IF(AS127=35,35,AS127+COUNTIF(AS$98:AS126,AS127)/COUNTIF(AS$98:AS$132,AS127))</f>
        <v>35</v>
      </c>
      <c r="AU127" s="497">
        <f t="shared" si="22"/>
        <v>12</v>
      </c>
      <c r="AV127" s="497" t="s">
        <v>415</v>
      </c>
      <c r="AW127" s="497">
        <f t="shared" si="23"/>
        <v>0</v>
      </c>
      <c r="AX127" s="497">
        <f t="shared" si="24"/>
        <v>0</v>
      </c>
      <c r="AY127" s="497">
        <f t="shared" si="25"/>
        <v>0</v>
      </c>
      <c r="AZ127" s="497">
        <f t="shared" si="26"/>
        <v>0</v>
      </c>
      <c r="BA127" s="497">
        <f t="shared" si="27"/>
        <v>0</v>
      </c>
      <c r="BB127" s="497">
        <f t="shared" si="28"/>
        <v>0</v>
      </c>
      <c r="BC127" s="497">
        <f t="shared" si="29"/>
        <v>0</v>
      </c>
      <c r="BD127" s="497">
        <f t="shared" si="30"/>
        <v>0</v>
      </c>
      <c r="BE127" s="497">
        <f t="shared" si="31"/>
        <v>0</v>
      </c>
      <c r="BF127" s="497">
        <f t="shared" si="32"/>
        <v>0</v>
      </c>
      <c r="BG127" s="497">
        <f t="shared" si="33"/>
        <v>0</v>
      </c>
      <c r="BH127" s="497">
        <f t="shared" si="34"/>
        <v>0</v>
      </c>
      <c r="BI127" s="497">
        <f t="shared" si="35"/>
        <v>0</v>
      </c>
      <c r="BJ127" s="497">
        <f>IF(BI127=0,35,_xlfn.RANK.EQ(BI127,BI98:BI132))</f>
        <v>35</v>
      </c>
      <c r="BK127" s="1348">
        <f>IF(BJ127=35,35,BJ127+COUNTIF(BJ$98:BJ126,BJ127)/COUNTIF(BJ$98:BJ$132,BJ127))</f>
        <v>35</v>
      </c>
      <c r="BL127" s="497">
        <f t="shared" si="6"/>
        <v>13</v>
      </c>
      <c r="BM127" s="497" t="s">
        <v>415</v>
      </c>
      <c r="BN127" s="497">
        <f t="shared" si="36"/>
        <v>0</v>
      </c>
      <c r="BO127" s="497">
        <f t="shared" si="37"/>
        <v>0</v>
      </c>
      <c r="BP127" s="497">
        <f t="shared" si="38"/>
        <v>0</v>
      </c>
      <c r="BQ127" s="497">
        <f t="shared" si="39"/>
        <v>0</v>
      </c>
      <c r="BR127" s="497">
        <f t="shared" si="40"/>
        <v>0</v>
      </c>
      <c r="BS127" s="497">
        <f t="shared" si="41"/>
        <v>0</v>
      </c>
      <c r="BT127" s="497">
        <f t="shared" si="42"/>
        <v>0</v>
      </c>
      <c r="BU127" s="497">
        <f t="shared" si="43"/>
        <v>0</v>
      </c>
      <c r="BV127" s="497">
        <f t="shared" si="44"/>
        <v>0</v>
      </c>
      <c r="BW127" s="497">
        <f t="shared" si="45"/>
        <v>0</v>
      </c>
      <c r="BX127" s="497">
        <f t="shared" si="46"/>
        <v>0</v>
      </c>
      <c r="BY127" s="497">
        <f t="shared" si="47"/>
        <v>0</v>
      </c>
      <c r="BZ127" s="497">
        <f t="shared" si="48"/>
        <v>0</v>
      </c>
      <c r="CA127" s="511">
        <f t="shared" si="49"/>
        <v>0</v>
      </c>
      <c r="CB127" s="511">
        <f>IF(CA127=0,35,_xlfn.RANK.EQ(CA127,CA98:CA132))</f>
        <v>35</v>
      </c>
      <c r="CC127" s="512">
        <f>IF(CB127=35,35,CB127+COUNTIF(CB$98:CB126,CB127)/COUNTIF(CB$98:CB$132,CB127))</f>
        <v>35</v>
      </c>
      <c r="CD127" s="511">
        <f t="shared" si="50"/>
        <v>13</v>
      </c>
      <c r="CE127" s="511" t="s">
        <v>415</v>
      </c>
      <c r="CF127" s="511">
        <f t="shared" si="51"/>
        <v>0</v>
      </c>
      <c r="CG127" s="511">
        <f t="shared" si="52"/>
        <v>0</v>
      </c>
      <c r="CH127" s="511">
        <f t="shared" si="53"/>
        <v>0</v>
      </c>
      <c r="CI127" s="511">
        <f t="shared" si="54"/>
        <v>0</v>
      </c>
      <c r="CJ127" s="511">
        <f t="shared" si="55"/>
        <v>0</v>
      </c>
      <c r="CK127" s="511">
        <f t="shared" si="56"/>
        <v>0</v>
      </c>
      <c r="CL127" s="511">
        <f t="shared" si="57"/>
        <v>0</v>
      </c>
      <c r="CM127" s="511">
        <f t="shared" si="58"/>
        <v>0</v>
      </c>
      <c r="CN127" s="511">
        <f t="shared" si="59"/>
        <v>0</v>
      </c>
      <c r="CO127" s="511">
        <f t="shared" si="60"/>
        <v>0</v>
      </c>
      <c r="CP127" s="511">
        <f t="shared" si="61"/>
        <v>0</v>
      </c>
      <c r="CQ127" s="511">
        <f t="shared" si="62"/>
        <v>0</v>
      </c>
      <c r="CR127" s="511">
        <f t="shared" si="63"/>
        <v>0</v>
      </c>
      <c r="CS127" s="511">
        <f t="shared" si="64"/>
        <v>0</v>
      </c>
      <c r="CT127" s="511">
        <f>IF(CS127=0,35,_xlfn.RANK.EQ(CS127,CS98:CS132))</f>
        <v>35</v>
      </c>
      <c r="CU127" s="512">
        <f>IF(CT127=35,35,CT127+COUNTIF(CT$98:CT126,CT127)/COUNTIF(CT$98:CT$132,CT127))</f>
        <v>35</v>
      </c>
      <c r="CV127" s="511">
        <f t="shared" si="65"/>
        <v>21</v>
      </c>
      <c r="CW127" s="511" t="s">
        <v>415</v>
      </c>
      <c r="CX127" s="511">
        <f t="shared" si="66"/>
        <v>0</v>
      </c>
      <c r="CY127" s="511">
        <f t="shared" si="67"/>
        <v>0</v>
      </c>
      <c r="CZ127" s="511">
        <f t="shared" si="68"/>
        <v>0</v>
      </c>
      <c r="DA127" s="511">
        <f t="shared" si="69"/>
        <v>0</v>
      </c>
      <c r="DB127" s="511">
        <f t="shared" si="70"/>
        <v>0</v>
      </c>
      <c r="DC127" s="511">
        <f t="shared" si="71"/>
        <v>0</v>
      </c>
      <c r="DD127" s="511">
        <f t="shared" si="72"/>
        <v>0</v>
      </c>
      <c r="DE127" s="511">
        <f t="shared" si="73"/>
        <v>0</v>
      </c>
      <c r="DF127" s="511">
        <f t="shared" si="74"/>
        <v>0</v>
      </c>
      <c r="DG127" s="511">
        <f t="shared" si="75"/>
        <v>0</v>
      </c>
      <c r="DH127" s="511">
        <f t="shared" si="76"/>
        <v>0</v>
      </c>
      <c r="DI127" s="511">
        <f t="shared" si="77"/>
        <v>0</v>
      </c>
      <c r="DJ127" s="511">
        <f t="shared" si="78"/>
        <v>0</v>
      </c>
      <c r="DK127" s="524">
        <f t="shared" si="79"/>
        <v>0</v>
      </c>
      <c r="DL127" s="524">
        <f>IF(DK127=0,35,_xlfn.RANK.EQ(DK127,DK98:DK132))</f>
        <v>35</v>
      </c>
      <c r="DM127" s="772">
        <f>IF(DL127=35,35,DL127+COUNTIF(DL$98:DL126,DL127)/COUNTIF(DL$98:DL$132,DL127))</f>
        <v>35</v>
      </c>
      <c r="DN127" s="524">
        <f t="shared" si="80"/>
        <v>13</v>
      </c>
      <c r="DO127" s="524" t="s">
        <v>415</v>
      </c>
      <c r="DP127" s="474"/>
      <c r="DQ127" s="474"/>
      <c r="DR127" s="527"/>
      <c r="DS127" s="474"/>
      <c r="DT127" s="474"/>
      <c r="DU127" s="474"/>
      <c r="DV127" s="474"/>
      <c r="DW127" s="474"/>
      <c r="DX127" s="474"/>
      <c r="DY127" s="474"/>
      <c r="DZ127" s="474"/>
      <c r="EA127" s="474"/>
      <c r="EB127" s="474"/>
      <c r="EC127" s="474"/>
    </row>
    <row r="128" spans="29:133" s="473" customFormat="1">
      <c r="AC128" s="761">
        <f t="shared" si="7"/>
        <v>31</v>
      </c>
      <c r="AD128" s="497" t="s">
        <v>416</v>
      </c>
      <c r="AE128" s="497">
        <f t="shared" si="8"/>
        <v>0</v>
      </c>
      <c r="AF128" s="497">
        <f t="shared" si="9"/>
        <v>0</v>
      </c>
      <c r="AG128" s="497">
        <f t="shared" si="10"/>
        <v>0</v>
      </c>
      <c r="AH128" s="497">
        <f t="shared" si="11"/>
        <v>0</v>
      </c>
      <c r="AI128" s="497">
        <f t="shared" si="12"/>
        <v>0</v>
      </c>
      <c r="AJ128" s="497">
        <f t="shared" si="13"/>
        <v>0</v>
      </c>
      <c r="AK128" s="497">
        <f t="shared" si="14"/>
        <v>0</v>
      </c>
      <c r="AL128" s="497">
        <f t="shared" si="15"/>
        <v>0</v>
      </c>
      <c r="AM128" s="497">
        <f t="shared" si="16"/>
        <v>0</v>
      </c>
      <c r="AN128" s="497">
        <f t="shared" si="17"/>
        <v>0</v>
      </c>
      <c r="AO128" s="497">
        <f t="shared" si="18"/>
        <v>0</v>
      </c>
      <c r="AP128" s="497">
        <f t="shared" si="19"/>
        <v>0</v>
      </c>
      <c r="AQ128" s="497">
        <f t="shared" si="20"/>
        <v>0</v>
      </c>
      <c r="AR128" s="497">
        <f t="shared" si="21"/>
        <v>0</v>
      </c>
      <c r="AS128" s="497">
        <f>IF(AR128=0,35,_xlfn.RANK.EQ(AR128,AR98:AR132))</f>
        <v>35</v>
      </c>
      <c r="AT128" s="1348">
        <f>IF(AS128=35,35,AS128+COUNTIF(AS$98:AS127,AS128)/COUNTIF(AS$98:AS$132,AS128))</f>
        <v>35</v>
      </c>
      <c r="AU128" s="497">
        <f t="shared" si="22"/>
        <v>12</v>
      </c>
      <c r="AV128" s="497" t="s">
        <v>416</v>
      </c>
      <c r="AW128" s="497">
        <f t="shared" si="23"/>
        <v>0</v>
      </c>
      <c r="AX128" s="497">
        <f t="shared" si="24"/>
        <v>0</v>
      </c>
      <c r="AY128" s="497">
        <f t="shared" si="25"/>
        <v>0</v>
      </c>
      <c r="AZ128" s="497">
        <f t="shared" si="26"/>
        <v>0</v>
      </c>
      <c r="BA128" s="497">
        <f t="shared" si="27"/>
        <v>0</v>
      </c>
      <c r="BB128" s="497">
        <f t="shared" si="28"/>
        <v>0</v>
      </c>
      <c r="BC128" s="497">
        <f t="shared" si="29"/>
        <v>0</v>
      </c>
      <c r="BD128" s="497">
        <f t="shared" si="30"/>
        <v>0</v>
      </c>
      <c r="BE128" s="497">
        <f t="shared" si="31"/>
        <v>0</v>
      </c>
      <c r="BF128" s="497">
        <f t="shared" si="32"/>
        <v>0</v>
      </c>
      <c r="BG128" s="497">
        <f t="shared" si="33"/>
        <v>0</v>
      </c>
      <c r="BH128" s="497">
        <f t="shared" si="34"/>
        <v>0</v>
      </c>
      <c r="BI128" s="497">
        <f t="shared" si="35"/>
        <v>0</v>
      </c>
      <c r="BJ128" s="497">
        <f>IF(BI128=0,35,_xlfn.RANK.EQ(BI128,BI98:BI132))</f>
        <v>35</v>
      </c>
      <c r="BK128" s="1348">
        <f>IF(BJ128=35,35,BJ128+COUNTIF(BJ$98:BJ127,BJ128)/COUNTIF(BJ$98:BJ$132,BJ128))</f>
        <v>35</v>
      </c>
      <c r="BL128" s="497">
        <f t="shared" si="6"/>
        <v>13</v>
      </c>
      <c r="BM128" s="497" t="s">
        <v>416</v>
      </c>
      <c r="BN128" s="497">
        <f t="shared" si="36"/>
        <v>0</v>
      </c>
      <c r="BO128" s="497">
        <f t="shared" si="37"/>
        <v>0</v>
      </c>
      <c r="BP128" s="497">
        <f t="shared" si="38"/>
        <v>0</v>
      </c>
      <c r="BQ128" s="497">
        <f t="shared" si="39"/>
        <v>0</v>
      </c>
      <c r="BR128" s="497">
        <f t="shared" si="40"/>
        <v>0</v>
      </c>
      <c r="BS128" s="497">
        <f t="shared" si="41"/>
        <v>0</v>
      </c>
      <c r="BT128" s="497">
        <f t="shared" si="42"/>
        <v>0</v>
      </c>
      <c r="BU128" s="497">
        <f t="shared" si="43"/>
        <v>0</v>
      </c>
      <c r="BV128" s="497">
        <f t="shared" si="44"/>
        <v>0</v>
      </c>
      <c r="BW128" s="497">
        <f t="shared" si="45"/>
        <v>0</v>
      </c>
      <c r="BX128" s="497">
        <f t="shared" si="46"/>
        <v>0</v>
      </c>
      <c r="BY128" s="497">
        <f t="shared" si="47"/>
        <v>0</v>
      </c>
      <c r="BZ128" s="497">
        <f t="shared" si="48"/>
        <v>0</v>
      </c>
      <c r="CA128" s="511">
        <f t="shared" si="49"/>
        <v>0</v>
      </c>
      <c r="CB128" s="511">
        <f>IF(CA128=0,35,_xlfn.RANK.EQ(CA128,CA98:CA132))</f>
        <v>35</v>
      </c>
      <c r="CC128" s="512">
        <f>IF(CB128=35,35,CB128+COUNTIF(CB$98:CB127,CB128)/COUNTIF(CB$98:CB$132,CB128))</f>
        <v>35</v>
      </c>
      <c r="CD128" s="511">
        <f t="shared" si="50"/>
        <v>13</v>
      </c>
      <c r="CE128" s="511" t="s">
        <v>416</v>
      </c>
      <c r="CF128" s="511">
        <f t="shared" si="51"/>
        <v>0</v>
      </c>
      <c r="CG128" s="511">
        <f t="shared" si="52"/>
        <v>0</v>
      </c>
      <c r="CH128" s="511">
        <f t="shared" si="53"/>
        <v>0</v>
      </c>
      <c r="CI128" s="511">
        <f t="shared" si="54"/>
        <v>0</v>
      </c>
      <c r="CJ128" s="511">
        <f t="shared" si="55"/>
        <v>0</v>
      </c>
      <c r="CK128" s="511">
        <f t="shared" si="56"/>
        <v>0</v>
      </c>
      <c r="CL128" s="511">
        <f t="shared" si="57"/>
        <v>0</v>
      </c>
      <c r="CM128" s="511">
        <f t="shared" si="58"/>
        <v>0</v>
      </c>
      <c r="CN128" s="511">
        <f t="shared" si="59"/>
        <v>0</v>
      </c>
      <c r="CO128" s="511">
        <f t="shared" si="60"/>
        <v>0</v>
      </c>
      <c r="CP128" s="511">
        <f t="shared" si="61"/>
        <v>0</v>
      </c>
      <c r="CQ128" s="511">
        <f t="shared" si="62"/>
        <v>0</v>
      </c>
      <c r="CR128" s="511">
        <f t="shared" si="63"/>
        <v>0</v>
      </c>
      <c r="CS128" s="511">
        <f t="shared" si="64"/>
        <v>0</v>
      </c>
      <c r="CT128" s="511">
        <f>IF(CS128=0,35,_xlfn.RANK.EQ(CS128,CS98:CS132))</f>
        <v>35</v>
      </c>
      <c r="CU128" s="512">
        <f>IF(CT128=35,35,CT128+COUNTIF(CT$98:CT127,CT128)/COUNTIF(CT$98:CT$132,CT128))</f>
        <v>35</v>
      </c>
      <c r="CV128" s="511">
        <f t="shared" si="65"/>
        <v>21</v>
      </c>
      <c r="CW128" s="511" t="s">
        <v>416</v>
      </c>
      <c r="CX128" s="511">
        <f t="shared" si="66"/>
        <v>0</v>
      </c>
      <c r="CY128" s="511">
        <f t="shared" si="67"/>
        <v>0</v>
      </c>
      <c r="CZ128" s="511">
        <f t="shared" si="68"/>
        <v>0</v>
      </c>
      <c r="DA128" s="511">
        <f t="shared" si="69"/>
        <v>0</v>
      </c>
      <c r="DB128" s="511">
        <f t="shared" si="70"/>
        <v>0</v>
      </c>
      <c r="DC128" s="511">
        <f t="shared" si="71"/>
        <v>0</v>
      </c>
      <c r="DD128" s="511">
        <f t="shared" si="72"/>
        <v>0</v>
      </c>
      <c r="DE128" s="511">
        <f t="shared" si="73"/>
        <v>0</v>
      </c>
      <c r="DF128" s="511">
        <f t="shared" si="74"/>
        <v>0</v>
      </c>
      <c r="DG128" s="511">
        <f t="shared" si="75"/>
        <v>0</v>
      </c>
      <c r="DH128" s="511">
        <f t="shared" si="76"/>
        <v>0</v>
      </c>
      <c r="DI128" s="511">
        <f t="shared" si="77"/>
        <v>0</v>
      </c>
      <c r="DJ128" s="511">
        <f t="shared" si="78"/>
        <v>0</v>
      </c>
      <c r="DK128" s="524">
        <f t="shared" si="79"/>
        <v>0</v>
      </c>
      <c r="DL128" s="524">
        <f>IF(DK128=0,35,_xlfn.RANK.EQ(DK128,DK98:DK132))</f>
        <v>35</v>
      </c>
      <c r="DM128" s="772">
        <f>IF(DL128=35,35,DL128+COUNTIF(DL$98:DL127,DL128)/COUNTIF(DL$98:DL$132,DL128))</f>
        <v>35</v>
      </c>
      <c r="DN128" s="524">
        <f t="shared" si="80"/>
        <v>13</v>
      </c>
      <c r="DO128" s="524" t="s">
        <v>416</v>
      </c>
      <c r="DP128" s="474"/>
      <c r="DQ128" s="474"/>
      <c r="DR128" s="527"/>
      <c r="DS128" s="474"/>
      <c r="DT128" s="474"/>
      <c r="DU128" s="474"/>
      <c r="DV128" s="474"/>
      <c r="DW128" s="474"/>
      <c r="DX128" s="474"/>
      <c r="DY128" s="474"/>
      <c r="DZ128" s="474"/>
      <c r="EA128" s="474"/>
      <c r="EB128" s="474"/>
      <c r="EC128" s="474"/>
    </row>
    <row r="129" spans="29:133" s="473" customFormat="1">
      <c r="AC129" s="761">
        <f t="shared" si="7"/>
        <v>32</v>
      </c>
      <c r="AD129" s="497" t="s">
        <v>382</v>
      </c>
      <c r="AE129" s="497">
        <f t="shared" si="8"/>
        <v>5</v>
      </c>
      <c r="AF129" s="497">
        <f t="shared" si="9"/>
        <v>5</v>
      </c>
      <c r="AG129" s="497">
        <f t="shared" si="10"/>
        <v>5</v>
      </c>
      <c r="AH129" s="497">
        <f t="shared" si="11"/>
        <v>5</v>
      </c>
      <c r="AI129" s="497">
        <f t="shared" si="12"/>
        <v>5</v>
      </c>
      <c r="AJ129" s="497">
        <f t="shared" si="13"/>
        <v>5</v>
      </c>
      <c r="AK129" s="497">
        <f t="shared" si="14"/>
        <v>5</v>
      </c>
      <c r="AL129" s="497">
        <f t="shared" si="15"/>
        <v>5</v>
      </c>
      <c r="AM129" s="497">
        <f t="shared" si="16"/>
        <v>5</v>
      </c>
      <c r="AN129" s="497">
        <f t="shared" si="17"/>
        <v>5</v>
      </c>
      <c r="AO129" s="497">
        <f t="shared" si="18"/>
        <v>6</v>
      </c>
      <c r="AP129" s="497">
        <f t="shared" si="19"/>
        <v>6</v>
      </c>
      <c r="AQ129" s="497">
        <f t="shared" si="20"/>
        <v>5</v>
      </c>
      <c r="AR129" s="497">
        <f t="shared" si="21"/>
        <v>67</v>
      </c>
      <c r="AS129" s="497">
        <f>IF(AR129=0,35,_xlfn.RANK.EQ(AR129,AR98:AR132))</f>
        <v>6</v>
      </c>
      <c r="AT129" s="1348">
        <f>IF(AS129=35,35,AS129+COUNTIF(AS$98:AS128,AS129)/COUNTIF(AS$98:AS$132,AS129))</f>
        <v>6</v>
      </c>
      <c r="AU129" s="497">
        <f t="shared" si="22"/>
        <v>6</v>
      </c>
      <c r="AV129" s="497" t="s">
        <v>382</v>
      </c>
      <c r="AW129" s="497">
        <f t="shared" si="23"/>
        <v>7</v>
      </c>
      <c r="AX129" s="497">
        <f t="shared" si="24"/>
        <v>7</v>
      </c>
      <c r="AY129" s="497">
        <f t="shared" si="25"/>
        <v>8</v>
      </c>
      <c r="AZ129" s="497">
        <f t="shared" si="26"/>
        <v>7</v>
      </c>
      <c r="BA129" s="497">
        <f t="shared" si="27"/>
        <v>7</v>
      </c>
      <c r="BB129" s="497">
        <f t="shared" si="28"/>
        <v>7</v>
      </c>
      <c r="BC129" s="497">
        <f t="shared" si="29"/>
        <v>7</v>
      </c>
      <c r="BD129" s="497">
        <f t="shared" si="30"/>
        <v>7</v>
      </c>
      <c r="BE129" s="497">
        <f t="shared" si="31"/>
        <v>7</v>
      </c>
      <c r="BF129" s="497">
        <f t="shared" si="32"/>
        <v>6</v>
      </c>
      <c r="BG129" s="497">
        <f t="shared" si="33"/>
        <v>8</v>
      </c>
      <c r="BH129" s="497">
        <f t="shared" si="34"/>
        <v>8</v>
      </c>
      <c r="BI129" s="497">
        <f t="shared" si="35"/>
        <v>78</v>
      </c>
      <c r="BJ129" s="497">
        <f>IF(BI129=0,35,_xlfn.RANK.EQ(BI129,BI98:BI132))</f>
        <v>2</v>
      </c>
      <c r="BK129" s="1348">
        <f>IF(BJ129=35,35,BJ129+COUNTIF(BJ$98:BJ128,BJ129)/COUNTIF(BJ$98:BJ$132,BJ129))</f>
        <v>2</v>
      </c>
      <c r="BL129" s="497">
        <f t="shared" si="6"/>
        <v>2</v>
      </c>
      <c r="BM129" s="497" t="s">
        <v>382</v>
      </c>
      <c r="BN129" s="497">
        <f t="shared" si="36"/>
        <v>4</v>
      </c>
      <c r="BO129" s="497">
        <f t="shared" si="37"/>
        <v>4</v>
      </c>
      <c r="BP129" s="497">
        <f t="shared" si="38"/>
        <v>3</v>
      </c>
      <c r="BQ129" s="497">
        <f t="shared" si="39"/>
        <v>3</v>
      </c>
      <c r="BR129" s="497">
        <f t="shared" si="40"/>
        <v>3</v>
      </c>
      <c r="BS129" s="497">
        <f t="shared" si="41"/>
        <v>3</v>
      </c>
      <c r="BT129" s="497">
        <f t="shared" si="42"/>
        <v>5</v>
      </c>
      <c r="BU129" s="497">
        <f t="shared" si="43"/>
        <v>6</v>
      </c>
      <c r="BV129" s="497">
        <f t="shared" si="44"/>
        <v>6</v>
      </c>
      <c r="BW129" s="497">
        <f t="shared" si="45"/>
        <v>6</v>
      </c>
      <c r="BX129" s="497">
        <f t="shared" si="46"/>
        <v>6</v>
      </c>
      <c r="BY129" s="497">
        <f t="shared" si="47"/>
        <v>8</v>
      </c>
      <c r="BZ129" s="497">
        <f t="shared" si="48"/>
        <v>7</v>
      </c>
      <c r="CA129" s="511">
        <f t="shared" si="49"/>
        <v>57</v>
      </c>
      <c r="CB129" s="511">
        <f>IF(CA129=0,35,_xlfn.RANK.EQ(CA129,CA98:CA132))</f>
        <v>7</v>
      </c>
      <c r="CC129" s="512">
        <f>IF(CB129=35,35,CB129+COUNTIF(CB$98:CB128,CB129)/COUNTIF(CB$98:CB$132,CB129))</f>
        <v>7</v>
      </c>
      <c r="CD129" s="511">
        <f t="shared" si="50"/>
        <v>7</v>
      </c>
      <c r="CE129" s="511" t="s">
        <v>382</v>
      </c>
      <c r="CF129" s="511">
        <f t="shared" si="51"/>
        <v>0</v>
      </c>
      <c r="CG129" s="511">
        <f t="shared" si="52"/>
        <v>0</v>
      </c>
      <c r="CH129" s="511">
        <f t="shared" si="53"/>
        <v>0</v>
      </c>
      <c r="CI129" s="511">
        <f t="shared" si="54"/>
        <v>0</v>
      </c>
      <c r="CJ129" s="511">
        <f t="shared" si="55"/>
        <v>0</v>
      </c>
      <c r="CK129" s="511">
        <f t="shared" si="56"/>
        <v>0</v>
      </c>
      <c r="CL129" s="511">
        <f t="shared" si="57"/>
        <v>0</v>
      </c>
      <c r="CM129" s="511">
        <f t="shared" si="58"/>
        <v>8</v>
      </c>
      <c r="CN129" s="511">
        <f t="shared" si="59"/>
        <v>10</v>
      </c>
      <c r="CO129" s="511">
        <f t="shared" si="60"/>
        <v>0</v>
      </c>
      <c r="CP129" s="511">
        <f t="shared" si="61"/>
        <v>9</v>
      </c>
      <c r="CQ129" s="511">
        <f t="shared" si="62"/>
        <v>8</v>
      </c>
      <c r="CR129" s="511">
        <f t="shared" si="63"/>
        <v>9</v>
      </c>
      <c r="CS129" s="511">
        <f t="shared" si="64"/>
        <v>35</v>
      </c>
      <c r="CT129" s="511">
        <f>IF(CS129=0,35,_xlfn.RANK.EQ(CS129,CS98:CS132))</f>
        <v>9</v>
      </c>
      <c r="CU129" s="512">
        <f>IF(CT129=35,35,CT129+COUNTIF(CT$98:CT128,CT129)/COUNTIF(CT$98:CT$132,CT129))</f>
        <v>9</v>
      </c>
      <c r="CV129" s="511">
        <f t="shared" si="65"/>
        <v>9</v>
      </c>
      <c r="CW129" s="511" t="s">
        <v>382</v>
      </c>
      <c r="CX129" s="511">
        <f t="shared" si="66"/>
        <v>0</v>
      </c>
      <c r="CY129" s="511">
        <f t="shared" si="67"/>
        <v>0</v>
      </c>
      <c r="CZ129" s="511">
        <f t="shared" si="68"/>
        <v>9</v>
      </c>
      <c r="DA129" s="511">
        <f t="shared" si="69"/>
        <v>9</v>
      </c>
      <c r="DB129" s="511">
        <f t="shared" si="70"/>
        <v>7</v>
      </c>
      <c r="DC129" s="511">
        <f t="shared" si="71"/>
        <v>7</v>
      </c>
      <c r="DD129" s="511">
        <f t="shared" si="72"/>
        <v>7</v>
      </c>
      <c r="DE129" s="511">
        <f t="shared" si="73"/>
        <v>7</v>
      </c>
      <c r="DF129" s="511">
        <f t="shared" si="74"/>
        <v>6</v>
      </c>
      <c r="DG129" s="511">
        <f t="shared" si="75"/>
        <v>6</v>
      </c>
      <c r="DH129" s="511">
        <f t="shared" si="76"/>
        <v>6</v>
      </c>
      <c r="DI129" s="511">
        <f t="shared" si="77"/>
        <v>5</v>
      </c>
      <c r="DJ129" s="511">
        <f t="shared" si="78"/>
        <v>6</v>
      </c>
      <c r="DK129" s="524">
        <f t="shared" si="79"/>
        <v>69</v>
      </c>
      <c r="DL129" s="524">
        <f>IF(DK129=0,35,_xlfn.RANK.EQ(DK129,DK98:DK132))</f>
        <v>4</v>
      </c>
      <c r="DM129" s="772">
        <f>IF(DL129=35,35,DL129+COUNTIF(DL$98:DL128,DL129)/COUNTIF(DL$98:DL$132,DL129))</f>
        <v>4</v>
      </c>
      <c r="DN129" s="524">
        <f t="shared" si="80"/>
        <v>4</v>
      </c>
      <c r="DO129" s="524" t="s">
        <v>382</v>
      </c>
      <c r="DP129" s="474"/>
      <c r="DQ129" s="474"/>
      <c r="DR129" s="527"/>
      <c r="DS129" s="474"/>
      <c r="DT129" s="474"/>
      <c r="DU129" s="474"/>
      <c r="DV129" s="474"/>
      <c r="DW129" s="474"/>
      <c r="DX129" s="474"/>
      <c r="DY129" s="474"/>
      <c r="DZ129" s="474"/>
      <c r="EA129" s="474"/>
      <c r="EB129" s="474"/>
      <c r="EC129" s="474"/>
    </row>
    <row r="130" spans="29:133" s="473" customFormat="1">
      <c r="AC130" s="761">
        <f t="shared" si="7"/>
        <v>33</v>
      </c>
      <c r="AD130" s="497" t="s">
        <v>390</v>
      </c>
      <c r="AE130" s="497">
        <f t="shared" si="8"/>
        <v>0</v>
      </c>
      <c r="AF130" s="497">
        <f t="shared" si="9"/>
        <v>0</v>
      </c>
      <c r="AG130" s="497">
        <f t="shared" si="10"/>
        <v>0</v>
      </c>
      <c r="AH130" s="497">
        <f t="shared" si="11"/>
        <v>0</v>
      </c>
      <c r="AI130" s="497">
        <f t="shared" si="12"/>
        <v>0</v>
      </c>
      <c r="AJ130" s="497">
        <f t="shared" si="13"/>
        <v>0</v>
      </c>
      <c r="AK130" s="497">
        <f t="shared" si="14"/>
        <v>0</v>
      </c>
      <c r="AL130" s="497">
        <f t="shared" si="15"/>
        <v>0</v>
      </c>
      <c r="AM130" s="497">
        <f t="shared" si="16"/>
        <v>0</v>
      </c>
      <c r="AN130" s="497">
        <f t="shared" si="17"/>
        <v>0</v>
      </c>
      <c r="AO130" s="497">
        <f t="shared" si="18"/>
        <v>0</v>
      </c>
      <c r="AP130" s="497">
        <f t="shared" si="19"/>
        <v>0</v>
      </c>
      <c r="AQ130" s="497">
        <f t="shared" si="20"/>
        <v>0</v>
      </c>
      <c r="AR130" s="497">
        <f t="shared" si="21"/>
        <v>0</v>
      </c>
      <c r="AS130" s="497">
        <f>IF(AR130=0,35,_xlfn.RANK.EQ(AR130,AR98:AR132))</f>
        <v>35</v>
      </c>
      <c r="AT130" s="1348">
        <f>IF(AS130=35,35,AS130+COUNTIF(AS$98:AS129,AS130)/COUNTIF(AS$98:AS$132,AS130))</f>
        <v>35</v>
      </c>
      <c r="AU130" s="497">
        <f t="shared" si="22"/>
        <v>12</v>
      </c>
      <c r="AV130" s="497" t="s">
        <v>390</v>
      </c>
      <c r="AW130" s="497">
        <f t="shared" si="23"/>
        <v>8</v>
      </c>
      <c r="AX130" s="497">
        <f t="shared" si="24"/>
        <v>8</v>
      </c>
      <c r="AY130" s="497">
        <f t="shared" si="25"/>
        <v>4</v>
      </c>
      <c r="AZ130" s="497">
        <f t="shared" si="26"/>
        <v>0</v>
      </c>
      <c r="BA130" s="497">
        <f t="shared" si="27"/>
        <v>2</v>
      </c>
      <c r="BB130" s="497">
        <f t="shared" si="28"/>
        <v>2</v>
      </c>
      <c r="BC130" s="497">
        <f t="shared" si="29"/>
        <v>2</v>
      </c>
      <c r="BD130" s="497">
        <f t="shared" si="30"/>
        <v>2</v>
      </c>
      <c r="BE130" s="497">
        <f t="shared" si="31"/>
        <v>2</v>
      </c>
      <c r="BF130" s="497">
        <f t="shared" si="32"/>
        <v>3</v>
      </c>
      <c r="BG130" s="497">
        <f t="shared" si="33"/>
        <v>3</v>
      </c>
      <c r="BH130" s="497">
        <f t="shared" si="34"/>
        <v>3</v>
      </c>
      <c r="BI130" s="497">
        <f t="shared" si="35"/>
        <v>36</v>
      </c>
      <c r="BJ130" s="497">
        <f>IF(BI130=0,35,_xlfn.RANK.EQ(BI130,BI98:BI132))</f>
        <v>8</v>
      </c>
      <c r="BK130" s="1348">
        <f>IF(BJ130=35,35,BJ130+COUNTIF(BJ$98:BJ129,BJ130)/COUNTIF(BJ$98:BJ$132,BJ130))</f>
        <v>8</v>
      </c>
      <c r="BL130" s="497">
        <f t="shared" si="6"/>
        <v>8</v>
      </c>
      <c r="BM130" s="497" t="s">
        <v>390</v>
      </c>
      <c r="BN130" s="497">
        <f t="shared" si="36"/>
        <v>0</v>
      </c>
      <c r="BO130" s="497">
        <f t="shared" si="37"/>
        <v>0</v>
      </c>
      <c r="BP130" s="497">
        <f t="shared" si="38"/>
        <v>0</v>
      </c>
      <c r="BQ130" s="497">
        <f t="shared" si="39"/>
        <v>0</v>
      </c>
      <c r="BR130" s="497">
        <f t="shared" si="40"/>
        <v>0</v>
      </c>
      <c r="BS130" s="497">
        <f t="shared" si="41"/>
        <v>0</v>
      </c>
      <c r="BT130" s="497">
        <f t="shared" si="42"/>
        <v>0</v>
      </c>
      <c r="BU130" s="497">
        <f t="shared" si="43"/>
        <v>0</v>
      </c>
      <c r="BV130" s="497">
        <f t="shared" si="44"/>
        <v>0</v>
      </c>
      <c r="BW130" s="497">
        <f t="shared" si="45"/>
        <v>0</v>
      </c>
      <c r="BX130" s="497">
        <f t="shared" si="46"/>
        <v>0</v>
      </c>
      <c r="BY130" s="497">
        <f t="shared" si="47"/>
        <v>0</v>
      </c>
      <c r="BZ130" s="497">
        <f t="shared" si="48"/>
        <v>0</v>
      </c>
      <c r="CA130" s="511">
        <f t="shared" si="49"/>
        <v>0</v>
      </c>
      <c r="CB130" s="511">
        <f>IF(CA130=0,35,_xlfn.RANK.EQ(CA130,CA98:CA132))</f>
        <v>35</v>
      </c>
      <c r="CC130" s="512">
        <f>IF(CB130=35,35,CB130+COUNTIF(CB$98:CB129,CB130)/COUNTIF(CB$98:CB$132,CB130))</f>
        <v>35</v>
      </c>
      <c r="CD130" s="511">
        <f t="shared" si="50"/>
        <v>13</v>
      </c>
      <c r="CE130" s="511" t="s">
        <v>390</v>
      </c>
      <c r="CF130" s="511">
        <f t="shared" si="51"/>
        <v>0</v>
      </c>
      <c r="CG130" s="511">
        <f t="shared" si="52"/>
        <v>0</v>
      </c>
      <c r="CH130" s="511">
        <f t="shared" si="53"/>
        <v>0</v>
      </c>
      <c r="CI130" s="511">
        <f t="shared" si="54"/>
        <v>0</v>
      </c>
      <c r="CJ130" s="511">
        <f t="shared" si="55"/>
        <v>0</v>
      </c>
      <c r="CK130" s="511">
        <f t="shared" si="56"/>
        <v>0</v>
      </c>
      <c r="CL130" s="511">
        <f t="shared" si="57"/>
        <v>0</v>
      </c>
      <c r="CM130" s="511">
        <f t="shared" si="58"/>
        <v>0</v>
      </c>
      <c r="CN130" s="511">
        <f t="shared" si="59"/>
        <v>0</v>
      </c>
      <c r="CO130" s="511">
        <f t="shared" si="60"/>
        <v>0</v>
      </c>
      <c r="CP130" s="511">
        <f t="shared" si="61"/>
        <v>0</v>
      </c>
      <c r="CQ130" s="511">
        <f t="shared" si="62"/>
        <v>0</v>
      </c>
      <c r="CR130" s="511">
        <f t="shared" si="63"/>
        <v>0</v>
      </c>
      <c r="CS130" s="511">
        <f t="shared" si="64"/>
        <v>0</v>
      </c>
      <c r="CT130" s="511">
        <f>IF(CS130=0,35,_xlfn.RANK.EQ(CS130,CS98:CS132))</f>
        <v>35</v>
      </c>
      <c r="CU130" s="512">
        <f>IF(CT130=35,35,CT130+COUNTIF(CT$98:CT129,CT130)/COUNTIF(CT$98:CT$132,CT130))</f>
        <v>35</v>
      </c>
      <c r="CV130" s="511">
        <f t="shared" si="65"/>
        <v>21</v>
      </c>
      <c r="CW130" s="511" t="s">
        <v>390</v>
      </c>
      <c r="CX130" s="511">
        <f t="shared" si="66"/>
        <v>0</v>
      </c>
      <c r="CY130" s="511">
        <f t="shared" si="67"/>
        <v>0</v>
      </c>
      <c r="CZ130" s="511">
        <f t="shared" si="68"/>
        <v>0</v>
      </c>
      <c r="DA130" s="511">
        <f t="shared" si="69"/>
        <v>0</v>
      </c>
      <c r="DB130" s="511">
        <f t="shared" si="70"/>
        <v>0</v>
      </c>
      <c r="DC130" s="511">
        <f t="shared" si="71"/>
        <v>0</v>
      </c>
      <c r="DD130" s="511">
        <f t="shared" si="72"/>
        <v>0</v>
      </c>
      <c r="DE130" s="511">
        <f t="shared" si="73"/>
        <v>0</v>
      </c>
      <c r="DF130" s="511">
        <f t="shared" si="74"/>
        <v>0</v>
      </c>
      <c r="DG130" s="511">
        <f t="shared" si="75"/>
        <v>0</v>
      </c>
      <c r="DH130" s="511">
        <f t="shared" si="76"/>
        <v>0</v>
      </c>
      <c r="DI130" s="511">
        <f t="shared" si="77"/>
        <v>0</v>
      </c>
      <c r="DJ130" s="511">
        <f t="shared" si="78"/>
        <v>0</v>
      </c>
      <c r="DK130" s="524">
        <f t="shared" si="79"/>
        <v>0</v>
      </c>
      <c r="DL130" s="524">
        <f>IF(DK130=0,35,_xlfn.RANK.EQ(DK130,DK98:DK132))</f>
        <v>35</v>
      </c>
      <c r="DM130" s="772">
        <f>IF(DL130=35,35,DL130+COUNTIF(DL$98:DL129,DL130)/COUNTIF(DL$98:DL$132,DL130))</f>
        <v>35</v>
      </c>
      <c r="DN130" s="524">
        <f t="shared" si="80"/>
        <v>13</v>
      </c>
      <c r="DO130" s="524" t="s">
        <v>390</v>
      </c>
      <c r="DP130" s="474"/>
      <c r="DQ130" s="474"/>
      <c r="DR130" s="527"/>
      <c r="DS130" s="474"/>
      <c r="DT130" s="474"/>
      <c r="DU130" s="474"/>
      <c r="DV130" s="474"/>
      <c r="DW130" s="474"/>
      <c r="DX130" s="474"/>
      <c r="DY130" s="474"/>
      <c r="DZ130" s="474"/>
      <c r="EA130" s="474"/>
      <c r="EB130" s="474"/>
      <c r="EC130" s="474"/>
    </row>
    <row r="131" spans="29:133" s="473" customFormat="1">
      <c r="AC131" s="761">
        <f t="shared" si="7"/>
        <v>34</v>
      </c>
      <c r="AD131" s="497" t="s">
        <v>400</v>
      </c>
      <c r="AE131" s="497">
        <f t="shared" si="8"/>
        <v>0</v>
      </c>
      <c r="AF131" s="497">
        <f t="shared" si="9"/>
        <v>0</v>
      </c>
      <c r="AG131" s="497">
        <f t="shared" si="10"/>
        <v>0</v>
      </c>
      <c r="AH131" s="497">
        <f t="shared" si="11"/>
        <v>0</v>
      </c>
      <c r="AI131" s="497">
        <f t="shared" si="12"/>
        <v>0</v>
      </c>
      <c r="AJ131" s="497">
        <f t="shared" si="13"/>
        <v>0</v>
      </c>
      <c r="AK131" s="497">
        <f t="shared" si="14"/>
        <v>0</v>
      </c>
      <c r="AL131" s="497">
        <f t="shared" si="15"/>
        <v>0</v>
      </c>
      <c r="AM131" s="497">
        <f t="shared" si="16"/>
        <v>0</v>
      </c>
      <c r="AN131" s="497">
        <f t="shared" si="17"/>
        <v>0</v>
      </c>
      <c r="AO131" s="497">
        <f t="shared" si="18"/>
        <v>0</v>
      </c>
      <c r="AP131" s="497">
        <f t="shared" si="19"/>
        <v>0</v>
      </c>
      <c r="AQ131" s="497">
        <f t="shared" si="20"/>
        <v>0</v>
      </c>
      <c r="AR131" s="497">
        <f t="shared" si="21"/>
        <v>0</v>
      </c>
      <c r="AS131" s="497">
        <f>IF(AR131=0,35,_xlfn.RANK.EQ(AR131,AR98:AR132))</f>
        <v>35</v>
      </c>
      <c r="AT131" s="1348">
        <f>IF(AS131=35,35,AS131+COUNTIF(AS$98:AS130,AS131)/COUNTIF(AS$98:AS$132,AS131))</f>
        <v>35</v>
      </c>
      <c r="AU131" s="497">
        <f t="shared" si="22"/>
        <v>12</v>
      </c>
      <c r="AV131" s="497" t="s">
        <v>400</v>
      </c>
      <c r="AW131" s="497">
        <f t="shared" si="23"/>
        <v>0</v>
      </c>
      <c r="AX131" s="497">
        <f t="shared" si="24"/>
        <v>0</v>
      </c>
      <c r="AY131" s="497">
        <f t="shared" si="25"/>
        <v>0</v>
      </c>
      <c r="AZ131" s="497">
        <f t="shared" si="26"/>
        <v>0</v>
      </c>
      <c r="BA131" s="497">
        <f t="shared" si="27"/>
        <v>0</v>
      </c>
      <c r="BB131" s="497">
        <f t="shared" si="28"/>
        <v>0</v>
      </c>
      <c r="BC131" s="497">
        <f t="shared" si="29"/>
        <v>0</v>
      </c>
      <c r="BD131" s="497">
        <f t="shared" si="30"/>
        <v>0</v>
      </c>
      <c r="BE131" s="497">
        <f t="shared" si="31"/>
        <v>0</v>
      </c>
      <c r="BF131" s="497">
        <f t="shared" si="32"/>
        <v>0</v>
      </c>
      <c r="BG131" s="497">
        <f t="shared" si="33"/>
        <v>0</v>
      </c>
      <c r="BH131" s="497">
        <f t="shared" si="34"/>
        <v>0</v>
      </c>
      <c r="BI131" s="497">
        <f t="shared" si="35"/>
        <v>0</v>
      </c>
      <c r="BJ131" s="497">
        <f>IF(BI131=0,35,_xlfn.RANK.EQ(BI131,BI98:BI132))</f>
        <v>35</v>
      </c>
      <c r="BK131" s="1348">
        <f>IF(BJ131=35,35,BJ131+COUNTIF(BJ$98:BJ130,BJ131)/COUNTIF(BJ$98:BJ$132,BJ131))</f>
        <v>35</v>
      </c>
      <c r="BL131" s="497">
        <f t="shared" si="6"/>
        <v>13</v>
      </c>
      <c r="BM131" s="497" t="s">
        <v>400</v>
      </c>
      <c r="BN131" s="497">
        <f t="shared" si="36"/>
        <v>0</v>
      </c>
      <c r="BO131" s="497">
        <f t="shared" si="37"/>
        <v>0</v>
      </c>
      <c r="BP131" s="497">
        <f t="shared" si="38"/>
        <v>0</v>
      </c>
      <c r="BQ131" s="497">
        <f t="shared" si="39"/>
        <v>0</v>
      </c>
      <c r="BR131" s="497">
        <f t="shared" si="40"/>
        <v>0</v>
      </c>
      <c r="BS131" s="497">
        <f t="shared" si="41"/>
        <v>0</v>
      </c>
      <c r="BT131" s="497">
        <f t="shared" si="42"/>
        <v>0</v>
      </c>
      <c r="BU131" s="497">
        <f t="shared" si="43"/>
        <v>0</v>
      </c>
      <c r="BV131" s="497">
        <f t="shared" si="44"/>
        <v>0</v>
      </c>
      <c r="BW131" s="497">
        <f t="shared" si="45"/>
        <v>0</v>
      </c>
      <c r="BX131" s="497">
        <f t="shared" si="46"/>
        <v>0</v>
      </c>
      <c r="BY131" s="497">
        <f t="shared" si="47"/>
        <v>0</v>
      </c>
      <c r="BZ131" s="497">
        <f t="shared" si="48"/>
        <v>0</v>
      </c>
      <c r="CA131" s="511">
        <f t="shared" si="49"/>
        <v>0</v>
      </c>
      <c r="CB131" s="511">
        <f>IF(CA131=0,35,_xlfn.RANK.EQ(CA131,CA98:CA132))</f>
        <v>35</v>
      </c>
      <c r="CC131" s="512">
        <f>IF(CB131=35,35,CB131+COUNTIF(CB$98:CB130,CB131)/COUNTIF(CB$98:CB$132,CB131))</f>
        <v>35</v>
      </c>
      <c r="CD131" s="511">
        <f t="shared" si="50"/>
        <v>13</v>
      </c>
      <c r="CE131" s="511" t="s">
        <v>400</v>
      </c>
      <c r="CF131" s="511">
        <f t="shared" si="51"/>
        <v>0</v>
      </c>
      <c r="CG131" s="511">
        <f t="shared" si="52"/>
        <v>0</v>
      </c>
      <c r="CH131" s="511">
        <f t="shared" si="53"/>
        <v>0</v>
      </c>
      <c r="CI131" s="511">
        <f t="shared" si="54"/>
        <v>0</v>
      </c>
      <c r="CJ131" s="511">
        <f t="shared" si="55"/>
        <v>0</v>
      </c>
      <c r="CK131" s="511">
        <f t="shared" si="56"/>
        <v>4</v>
      </c>
      <c r="CL131" s="511">
        <f t="shared" si="57"/>
        <v>4</v>
      </c>
      <c r="CM131" s="511">
        <f t="shared" si="58"/>
        <v>0</v>
      </c>
      <c r="CN131" s="511">
        <f t="shared" si="59"/>
        <v>0</v>
      </c>
      <c r="CO131" s="511">
        <f t="shared" si="60"/>
        <v>0</v>
      </c>
      <c r="CP131" s="511">
        <f t="shared" si="61"/>
        <v>0</v>
      </c>
      <c r="CQ131" s="511">
        <f t="shared" si="62"/>
        <v>0</v>
      </c>
      <c r="CR131" s="511">
        <f t="shared" si="63"/>
        <v>0</v>
      </c>
      <c r="CS131" s="511">
        <f t="shared" si="64"/>
        <v>8</v>
      </c>
      <c r="CT131" s="511">
        <f>IF(CS131=0,35,_xlfn.RANK.EQ(CS131,CS98:CS132))</f>
        <v>17</v>
      </c>
      <c r="CU131" s="512">
        <f>IF(CT131=35,35,CT131+COUNTIF(CT$98:CT130,CT131)/COUNTIF(CT$98:CT$132,CT131))</f>
        <v>17</v>
      </c>
      <c r="CV131" s="511">
        <f t="shared" si="65"/>
        <v>17</v>
      </c>
      <c r="CW131" s="511" t="s">
        <v>400</v>
      </c>
      <c r="CX131" s="511">
        <f t="shared" si="66"/>
        <v>0</v>
      </c>
      <c r="CY131" s="511">
        <f t="shared" si="67"/>
        <v>0</v>
      </c>
      <c r="CZ131" s="511">
        <f t="shared" si="68"/>
        <v>0</v>
      </c>
      <c r="DA131" s="511">
        <f t="shared" si="69"/>
        <v>0</v>
      </c>
      <c r="DB131" s="511">
        <f t="shared" si="70"/>
        <v>0</v>
      </c>
      <c r="DC131" s="511">
        <f t="shared" si="71"/>
        <v>0</v>
      </c>
      <c r="DD131" s="511">
        <f t="shared" si="72"/>
        <v>0</v>
      </c>
      <c r="DE131" s="511">
        <f t="shared" si="73"/>
        <v>0</v>
      </c>
      <c r="DF131" s="511">
        <f t="shared" si="74"/>
        <v>0</v>
      </c>
      <c r="DG131" s="511">
        <f t="shared" si="75"/>
        <v>0</v>
      </c>
      <c r="DH131" s="511">
        <f t="shared" si="76"/>
        <v>0</v>
      </c>
      <c r="DI131" s="511">
        <f t="shared" si="77"/>
        <v>0</v>
      </c>
      <c r="DJ131" s="511">
        <f t="shared" si="78"/>
        <v>0</v>
      </c>
      <c r="DK131" s="524">
        <f t="shared" si="79"/>
        <v>0</v>
      </c>
      <c r="DL131" s="524">
        <f>IF(DK131=0,35,_xlfn.RANK.EQ(DK131,DK98:DK132))</f>
        <v>35</v>
      </c>
      <c r="DM131" s="772">
        <f>IF(DL131=35,35,DL131+COUNTIF(DL$98:DL130,DL131)/COUNTIF(DL$98:DL$132,DL131))</f>
        <v>35</v>
      </c>
      <c r="DN131" s="524">
        <f t="shared" si="80"/>
        <v>13</v>
      </c>
      <c r="DO131" s="524" t="s">
        <v>400</v>
      </c>
      <c r="DP131" s="474"/>
      <c r="DQ131" s="474"/>
      <c r="DR131" s="527"/>
      <c r="DS131" s="474"/>
      <c r="DT131" s="474"/>
      <c r="DU131" s="474"/>
      <c r="DV131" s="474"/>
      <c r="DW131" s="474"/>
      <c r="DX131" s="474"/>
      <c r="DY131" s="474"/>
      <c r="DZ131" s="474"/>
      <c r="EA131" s="474"/>
      <c r="EB131" s="474"/>
      <c r="EC131" s="474"/>
    </row>
    <row r="132" spans="29:133" s="473" customFormat="1">
      <c r="AC132" s="761">
        <f t="shared" si="7"/>
        <v>35</v>
      </c>
      <c r="AD132" s="497" t="s">
        <v>396</v>
      </c>
      <c r="AE132" s="497">
        <f t="shared" si="8"/>
        <v>0</v>
      </c>
      <c r="AF132" s="497">
        <f t="shared" si="9"/>
        <v>0</v>
      </c>
      <c r="AG132" s="497">
        <f t="shared" si="10"/>
        <v>0</v>
      </c>
      <c r="AH132" s="497">
        <f t="shared" si="11"/>
        <v>0</v>
      </c>
      <c r="AI132" s="497">
        <f t="shared" si="12"/>
        <v>0</v>
      </c>
      <c r="AJ132" s="497">
        <f t="shared" si="13"/>
        <v>0</v>
      </c>
      <c r="AK132" s="497">
        <f t="shared" si="14"/>
        <v>0</v>
      </c>
      <c r="AL132" s="497">
        <f t="shared" si="15"/>
        <v>0</v>
      </c>
      <c r="AM132" s="497">
        <f t="shared" si="16"/>
        <v>0</v>
      </c>
      <c r="AN132" s="497">
        <f t="shared" si="17"/>
        <v>0</v>
      </c>
      <c r="AO132" s="497">
        <f t="shared" si="18"/>
        <v>0</v>
      </c>
      <c r="AP132" s="497">
        <f t="shared" si="19"/>
        <v>0</v>
      </c>
      <c r="AQ132" s="497">
        <f t="shared" si="20"/>
        <v>0</v>
      </c>
      <c r="AR132" s="497">
        <f t="shared" si="21"/>
        <v>0</v>
      </c>
      <c r="AS132" s="497">
        <f>IF(AR132=0,35,_xlfn.RANK.EQ(AR132,AR98:AR132))</f>
        <v>35</v>
      </c>
      <c r="AT132" s="1348">
        <f>IF(AS132=35,35,AS132+COUNTIF(AS$98:AS131,AS132)/COUNTIF(AS$98:AS$132,AS132))</f>
        <v>35</v>
      </c>
      <c r="AU132" s="497">
        <f t="shared" si="22"/>
        <v>12</v>
      </c>
      <c r="AV132" s="497" t="s">
        <v>396</v>
      </c>
      <c r="AW132" s="497">
        <f t="shared" si="23"/>
        <v>0</v>
      </c>
      <c r="AX132" s="497">
        <f t="shared" si="24"/>
        <v>0</v>
      </c>
      <c r="AY132" s="497">
        <f t="shared" si="25"/>
        <v>0</v>
      </c>
      <c r="AZ132" s="497">
        <f t="shared" si="26"/>
        <v>0</v>
      </c>
      <c r="BA132" s="497">
        <f t="shared" si="27"/>
        <v>0</v>
      </c>
      <c r="BB132" s="497">
        <f t="shared" si="28"/>
        <v>0</v>
      </c>
      <c r="BC132" s="497">
        <f t="shared" si="29"/>
        <v>0</v>
      </c>
      <c r="BD132" s="497">
        <f t="shared" si="30"/>
        <v>0</v>
      </c>
      <c r="BE132" s="497">
        <f t="shared" si="31"/>
        <v>0</v>
      </c>
      <c r="BF132" s="497">
        <f t="shared" si="32"/>
        <v>0</v>
      </c>
      <c r="BG132" s="497">
        <f t="shared" si="33"/>
        <v>0</v>
      </c>
      <c r="BH132" s="497">
        <f t="shared" si="34"/>
        <v>0</v>
      </c>
      <c r="BI132" s="497">
        <f t="shared" si="35"/>
        <v>0</v>
      </c>
      <c r="BJ132" s="497">
        <f>IF(BI132=0,35,_xlfn.RANK.EQ(BI132,BI98:BI132))</f>
        <v>35</v>
      </c>
      <c r="BK132" s="1348">
        <f>IF(BJ132=35,35,BJ132+COUNTIF(BJ$98:BJ131,BJ132)/COUNTIF(BJ$98:BJ$132,BJ132))</f>
        <v>35</v>
      </c>
      <c r="BL132" s="497">
        <f t="shared" si="6"/>
        <v>13</v>
      </c>
      <c r="BM132" s="497" t="s">
        <v>396</v>
      </c>
      <c r="BN132" s="497">
        <f t="shared" si="36"/>
        <v>5</v>
      </c>
      <c r="BO132" s="497">
        <f t="shared" si="37"/>
        <v>5</v>
      </c>
      <c r="BP132" s="497">
        <f t="shared" si="38"/>
        <v>6</v>
      </c>
      <c r="BQ132" s="497">
        <f t="shared" si="39"/>
        <v>5</v>
      </c>
      <c r="BR132" s="497">
        <f t="shared" si="40"/>
        <v>6</v>
      </c>
      <c r="BS132" s="497">
        <f t="shared" si="41"/>
        <v>6</v>
      </c>
      <c r="BT132" s="497">
        <f t="shared" si="42"/>
        <v>7</v>
      </c>
      <c r="BU132" s="497">
        <f t="shared" si="43"/>
        <v>8</v>
      </c>
      <c r="BV132" s="497">
        <f t="shared" si="44"/>
        <v>7</v>
      </c>
      <c r="BW132" s="497">
        <f t="shared" si="45"/>
        <v>9</v>
      </c>
      <c r="BX132" s="497">
        <f t="shared" si="46"/>
        <v>10</v>
      </c>
      <c r="BY132" s="497">
        <f t="shared" si="47"/>
        <v>9</v>
      </c>
      <c r="BZ132" s="497">
        <f t="shared" si="48"/>
        <v>10</v>
      </c>
      <c r="CA132" s="511">
        <f t="shared" si="49"/>
        <v>83</v>
      </c>
      <c r="CB132" s="511">
        <f>IF(CA132=0,35,_xlfn.RANK.EQ(CA132,CA98:CA132))</f>
        <v>3</v>
      </c>
      <c r="CC132" s="512">
        <f>IF(CB132=35,35,CB132+COUNTIF(CB$98:CB131,CB132)/COUNTIF(CB$98:CB$132,CB132))</f>
        <v>3</v>
      </c>
      <c r="CD132" s="511">
        <f t="shared" si="50"/>
        <v>3</v>
      </c>
      <c r="CE132" s="511" t="s">
        <v>396</v>
      </c>
      <c r="CF132" s="511">
        <f t="shared" si="51"/>
        <v>7</v>
      </c>
      <c r="CG132" s="511">
        <f t="shared" si="52"/>
        <v>8</v>
      </c>
      <c r="CH132" s="511">
        <f t="shared" si="53"/>
        <v>0</v>
      </c>
      <c r="CI132" s="511">
        <f t="shared" si="54"/>
        <v>9</v>
      </c>
      <c r="CJ132" s="511">
        <f t="shared" si="55"/>
        <v>7</v>
      </c>
      <c r="CK132" s="511">
        <f t="shared" si="56"/>
        <v>10</v>
      </c>
      <c r="CL132" s="511">
        <f t="shared" si="57"/>
        <v>10</v>
      </c>
      <c r="CM132" s="511">
        <f t="shared" si="58"/>
        <v>4</v>
      </c>
      <c r="CN132" s="511">
        <f t="shared" si="59"/>
        <v>4</v>
      </c>
      <c r="CO132" s="511">
        <f t="shared" si="60"/>
        <v>0</v>
      </c>
      <c r="CP132" s="511">
        <f t="shared" si="61"/>
        <v>6</v>
      </c>
      <c r="CQ132" s="511">
        <f t="shared" si="62"/>
        <v>6</v>
      </c>
      <c r="CR132" s="511">
        <f t="shared" si="63"/>
        <v>6</v>
      </c>
      <c r="CS132" s="511">
        <f t="shared" si="64"/>
        <v>71</v>
      </c>
      <c r="CT132" s="511">
        <f>IF(CS132=0,35,_xlfn.RANK.EQ(CS132,CS98:CS132))</f>
        <v>3</v>
      </c>
      <c r="CU132" s="512">
        <f>IF(CT132=35,35,CT132+COUNTIF(CT$98:CT131,CT132)/COUNTIF(CT$98:CT$132,CT132))</f>
        <v>3</v>
      </c>
      <c r="CV132" s="511">
        <f t="shared" si="65"/>
        <v>3</v>
      </c>
      <c r="CW132" s="511" t="s">
        <v>396</v>
      </c>
      <c r="CX132" s="511">
        <f t="shared" si="66"/>
        <v>0</v>
      </c>
      <c r="CY132" s="511">
        <f t="shared" si="67"/>
        <v>0</v>
      </c>
      <c r="CZ132" s="511">
        <f t="shared" si="68"/>
        <v>0</v>
      </c>
      <c r="DA132" s="511">
        <f t="shared" si="69"/>
        <v>0</v>
      </c>
      <c r="DB132" s="511">
        <f t="shared" si="70"/>
        <v>0</v>
      </c>
      <c r="DC132" s="511">
        <f t="shared" si="71"/>
        <v>0</v>
      </c>
      <c r="DD132" s="511">
        <f t="shared" si="72"/>
        <v>0</v>
      </c>
      <c r="DE132" s="511">
        <f t="shared" si="73"/>
        <v>0</v>
      </c>
      <c r="DF132" s="511">
        <f t="shared" si="74"/>
        <v>0</v>
      </c>
      <c r="DG132" s="511">
        <f t="shared" si="75"/>
        <v>0</v>
      </c>
      <c r="DH132" s="511">
        <f t="shared" si="76"/>
        <v>0</v>
      </c>
      <c r="DI132" s="511">
        <f t="shared" si="77"/>
        <v>0</v>
      </c>
      <c r="DJ132" s="511">
        <f t="shared" si="78"/>
        <v>0</v>
      </c>
      <c r="DK132" s="524">
        <f t="shared" si="79"/>
        <v>0</v>
      </c>
      <c r="DL132" s="524">
        <f>IF(DK132=0,35,_xlfn.RANK.EQ(DK132,DK98:DK132))</f>
        <v>35</v>
      </c>
      <c r="DM132" s="772">
        <f>IF(DL132=35,35,DL132+COUNTIF(DL$98:DL131,DL132)/COUNTIF(DL$98:DL$132,DL132))</f>
        <v>35</v>
      </c>
      <c r="DN132" s="524">
        <f t="shared" si="80"/>
        <v>13</v>
      </c>
      <c r="DO132" s="524" t="s">
        <v>396</v>
      </c>
      <c r="DP132" s="474"/>
      <c r="DQ132" s="474"/>
      <c r="DR132" s="527"/>
      <c r="DS132" s="474"/>
      <c r="DT132" s="474"/>
      <c r="DU132" s="474"/>
      <c r="DV132" s="474"/>
      <c r="DW132" s="474"/>
      <c r="DX132" s="474"/>
      <c r="DY132" s="474"/>
      <c r="DZ132" s="474"/>
      <c r="EA132" s="474"/>
      <c r="EB132" s="474"/>
      <c r="EC132" s="474"/>
    </row>
    <row r="133" spans="29:133" s="473" customFormat="1">
      <c r="AC133" s="761">
        <f t="shared" si="7"/>
        <v>36</v>
      </c>
      <c r="AD133" s="497"/>
      <c r="AE133" s="497"/>
      <c r="AF133" s="497"/>
      <c r="AG133" s="497"/>
      <c r="AH133" s="497"/>
      <c r="AI133" s="497"/>
      <c r="AJ133" s="497"/>
      <c r="AK133" s="497"/>
      <c r="AL133" s="497"/>
      <c r="AM133" s="497"/>
      <c r="AN133" s="497"/>
      <c r="AO133" s="497"/>
      <c r="AP133" s="497"/>
      <c r="AQ133" s="497"/>
      <c r="AR133" s="1347"/>
      <c r="AS133" s="497">
        <f t="array" ref="AS133">MAX(IF(AS$98:AS$132&lt;35,AS$98:AS$132))</f>
        <v>11</v>
      </c>
      <c r="AT133" s="497"/>
      <c r="AU133" s="497">
        <f t="array" ref="AU133">MAX(IF(AU$98:AU$132&lt;35,AU$98:AU$132))</f>
        <v>12</v>
      </c>
      <c r="AV133" s="497"/>
      <c r="AW133" s="497"/>
      <c r="AX133" s="497"/>
      <c r="AY133" s="497"/>
      <c r="AZ133" s="497"/>
      <c r="BA133" s="497"/>
      <c r="BB133" s="497"/>
      <c r="BC133" s="497"/>
      <c r="BD133" s="497"/>
      <c r="BE133" s="497"/>
      <c r="BF133" s="497"/>
      <c r="BG133" s="497"/>
      <c r="BH133" s="497"/>
      <c r="BI133" s="1347"/>
      <c r="BJ133" s="497">
        <f t="array" ref="BJ133">MAX(IF(BJ$98:BJ$132&lt;35,BJ$98:BJ$132))</f>
        <v>12</v>
      </c>
      <c r="BK133" s="497"/>
      <c r="BL133" s="497">
        <f t="array" ref="BL133">MAX(IF(BL$98:BL$132&lt;35,BL$98:BL$132))</f>
        <v>13</v>
      </c>
      <c r="BM133" s="497"/>
      <c r="BN133" s="497"/>
      <c r="BO133" s="497"/>
      <c r="BP133" s="497"/>
      <c r="BQ133" s="497"/>
      <c r="BR133" s="497"/>
      <c r="BS133" s="497"/>
      <c r="BT133" s="497"/>
      <c r="BU133" s="497"/>
      <c r="BV133" s="497"/>
      <c r="BW133" s="497"/>
      <c r="BX133" s="497"/>
      <c r="BY133" s="497"/>
      <c r="BZ133" s="497"/>
      <c r="CA133" s="511"/>
      <c r="CB133" s="511">
        <f t="array" ref="CB133">MAX(IF(CB$98:CB$132&lt;35,CB$98:CB$132))</f>
        <v>12</v>
      </c>
      <c r="CC133" s="511"/>
      <c r="CD133" s="511">
        <f t="array" ref="CD133">MAX(IF(CD$98:CD$132&lt;35,CD$98:CD$132))</f>
        <v>13</v>
      </c>
      <c r="CE133" s="511"/>
      <c r="CF133" s="511"/>
      <c r="CG133" s="511"/>
      <c r="CH133" s="511"/>
      <c r="CI133" s="511"/>
      <c r="CJ133" s="511"/>
      <c r="CK133" s="511"/>
      <c r="CL133" s="511"/>
      <c r="CM133" s="511"/>
      <c r="CN133" s="511"/>
      <c r="CO133" s="511"/>
      <c r="CP133" s="511"/>
      <c r="CQ133" s="511"/>
      <c r="CR133" s="511"/>
      <c r="CS133" s="511"/>
      <c r="CT133" s="511">
        <f t="array" ref="CT133">MAX(IF(CT$98:CT$132&lt;35,CT$98:CT$132))</f>
        <v>20</v>
      </c>
      <c r="CU133" s="511"/>
      <c r="CV133" s="511">
        <f t="array" ref="CV133">MAX(IF(CV$98:CV$132&lt;35,CV$98:CV$132))</f>
        <v>21</v>
      </c>
      <c r="CW133" s="511"/>
      <c r="CX133" s="511"/>
      <c r="CY133" s="511"/>
      <c r="CZ133" s="511"/>
      <c r="DA133" s="511"/>
      <c r="DB133" s="511"/>
      <c r="DC133" s="511"/>
      <c r="DD133" s="511"/>
      <c r="DE133" s="511"/>
      <c r="DF133" s="511"/>
      <c r="DG133" s="511"/>
      <c r="DH133" s="511"/>
      <c r="DI133" s="511"/>
      <c r="DJ133" s="511"/>
      <c r="DK133" s="524"/>
      <c r="DL133" s="524">
        <f t="array" ref="DL133">MAX(IF(DL$98:DL$132&lt;35,DL$98:DL$132))</f>
        <v>12</v>
      </c>
      <c r="DM133" s="524"/>
      <c r="DN133" s="524">
        <f t="array" ref="DN133">MAX(IF(DN$98:DN$132&lt;35,DN$98:DN$132))</f>
        <v>13</v>
      </c>
      <c r="DO133" s="474"/>
      <c r="DP133" s="474"/>
      <c r="DQ133" s="474"/>
      <c r="DR133" s="527"/>
      <c r="DS133" s="474"/>
      <c r="DT133" s="474"/>
      <c r="DU133" s="474"/>
      <c r="DV133" s="474"/>
      <c r="DW133" s="474"/>
      <c r="DX133" s="474"/>
      <c r="DY133" s="474"/>
      <c r="DZ133" s="474"/>
      <c r="EA133" s="474"/>
      <c r="EB133" s="474"/>
      <c r="EC133" s="474"/>
    </row>
    <row r="134" spans="29:133" s="473" customFormat="1">
      <c r="AC134" s="761">
        <f t="shared" si="7"/>
        <v>37</v>
      </c>
      <c r="AD134" s="497"/>
      <c r="AE134" s="497"/>
      <c r="AF134" s="497"/>
      <c r="AG134" s="497"/>
      <c r="AH134" s="497"/>
      <c r="AI134" s="497"/>
      <c r="AJ134" s="497"/>
      <c r="AK134" s="497"/>
      <c r="AL134" s="497"/>
      <c r="AM134" s="497"/>
      <c r="AN134" s="497"/>
      <c r="AO134" s="497"/>
      <c r="AP134" s="497"/>
      <c r="AQ134" s="497"/>
      <c r="AR134" s="497"/>
      <c r="AS134" s="497"/>
      <c r="AT134" s="497"/>
      <c r="AU134" s="497"/>
      <c r="AV134" s="497"/>
      <c r="AW134" s="497"/>
      <c r="AX134" s="497"/>
      <c r="AY134" s="497"/>
      <c r="AZ134" s="497"/>
      <c r="BA134" s="497"/>
      <c r="BB134" s="497"/>
      <c r="BC134" s="497"/>
      <c r="BD134" s="497"/>
      <c r="BE134" s="497"/>
      <c r="BF134" s="497"/>
      <c r="BG134" s="497"/>
      <c r="BH134" s="497"/>
      <c r="BI134" s="497"/>
      <c r="BJ134" s="497"/>
      <c r="BK134" s="497"/>
      <c r="BL134" s="497"/>
      <c r="BM134" s="497"/>
      <c r="BN134" s="497"/>
      <c r="BO134" s="497"/>
      <c r="BP134" s="497"/>
      <c r="BQ134" s="497"/>
      <c r="BR134" s="497"/>
      <c r="BS134" s="497"/>
      <c r="BT134" s="497"/>
      <c r="BU134" s="497"/>
      <c r="BV134" s="497"/>
      <c r="BW134" s="497"/>
      <c r="BX134" s="497"/>
      <c r="BY134" s="497"/>
      <c r="BZ134" s="497"/>
      <c r="CA134" s="511"/>
      <c r="CB134" s="511"/>
      <c r="CC134" s="511"/>
      <c r="CD134" s="511"/>
      <c r="CE134" s="511"/>
      <c r="CF134" s="511"/>
      <c r="CG134" s="511"/>
      <c r="CH134" s="511"/>
      <c r="CI134" s="511"/>
      <c r="CJ134" s="511"/>
      <c r="CK134" s="511"/>
      <c r="CL134" s="511"/>
      <c r="CM134" s="511"/>
      <c r="CN134" s="511"/>
      <c r="CO134" s="511"/>
      <c r="CP134" s="511"/>
      <c r="CQ134" s="511"/>
      <c r="CR134" s="511"/>
      <c r="CS134" s="511"/>
      <c r="CT134" s="511">
        <v>11</v>
      </c>
      <c r="CU134" s="511"/>
      <c r="CV134" s="511"/>
      <c r="CW134" s="511"/>
      <c r="CX134" s="511"/>
      <c r="CY134" s="511"/>
      <c r="CZ134" s="511"/>
      <c r="DA134" s="511"/>
      <c r="DB134" s="511"/>
      <c r="DC134" s="511"/>
      <c r="DD134" s="511"/>
      <c r="DE134" s="511"/>
      <c r="DF134" s="511"/>
      <c r="DG134" s="511"/>
      <c r="DH134" s="511"/>
      <c r="DI134" s="511"/>
      <c r="DJ134" s="511"/>
      <c r="DK134" s="524"/>
      <c r="DL134" s="524"/>
      <c r="DM134" s="524"/>
      <c r="DN134" s="474"/>
      <c r="DO134" s="474"/>
      <c r="DP134" s="474"/>
      <c r="DQ134" s="474"/>
      <c r="DR134" s="527"/>
      <c r="DS134" s="474"/>
      <c r="DT134" s="474"/>
      <c r="DU134" s="474"/>
      <c r="DV134" s="474"/>
      <c r="DW134" s="474"/>
      <c r="DX134" s="474"/>
      <c r="DY134" s="474"/>
      <c r="DZ134" s="474"/>
      <c r="EA134" s="474"/>
      <c r="EB134" s="474"/>
      <c r="EC134" s="474"/>
    </row>
    <row r="135" spans="29:133" s="473" customFormat="1">
      <c r="AC135" s="761">
        <f t="shared" si="7"/>
        <v>38</v>
      </c>
      <c r="AD135" s="497"/>
      <c r="AE135" s="497"/>
      <c r="AF135" s="497"/>
      <c r="AG135" s="497"/>
      <c r="AH135" s="497"/>
      <c r="AI135" s="497"/>
      <c r="AJ135" s="497"/>
      <c r="AK135" s="497"/>
      <c r="AL135" s="497"/>
      <c r="AM135" s="497"/>
      <c r="AN135" s="497"/>
      <c r="AO135" s="497"/>
      <c r="AP135" s="497"/>
      <c r="AQ135" s="497"/>
      <c r="AR135" s="497"/>
      <c r="AS135" s="497"/>
      <c r="AT135" s="497"/>
      <c r="AU135" s="497"/>
      <c r="AV135" s="497"/>
      <c r="AW135" s="497"/>
      <c r="AX135" s="497"/>
      <c r="AY135" s="497"/>
      <c r="AZ135" s="497"/>
      <c r="BA135" s="497"/>
      <c r="BB135" s="497"/>
      <c r="BC135" s="497"/>
      <c r="BD135" s="497"/>
      <c r="BE135" s="497"/>
      <c r="BF135" s="497"/>
      <c r="BG135" s="497"/>
      <c r="BH135" s="497"/>
      <c r="BI135" s="497"/>
      <c r="BJ135" s="497"/>
      <c r="BK135" s="497"/>
      <c r="BL135" s="497"/>
      <c r="BM135" s="497"/>
      <c r="BN135" s="497"/>
      <c r="BO135" s="497"/>
      <c r="BP135" s="497"/>
      <c r="BQ135" s="497"/>
      <c r="BR135" s="497"/>
      <c r="BS135" s="497"/>
      <c r="BT135" s="497"/>
      <c r="BU135" s="497"/>
      <c r="BV135" s="497"/>
      <c r="BW135" s="497"/>
      <c r="BX135" s="497"/>
      <c r="BY135" s="497"/>
      <c r="BZ135" s="497"/>
      <c r="CA135" s="511"/>
      <c r="CB135" s="511"/>
      <c r="CC135" s="511"/>
      <c r="CD135" s="511"/>
      <c r="CE135" s="511"/>
      <c r="CF135" s="511"/>
      <c r="CG135" s="511"/>
      <c r="CH135" s="511"/>
      <c r="CI135" s="511"/>
      <c r="CJ135" s="511"/>
      <c r="CK135" s="511"/>
      <c r="CL135" s="511"/>
      <c r="CM135" s="511"/>
      <c r="CN135" s="511"/>
      <c r="CO135" s="511"/>
      <c r="CP135" s="511"/>
      <c r="CQ135" s="511"/>
      <c r="CR135" s="511"/>
      <c r="CS135" s="511"/>
      <c r="CT135" s="511"/>
      <c r="CU135" s="511"/>
      <c r="CV135" s="511"/>
      <c r="CW135" s="511"/>
      <c r="CX135" s="511"/>
      <c r="CY135" s="511"/>
      <c r="CZ135" s="511"/>
      <c r="DA135" s="511"/>
      <c r="DB135" s="511"/>
      <c r="DC135" s="511"/>
      <c r="DD135" s="511"/>
      <c r="DE135" s="511"/>
      <c r="DF135" s="511"/>
      <c r="DG135" s="511"/>
      <c r="DH135" s="511"/>
      <c r="DI135" s="511"/>
      <c r="DJ135" s="511"/>
      <c r="DK135" s="524"/>
      <c r="DL135" s="524"/>
      <c r="DM135" s="524"/>
      <c r="DN135" s="474"/>
      <c r="DO135" s="474"/>
      <c r="DP135" s="474"/>
      <c r="DQ135" s="474"/>
      <c r="DR135" s="527"/>
      <c r="DS135" s="474"/>
      <c r="DT135" s="474"/>
      <c r="DU135" s="474"/>
      <c r="DV135" s="474"/>
      <c r="DW135" s="474"/>
      <c r="DX135" s="474"/>
      <c r="DY135" s="474"/>
      <c r="DZ135" s="474"/>
      <c r="EA135" s="474"/>
      <c r="EB135" s="474"/>
      <c r="EC135" s="474"/>
    </row>
    <row r="136" spans="29:133" s="473" customFormat="1">
      <c r="AC136" s="761">
        <f t="shared" si="7"/>
        <v>39</v>
      </c>
      <c r="AD136" s="497"/>
      <c r="AE136" s="497"/>
      <c r="AF136" s="497"/>
      <c r="AG136" s="497"/>
      <c r="AH136" s="497"/>
      <c r="AI136" s="497"/>
      <c r="AJ136" s="497"/>
      <c r="AK136" s="497"/>
      <c r="AL136" s="497"/>
      <c r="AM136" s="497"/>
      <c r="AN136" s="497"/>
      <c r="AO136" s="497"/>
      <c r="AP136" s="497"/>
      <c r="AQ136" s="497"/>
      <c r="AR136" s="497"/>
      <c r="AS136" s="497"/>
      <c r="AT136" s="497"/>
      <c r="AU136" s="497"/>
      <c r="AV136" s="497"/>
      <c r="AW136" s="497"/>
      <c r="AX136" s="497"/>
      <c r="AY136" s="497"/>
      <c r="AZ136" s="497"/>
      <c r="BA136" s="497"/>
      <c r="BB136" s="497"/>
      <c r="BC136" s="497"/>
      <c r="BD136" s="497"/>
      <c r="BE136" s="497"/>
      <c r="BF136" s="497"/>
      <c r="BG136" s="497"/>
      <c r="BH136" s="497"/>
      <c r="BI136" s="497"/>
      <c r="BJ136" s="497"/>
      <c r="BK136" s="497"/>
      <c r="BL136" s="497"/>
      <c r="BM136" s="497"/>
      <c r="BN136" s="497"/>
      <c r="BO136" s="497"/>
      <c r="BP136" s="497"/>
      <c r="BQ136" s="497"/>
      <c r="BR136" s="497"/>
      <c r="BS136" s="497"/>
      <c r="BT136" s="497"/>
      <c r="BU136" s="497"/>
      <c r="BV136" s="497"/>
      <c r="BW136" s="497"/>
      <c r="BX136" s="497"/>
      <c r="BY136" s="497"/>
      <c r="BZ136" s="497"/>
      <c r="CA136" s="511"/>
      <c r="CB136" s="511"/>
      <c r="CC136" s="511"/>
      <c r="CD136" s="511"/>
      <c r="CE136" s="511"/>
      <c r="CF136" s="511"/>
      <c r="CG136" s="511"/>
      <c r="CH136" s="511"/>
      <c r="CI136" s="511"/>
      <c r="CJ136" s="511"/>
      <c r="CK136" s="511"/>
      <c r="CL136" s="511"/>
      <c r="CM136" s="511"/>
      <c r="CN136" s="511"/>
      <c r="CO136" s="511"/>
      <c r="CP136" s="511"/>
      <c r="CQ136" s="511"/>
      <c r="CR136" s="511"/>
      <c r="CS136" s="511"/>
      <c r="CT136" s="511"/>
      <c r="CU136" s="511"/>
      <c r="CV136" s="511"/>
      <c r="CW136" s="511"/>
      <c r="CX136" s="511"/>
      <c r="CY136" s="511"/>
      <c r="CZ136" s="511"/>
      <c r="DA136" s="511"/>
      <c r="DB136" s="511"/>
      <c r="DC136" s="511"/>
      <c r="DD136" s="511"/>
      <c r="DE136" s="511"/>
      <c r="DF136" s="511"/>
      <c r="DG136" s="511"/>
      <c r="DH136" s="511"/>
      <c r="DI136" s="511"/>
      <c r="DJ136" s="511"/>
      <c r="DK136" s="524"/>
      <c r="DL136" s="524"/>
      <c r="DM136" s="524"/>
      <c r="DN136" s="474"/>
      <c r="DO136" s="474"/>
      <c r="DP136" s="474"/>
      <c r="DQ136" s="474"/>
      <c r="DR136" s="527"/>
      <c r="DS136" s="474"/>
      <c r="DT136" s="474"/>
      <c r="DU136" s="474"/>
      <c r="DV136" s="474"/>
      <c r="DW136" s="474"/>
      <c r="DX136" s="474"/>
      <c r="DY136" s="474"/>
      <c r="DZ136" s="474"/>
      <c r="EA136" s="474"/>
      <c r="EB136" s="474"/>
      <c r="EC136" s="474"/>
    </row>
    <row r="137" spans="29:133" s="473" customFormat="1">
      <c r="AC137" s="761">
        <f t="shared" si="7"/>
        <v>40</v>
      </c>
      <c r="AD137" s="497"/>
      <c r="AE137" s="497"/>
      <c r="AF137" s="497"/>
      <c r="AG137" s="497"/>
      <c r="AH137" s="497"/>
      <c r="AI137" s="497"/>
      <c r="AJ137" s="497"/>
      <c r="AK137" s="497"/>
      <c r="AL137" s="497"/>
      <c r="AM137" s="497"/>
      <c r="AN137" s="497"/>
      <c r="AO137" s="497"/>
      <c r="AP137" s="497"/>
      <c r="AQ137" s="497"/>
      <c r="AR137" s="497"/>
      <c r="AS137" s="497"/>
      <c r="AT137" s="497"/>
      <c r="AU137" s="497"/>
      <c r="AV137" s="497"/>
      <c r="AW137" s="497"/>
      <c r="AX137" s="497"/>
      <c r="AY137" s="497"/>
      <c r="AZ137" s="497"/>
      <c r="BA137" s="497"/>
      <c r="BB137" s="497"/>
      <c r="BC137" s="497"/>
      <c r="BD137" s="497"/>
      <c r="BE137" s="497"/>
      <c r="BF137" s="497"/>
      <c r="BG137" s="497"/>
      <c r="BH137" s="497"/>
      <c r="BI137" s="497"/>
      <c r="BJ137" s="497"/>
      <c r="BK137" s="497"/>
      <c r="BL137" s="497"/>
      <c r="BM137" s="497"/>
      <c r="BN137" s="497"/>
      <c r="BO137" s="497"/>
      <c r="BP137" s="497"/>
      <c r="BQ137" s="497"/>
      <c r="BR137" s="497"/>
      <c r="BS137" s="497"/>
      <c r="BT137" s="497"/>
      <c r="BU137" s="497"/>
      <c r="BV137" s="497"/>
      <c r="BW137" s="497"/>
      <c r="BX137" s="497"/>
      <c r="BY137" s="497"/>
      <c r="BZ137" s="511"/>
      <c r="CA137" s="511"/>
      <c r="CB137" s="511"/>
      <c r="CC137" s="511"/>
      <c r="CD137" s="511"/>
      <c r="CE137" s="511"/>
      <c r="CF137" s="511"/>
      <c r="CG137" s="511"/>
      <c r="CH137" s="511"/>
      <c r="CI137" s="511"/>
      <c r="CJ137" s="511"/>
      <c r="CK137" s="511"/>
      <c r="CL137" s="511"/>
      <c r="CM137" s="511"/>
      <c r="CN137" s="511"/>
      <c r="CO137" s="511"/>
      <c r="CP137" s="511"/>
      <c r="CQ137" s="511"/>
      <c r="CR137" s="511"/>
      <c r="CS137" s="511"/>
      <c r="CT137" s="511"/>
      <c r="CU137" s="511"/>
      <c r="CV137" s="511"/>
      <c r="CW137" s="511"/>
      <c r="CX137" s="511"/>
      <c r="CY137" s="511"/>
      <c r="CZ137" s="511"/>
      <c r="DA137" s="511"/>
      <c r="DB137" s="511"/>
      <c r="DC137" s="511"/>
      <c r="DD137" s="511"/>
      <c r="DE137" s="511"/>
      <c r="DF137" s="511"/>
      <c r="DG137" s="511"/>
      <c r="DH137" s="511"/>
      <c r="DI137" s="511"/>
      <c r="DJ137" s="511"/>
      <c r="DK137" s="524"/>
      <c r="DL137" s="524"/>
      <c r="DM137" s="524"/>
      <c r="DN137" s="474"/>
      <c r="DO137" s="474"/>
      <c r="DP137" s="474"/>
      <c r="DQ137" s="474"/>
      <c r="DR137" s="527"/>
      <c r="DS137" s="474"/>
      <c r="DT137" s="474"/>
      <c r="DU137" s="474"/>
      <c r="DV137" s="474"/>
      <c r="DW137" s="474"/>
      <c r="DX137" s="474"/>
      <c r="DY137" s="474"/>
      <c r="DZ137" s="474"/>
      <c r="EA137" s="474"/>
      <c r="EB137" s="474"/>
      <c r="EC137" s="474"/>
    </row>
    <row r="138" spans="29:133" s="473" customFormat="1">
      <c r="AC138" s="761">
        <f t="shared" si="7"/>
        <v>41</v>
      </c>
      <c r="AD138" s="497"/>
      <c r="AE138" s="497"/>
      <c r="AF138" s="497"/>
      <c r="AG138" s="497"/>
      <c r="AH138" s="497"/>
      <c r="AI138" s="497"/>
      <c r="AJ138" s="497"/>
      <c r="AK138" s="497"/>
      <c r="AL138" s="497"/>
      <c r="AM138" s="497"/>
      <c r="AN138" s="497"/>
      <c r="AO138" s="497"/>
      <c r="AP138" s="497"/>
      <c r="AQ138" s="497"/>
      <c r="AR138" s="497"/>
      <c r="AS138" s="497"/>
      <c r="AT138" s="497"/>
      <c r="AU138" s="497"/>
      <c r="AV138" s="497"/>
      <c r="AW138" s="497"/>
      <c r="AX138" s="497"/>
      <c r="AY138" s="497"/>
      <c r="AZ138" s="497"/>
      <c r="BA138" s="497"/>
      <c r="BB138" s="497"/>
      <c r="BC138" s="497"/>
      <c r="BD138" s="497"/>
      <c r="BE138" s="497"/>
      <c r="BF138" s="497"/>
      <c r="BG138" s="497"/>
      <c r="BH138" s="497"/>
      <c r="BI138" s="497"/>
      <c r="BJ138" s="497"/>
      <c r="BK138" s="497"/>
      <c r="BL138" s="497"/>
      <c r="BM138" s="497"/>
      <c r="BN138" s="497"/>
      <c r="BO138" s="497"/>
      <c r="BP138" s="497"/>
      <c r="BQ138" s="497"/>
      <c r="BR138" s="497"/>
      <c r="BS138" s="497"/>
      <c r="BT138" s="497"/>
      <c r="BU138" s="497"/>
      <c r="BV138" s="497"/>
      <c r="BW138" s="497"/>
      <c r="BX138" s="497"/>
      <c r="BY138" s="497"/>
      <c r="BZ138" s="511"/>
      <c r="CA138" s="511"/>
      <c r="CB138" s="511"/>
      <c r="CC138" s="511"/>
      <c r="CD138" s="511"/>
      <c r="CE138" s="511"/>
      <c r="CF138" s="511"/>
      <c r="CG138" s="511"/>
      <c r="CH138" s="511"/>
      <c r="CI138" s="511"/>
      <c r="CJ138" s="511"/>
      <c r="CK138" s="511"/>
      <c r="CL138" s="511"/>
      <c r="CM138" s="511"/>
      <c r="CN138" s="511"/>
      <c r="CO138" s="511"/>
      <c r="CP138" s="511"/>
      <c r="CQ138" s="511"/>
      <c r="CR138" s="511"/>
      <c r="CS138" s="511"/>
      <c r="CT138" s="511"/>
      <c r="CU138" s="511"/>
      <c r="CV138" s="511"/>
      <c r="CW138" s="511"/>
      <c r="CX138" s="511"/>
      <c r="CY138" s="511"/>
      <c r="CZ138" s="511"/>
      <c r="DA138" s="511"/>
      <c r="DB138" s="511"/>
      <c r="DC138" s="511"/>
      <c r="DD138" s="511"/>
      <c r="DE138" s="511"/>
      <c r="DF138" s="511"/>
      <c r="DG138" s="511"/>
      <c r="DH138" s="511"/>
      <c r="DI138" s="511"/>
      <c r="DJ138" s="511"/>
      <c r="DK138" s="524"/>
      <c r="DL138" s="524"/>
      <c r="DM138" s="524"/>
      <c r="DN138" s="474"/>
      <c r="DO138" s="474"/>
      <c r="DP138" s="474"/>
      <c r="DQ138" s="474"/>
      <c r="DR138" s="527"/>
      <c r="DS138" s="474"/>
      <c r="DT138" s="474"/>
      <c r="DU138" s="474"/>
      <c r="DV138" s="474"/>
      <c r="DW138" s="474"/>
      <c r="DX138" s="474"/>
      <c r="DY138" s="474"/>
      <c r="DZ138" s="474"/>
      <c r="EA138" s="474"/>
      <c r="EB138" s="474"/>
      <c r="EC138" s="474"/>
    </row>
    <row r="139" spans="29:133" s="473" customFormat="1">
      <c r="AC139" s="761">
        <f t="shared" si="7"/>
        <v>42</v>
      </c>
      <c r="AD139" s="497"/>
      <c r="AE139" s="497"/>
      <c r="AF139" s="497"/>
      <c r="AG139" s="497"/>
      <c r="AH139" s="497"/>
      <c r="AI139" s="497"/>
      <c r="AJ139" s="497"/>
      <c r="AK139" s="497"/>
      <c r="AL139" s="497"/>
      <c r="AM139" s="497"/>
      <c r="AN139" s="497"/>
      <c r="AO139" s="497"/>
      <c r="AP139" s="497"/>
      <c r="AQ139" s="497"/>
      <c r="AR139" s="497"/>
      <c r="AS139" s="497"/>
      <c r="AT139" s="497"/>
      <c r="AU139" s="497"/>
      <c r="AV139" s="497"/>
      <c r="AW139" s="497"/>
      <c r="AX139" s="497"/>
      <c r="AY139" s="497"/>
      <c r="AZ139" s="497"/>
      <c r="BA139" s="497"/>
      <c r="BB139" s="497"/>
      <c r="BC139" s="497"/>
      <c r="BD139" s="497"/>
      <c r="BE139" s="497"/>
      <c r="BF139" s="497"/>
      <c r="BG139" s="497"/>
      <c r="BH139" s="497"/>
      <c r="BI139" s="497"/>
      <c r="BJ139" s="497"/>
      <c r="BK139" s="497"/>
      <c r="BL139" s="497"/>
      <c r="BM139" s="497"/>
      <c r="BN139" s="497"/>
      <c r="BO139" s="497"/>
      <c r="BP139" s="497"/>
      <c r="BQ139" s="497"/>
      <c r="BR139" s="497"/>
      <c r="BS139" s="497"/>
      <c r="BT139" s="497"/>
      <c r="BU139" s="497"/>
      <c r="BV139" s="497"/>
      <c r="BW139" s="497"/>
      <c r="BX139" s="497"/>
      <c r="BY139" s="497"/>
      <c r="BZ139" s="511"/>
      <c r="CA139" s="511"/>
      <c r="CB139" s="511"/>
      <c r="CC139" s="511"/>
      <c r="CD139" s="511"/>
      <c r="CE139" s="511"/>
      <c r="CF139" s="511"/>
      <c r="CG139" s="511"/>
      <c r="CH139" s="511"/>
      <c r="CI139" s="511"/>
      <c r="CJ139" s="511"/>
      <c r="CK139" s="511"/>
      <c r="CL139" s="511"/>
      <c r="CM139" s="511"/>
      <c r="CN139" s="511"/>
      <c r="CO139" s="511"/>
      <c r="CP139" s="511"/>
      <c r="CQ139" s="511"/>
      <c r="CR139" s="511"/>
      <c r="CS139" s="511"/>
      <c r="CT139" s="511"/>
      <c r="CU139" s="511"/>
      <c r="CV139" s="511"/>
      <c r="CW139" s="511"/>
      <c r="CX139" s="511"/>
      <c r="CY139" s="511"/>
      <c r="CZ139" s="511"/>
      <c r="DA139" s="511"/>
      <c r="DB139" s="511"/>
      <c r="DC139" s="511"/>
      <c r="DD139" s="511"/>
      <c r="DE139" s="511"/>
      <c r="DF139" s="511"/>
      <c r="DG139" s="511"/>
      <c r="DH139" s="511"/>
      <c r="DI139" s="511"/>
      <c r="DJ139" s="511"/>
      <c r="DK139" s="524"/>
      <c r="DL139" s="524"/>
      <c r="DM139" s="524"/>
      <c r="DN139" s="474"/>
      <c r="DO139" s="474"/>
      <c r="DP139" s="474"/>
      <c r="DQ139" s="474"/>
      <c r="DR139" s="527"/>
      <c r="DS139" s="474"/>
      <c r="DT139" s="474"/>
      <c r="DU139" s="474"/>
      <c r="DV139" s="474"/>
      <c r="DW139" s="474"/>
      <c r="DX139" s="474"/>
      <c r="DY139" s="474"/>
      <c r="DZ139" s="474"/>
      <c r="EA139" s="474"/>
      <c r="EB139" s="474"/>
      <c r="EC139" s="474"/>
    </row>
    <row r="140" spans="29:133" s="473" customFormat="1">
      <c r="AC140" s="761">
        <f t="shared" si="7"/>
        <v>43</v>
      </c>
      <c r="AD140" s="497"/>
      <c r="AE140" s="497"/>
      <c r="AF140" s="497"/>
      <c r="AG140" s="497"/>
      <c r="AH140" s="497"/>
      <c r="AI140" s="497"/>
      <c r="AJ140" s="497"/>
      <c r="AK140" s="497"/>
      <c r="AL140" s="497"/>
      <c r="AM140" s="497"/>
      <c r="AN140" s="497"/>
      <c r="AO140" s="497"/>
      <c r="AP140" s="497"/>
      <c r="AQ140" s="497"/>
      <c r="AR140" s="497"/>
      <c r="AS140" s="497"/>
      <c r="AT140" s="497"/>
      <c r="AU140" s="497"/>
      <c r="AV140" s="497"/>
      <c r="AW140" s="497"/>
      <c r="AX140" s="497"/>
      <c r="AY140" s="497"/>
      <c r="AZ140" s="497"/>
      <c r="BA140" s="497"/>
      <c r="BB140" s="497"/>
      <c r="BC140" s="497"/>
      <c r="BD140" s="497"/>
      <c r="BE140" s="497"/>
      <c r="BF140" s="497"/>
      <c r="BG140" s="497"/>
      <c r="BH140" s="497"/>
      <c r="BI140" s="497"/>
      <c r="BJ140" s="497"/>
      <c r="BK140" s="497"/>
      <c r="BL140" s="497"/>
      <c r="BM140" s="497"/>
      <c r="BN140" s="497"/>
      <c r="BO140" s="497"/>
      <c r="BP140" s="497"/>
      <c r="BQ140" s="497"/>
      <c r="BR140" s="497"/>
      <c r="BS140" s="497"/>
      <c r="BT140" s="497"/>
      <c r="BU140" s="497"/>
      <c r="BV140" s="497"/>
      <c r="BW140" s="497"/>
      <c r="BX140" s="497"/>
      <c r="BY140" s="497"/>
      <c r="BZ140" s="511"/>
      <c r="CA140" s="511"/>
      <c r="CB140" s="511"/>
      <c r="CC140" s="511"/>
      <c r="CD140" s="511"/>
      <c r="CE140" s="511"/>
      <c r="CF140" s="511"/>
      <c r="CG140" s="511"/>
      <c r="CH140" s="511"/>
      <c r="CI140" s="511"/>
      <c r="CJ140" s="511"/>
      <c r="CK140" s="511"/>
      <c r="CL140" s="511"/>
      <c r="CM140" s="511"/>
      <c r="CN140" s="511"/>
      <c r="CO140" s="511"/>
      <c r="CP140" s="511"/>
      <c r="CQ140" s="511"/>
      <c r="CR140" s="511"/>
      <c r="CS140" s="511"/>
      <c r="CT140" s="511"/>
      <c r="CU140" s="511"/>
      <c r="CV140" s="511"/>
      <c r="CW140" s="511"/>
      <c r="CX140" s="511"/>
      <c r="CY140" s="511"/>
      <c r="CZ140" s="511"/>
      <c r="DA140" s="511"/>
      <c r="DB140" s="511"/>
      <c r="DC140" s="511"/>
      <c r="DD140" s="511"/>
      <c r="DE140" s="511"/>
      <c r="DF140" s="511"/>
      <c r="DG140" s="511"/>
      <c r="DH140" s="511"/>
      <c r="DI140" s="511"/>
      <c r="DJ140" s="511"/>
      <c r="DK140" s="524"/>
      <c r="DL140" s="524"/>
      <c r="DM140" s="524"/>
      <c r="DN140" s="474"/>
      <c r="DO140" s="474"/>
      <c r="DP140" s="474"/>
      <c r="DQ140" s="474"/>
      <c r="DR140" s="527"/>
      <c r="DS140" s="474"/>
      <c r="DT140" s="474"/>
      <c r="DU140" s="474"/>
      <c r="DV140" s="474"/>
      <c r="DW140" s="474"/>
      <c r="DX140" s="474"/>
      <c r="DY140" s="474"/>
      <c r="DZ140" s="474"/>
      <c r="EA140" s="474"/>
      <c r="EB140" s="474"/>
      <c r="EC140" s="474"/>
    </row>
    <row r="141" spans="29:133" s="473" customFormat="1">
      <c r="AC141" s="761">
        <f t="shared" si="7"/>
        <v>44</v>
      </c>
      <c r="AD141" s="497"/>
      <c r="AE141" s="497"/>
      <c r="AF141" s="497"/>
      <c r="AG141" s="497"/>
      <c r="AH141" s="497"/>
      <c r="AI141" s="497"/>
      <c r="AJ141" s="497"/>
      <c r="AK141" s="497"/>
      <c r="AL141" s="497"/>
      <c r="AM141" s="497"/>
      <c r="AN141" s="497"/>
      <c r="AO141" s="497"/>
      <c r="AP141" s="497"/>
      <c r="AQ141" s="497"/>
      <c r="AR141" s="497"/>
      <c r="AS141" s="497"/>
      <c r="AT141" s="497"/>
      <c r="AU141" s="497"/>
      <c r="AV141" s="497"/>
      <c r="AW141" s="497"/>
      <c r="AX141" s="497"/>
      <c r="AY141" s="497"/>
      <c r="AZ141" s="497"/>
      <c r="BA141" s="497"/>
      <c r="BB141" s="497"/>
      <c r="BC141" s="497"/>
      <c r="BD141" s="497"/>
      <c r="BE141" s="497"/>
      <c r="BF141" s="497"/>
      <c r="BG141" s="497"/>
      <c r="BH141" s="497"/>
      <c r="BI141" s="497"/>
      <c r="BJ141" s="497"/>
      <c r="BK141" s="497"/>
      <c r="BL141" s="497"/>
      <c r="BM141" s="497"/>
      <c r="BN141" s="497"/>
      <c r="BO141" s="497"/>
      <c r="BP141" s="497"/>
      <c r="BQ141" s="497"/>
      <c r="BR141" s="497"/>
      <c r="BS141" s="497"/>
      <c r="BT141" s="497"/>
      <c r="BU141" s="497"/>
      <c r="BV141" s="497"/>
      <c r="BW141" s="497"/>
      <c r="BX141" s="497"/>
      <c r="BY141" s="497"/>
      <c r="BZ141" s="511"/>
      <c r="CA141" s="511"/>
      <c r="CB141" s="511"/>
      <c r="CC141" s="511"/>
      <c r="CD141" s="511"/>
      <c r="CE141" s="511"/>
      <c r="CF141" s="511"/>
      <c r="CG141" s="511"/>
      <c r="CH141" s="511"/>
      <c r="CI141" s="511"/>
      <c r="CJ141" s="511"/>
      <c r="CK141" s="511"/>
      <c r="CL141" s="511"/>
      <c r="CM141" s="511"/>
      <c r="CN141" s="511"/>
      <c r="CO141" s="511"/>
      <c r="CP141" s="511"/>
      <c r="CQ141" s="511"/>
      <c r="CR141" s="511"/>
      <c r="CS141" s="511"/>
      <c r="CT141" s="511"/>
      <c r="CU141" s="511"/>
      <c r="CV141" s="511"/>
      <c r="CW141" s="511"/>
      <c r="CX141" s="511"/>
      <c r="CY141" s="511"/>
      <c r="CZ141" s="511"/>
      <c r="DA141" s="511"/>
      <c r="DB141" s="511"/>
      <c r="DC141" s="511"/>
      <c r="DD141" s="511"/>
      <c r="DE141" s="511"/>
      <c r="DF141" s="511"/>
      <c r="DG141" s="511"/>
      <c r="DH141" s="511"/>
      <c r="DI141" s="511"/>
      <c r="DJ141" s="511"/>
      <c r="DK141" s="524"/>
      <c r="DL141" s="524"/>
      <c r="DM141" s="524"/>
      <c r="DN141" s="474"/>
      <c r="DO141" s="474"/>
      <c r="DP141" s="474"/>
      <c r="DQ141" s="474"/>
      <c r="DR141" s="527"/>
      <c r="DS141" s="474"/>
      <c r="DT141" s="474"/>
      <c r="DU141" s="474"/>
      <c r="DV141" s="474"/>
      <c r="DW141" s="474"/>
      <c r="DX141" s="474"/>
      <c r="DY141" s="474"/>
      <c r="DZ141" s="474"/>
      <c r="EA141" s="474"/>
      <c r="EB141" s="474"/>
      <c r="EC141" s="474"/>
    </row>
    <row r="142" spans="29:133" s="473" customFormat="1">
      <c r="AC142" s="761">
        <f t="shared" si="7"/>
        <v>45</v>
      </c>
      <c r="AD142" s="497"/>
      <c r="AE142" s="497"/>
      <c r="AF142" s="497"/>
      <c r="AG142" s="497"/>
      <c r="AH142" s="497"/>
      <c r="AI142" s="497"/>
      <c r="AJ142" s="497"/>
      <c r="AK142" s="497"/>
      <c r="AL142" s="497"/>
      <c r="AM142" s="497"/>
      <c r="AN142" s="497"/>
      <c r="AO142" s="497"/>
      <c r="AP142" s="497"/>
      <c r="AQ142" s="497"/>
      <c r="AR142" s="497"/>
      <c r="AS142" s="497"/>
      <c r="AT142" s="497"/>
      <c r="AU142" s="497"/>
      <c r="AV142" s="497"/>
      <c r="AW142" s="497"/>
      <c r="AX142" s="497"/>
      <c r="AY142" s="497"/>
      <c r="AZ142" s="497"/>
      <c r="BA142" s="497"/>
      <c r="BB142" s="497"/>
      <c r="BC142" s="497"/>
      <c r="BD142" s="497"/>
      <c r="BE142" s="497"/>
      <c r="BF142" s="497"/>
      <c r="BG142" s="497"/>
      <c r="BH142" s="497"/>
      <c r="BI142" s="497"/>
      <c r="BJ142" s="497"/>
      <c r="BK142" s="497"/>
      <c r="BL142" s="497"/>
      <c r="BM142" s="497"/>
      <c r="BN142" s="497"/>
      <c r="BO142" s="497"/>
      <c r="BP142" s="497"/>
      <c r="BQ142" s="497"/>
      <c r="BR142" s="497"/>
      <c r="BS142" s="497"/>
      <c r="BT142" s="497"/>
      <c r="BU142" s="497"/>
      <c r="BV142" s="497"/>
      <c r="BW142" s="497"/>
      <c r="BX142" s="497"/>
      <c r="BY142" s="497"/>
      <c r="BZ142" s="511"/>
      <c r="CA142" s="511"/>
      <c r="CB142" s="511"/>
      <c r="CC142" s="511"/>
      <c r="CD142" s="511"/>
      <c r="CE142" s="511"/>
      <c r="CF142" s="511"/>
      <c r="CG142" s="511"/>
      <c r="CH142" s="511"/>
      <c r="CI142" s="511"/>
      <c r="CJ142" s="511"/>
      <c r="CK142" s="511"/>
      <c r="CL142" s="511"/>
      <c r="CM142" s="511"/>
      <c r="CN142" s="511"/>
      <c r="CO142" s="511"/>
      <c r="CP142" s="511"/>
      <c r="CQ142" s="511"/>
      <c r="CR142" s="511"/>
      <c r="CS142" s="511"/>
      <c r="CT142" s="511"/>
      <c r="CU142" s="511"/>
      <c r="CV142" s="511"/>
      <c r="CW142" s="511"/>
      <c r="CX142" s="511"/>
      <c r="CY142" s="511"/>
      <c r="CZ142" s="511"/>
      <c r="DA142" s="511"/>
      <c r="DB142" s="511"/>
      <c r="DC142" s="511"/>
      <c r="DD142" s="511"/>
      <c r="DE142" s="511"/>
      <c r="DF142" s="511"/>
      <c r="DG142" s="511"/>
      <c r="DH142" s="511"/>
      <c r="DI142" s="511"/>
      <c r="DJ142" s="511"/>
      <c r="DK142" s="524"/>
      <c r="DL142" s="524"/>
      <c r="DM142" s="524"/>
      <c r="DN142" s="474"/>
      <c r="DO142" s="474"/>
      <c r="DP142" s="474"/>
      <c r="DQ142" s="474"/>
      <c r="DR142" s="527"/>
      <c r="DS142" s="474"/>
      <c r="DT142" s="474"/>
      <c r="DU142" s="474"/>
      <c r="DV142" s="474"/>
      <c r="DW142" s="474"/>
      <c r="DX142" s="474"/>
      <c r="DY142" s="474"/>
      <c r="DZ142" s="474"/>
      <c r="EA142" s="474"/>
      <c r="EB142" s="474"/>
      <c r="EC142" s="474"/>
    </row>
    <row r="143" spans="29:133" s="473" customFormat="1">
      <c r="AC143" s="761">
        <f t="shared" si="7"/>
        <v>46</v>
      </c>
      <c r="AD143" s="497"/>
      <c r="AE143" s="497"/>
      <c r="AF143" s="497"/>
      <c r="AG143" s="497"/>
      <c r="AH143" s="497"/>
      <c r="AI143" s="497"/>
      <c r="AJ143" s="497"/>
      <c r="AK143" s="497"/>
      <c r="AL143" s="497"/>
      <c r="AM143" s="497"/>
      <c r="AN143" s="497"/>
      <c r="AO143" s="497"/>
      <c r="AP143" s="497"/>
      <c r="AQ143" s="497"/>
      <c r="AR143" s="497"/>
      <c r="AS143" s="497"/>
      <c r="AT143" s="497"/>
      <c r="AU143" s="497"/>
      <c r="AV143" s="497"/>
      <c r="AW143" s="497"/>
      <c r="AX143" s="497"/>
      <c r="AY143" s="497"/>
      <c r="AZ143" s="497"/>
      <c r="BA143" s="497"/>
      <c r="BB143" s="497"/>
      <c r="BC143" s="497"/>
      <c r="BD143" s="497"/>
      <c r="BE143" s="497"/>
      <c r="BF143" s="497"/>
      <c r="BG143" s="497"/>
      <c r="BH143" s="497"/>
      <c r="BI143" s="497"/>
      <c r="BJ143" s="497"/>
      <c r="BK143" s="497"/>
      <c r="BL143" s="497"/>
      <c r="BM143" s="497"/>
      <c r="BN143" s="497"/>
      <c r="BO143" s="497"/>
      <c r="BP143" s="497"/>
      <c r="BQ143" s="497"/>
      <c r="BR143" s="497"/>
      <c r="BS143" s="497"/>
      <c r="BT143" s="497"/>
      <c r="BU143" s="497"/>
      <c r="BV143" s="497"/>
      <c r="BW143" s="497"/>
      <c r="BX143" s="497"/>
      <c r="BY143" s="497"/>
      <c r="BZ143" s="511"/>
      <c r="CA143" s="511"/>
      <c r="CB143" s="511"/>
      <c r="CC143" s="511"/>
      <c r="CD143" s="511"/>
      <c r="CE143" s="511"/>
      <c r="CF143" s="511"/>
      <c r="CG143" s="511"/>
      <c r="CH143" s="511"/>
      <c r="CI143" s="511"/>
      <c r="CJ143" s="511"/>
      <c r="CK143" s="511"/>
      <c r="CL143" s="511"/>
      <c r="CM143" s="511"/>
      <c r="CN143" s="511"/>
      <c r="CO143" s="511"/>
      <c r="CP143" s="511"/>
      <c r="CQ143" s="511"/>
      <c r="CR143" s="511"/>
      <c r="CS143" s="511"/>
      <c r="CT143" s="511"/>
      <c r="CU143" s="511"/>
      <c r="CV143" s="511"/>
      <c r="CW143" s="511"/>
      <c r="CX143" s="511"/>
      <c r="CY143" s="511"/>
      <c r="CZ143" s="511"/>
      <c r="DA143" s="511"/>
      <c r="DB143" s="511"/>
      <c r="DC143" s="511"/>
      <c r="DD143" s="511"/>
      <c r="DE143" s="511"/>
      <c r="DF143" s="511"/>
      <c r="DG143" s="511"/>
      <c r="DH143" s="511"/>
      <c r="DI143" s="511"/>
      <c r="DJ143" s="511"/>
      <c r="DK143" s="524"/>
      <c r="DL143" s="524"/>
      <c r="DM143" s="524"/>
      <c r="DN143" s="474"/>
      <c r="DO143" s="474"/>
      <c r="DP143" s="474"/>
      <c r="DQ143" s="474"/>
      <c r="DR143" s="527"/>
      <c r="DS143" s="474"/>
      <c r="DT143" s="474"/>
      <c r="DU143" s="474"/>
      <c r="DV143" s="474"/>
      <c r="DW143" s="474"/>
      <c r="DX143" s="474"/>
      <c r="DY143" s="474"/>
      <c r="DZ143" s="474"/>
      <c r="EA143" s="474"/>
      <c r="EB143" s="474"/>
      <c r="EC143" s="474"/>
    </row>
    <row r="144" spans="29:133" s="473" customFormat="1">
      <c r="AC144" s="761">
        <f t="shared" si="7"/>
        <v>47</v>
      </c>
      <c r="AD144" s="497"/>
      <c r="AE144" s="497"/>
      <c r="AF144" s="497"/>
      <c r="AG144" s="497"/>
      <c r="AH144" s="497"/>
      <c r="AI144" s="497"/>
      <c r="AJ144" s="497"/>
      <c r="AK144" s="497"/>
      <c r="AL144" s="497"/>
      <c r="AM144" s="497"/>
      <c r="AN144" s="497"/>
      <c r="AO144" s="497"/>
      <c r="AP144" s="497"/>
      <c r="AQ144" s="497"/>
      <c r="AR144" s="497"/>
      <c r="AS144" s="497"/>
      <c r="AT144" s="497"/>
      <c r="AU144" s="497"/>
      <c r="AV144" s="497"/>
      <c r="AW144" s="497"/>
      <c r="AX144" s="497"/>
      <c r="AY144" s="497"/>
      <c r="AZ144" s="497"/>
      <c r="BA144" s="497"/>
      <c r="BB144" s="497"/>
      <c r="BC144" s="497"/>
      <c r="BD144" s="497"/>
      <c r="BE144" s="497"/>
      <c r="BF144" s="497"/>
      <c r="BG144" s="497"/>
      <c r="BH144" s="497"/>
      <c r="BI144" s="497"/>
      <c r="BJ144" s="497"/>
      <c r="BK144" s="497"/>
      <c r="BL144" s="497"/>
      <c r="BM144" s="497"/>
      <c r="BN144" s="497"/>
      <c r="BO144" s="497"/>
      <c r="BP144" s="497"/>
      <c r="BQ144" s="497"/>
      <c r="BR144" s="497"/>
      <c r="BS144" s="497"/>
      <c r="BT144" s="497"/>
      <c r="BU144" s="497"/>
      <c r="BV144" s="497"/>
      <c r="BW144" s="497"/>
      <c r="BX144" s="497"/>
      <c r="BY144" s="497"/>
      <c r="BZ144" s="511"/>
      <c r="CA144" s="511"/>
      <c r="CB144" s="511"/>
      <c r="CC144" s="511"/>
      <c r="CD144" s="511"/>
      <c r="CE144" s="511"/>
      <c r="CF144" s="511"/>
      <c r="CG144" s="511"/>
      <c r="CH144" s="511"/>
      <c r="CI144" s="511"/>
      <c r="CJ144" s="511"/>
      <c r="CK144" s="511"/>
      <c r="CL144" s="511"/>
      <c r="CM144" s="511"/>
      <c r="CN144" s="511"/>
      <c r="CO144" s="511"/>
      <c r="CP144" s="511"/>
      <c r="CQ144" s="511"/>
      <c r="CR144" s="511"/>
      <c r="CS144" s="511"/>
      <c r="CT144" s="511"/>
      <c r="CU144" s="511"/>
      <c r="CV144" s="511"/>
      <c r="CW144" s="511"/>
      <c r="CX144" s="511"/>
      <c r="CY144" s="511"/>
      <c r="CZ144" s="511"/>
      <c r="DA144" s="511"/>
      <c r="DB144" s="511"/>
      <c r="DC144" s="511"/>
      <c r="DD144" s="511"/>
      <c r="DE144" s="511"/>
      <c r="DF144" s="511"/>
      <c r="DG144" s="511"/>
      <c r="DH144" s="511"/>
      <c r="DI144" s="511"/>
      <c r="DJ144" s="511"/>
      <c r="DK144" s="524"/>
      <c r="DL144" s="524"/>
      <c r="DM144" s="524"/>
      <c r="DN144" s="474"/>
      <c r="DO144" s="474"/>
      <c r="DP144" s="474"/>
      <c r="DQ144" s="474"/>
      <c r="DR144" s="527"/>
      <c r="DS144" s="474"/>
      <c r="DT144" s="474"/>
      <c r="DU144" s="474"/>
      <c r="DV144" s="474"/>
      <c r="DW144" s="474"/>
      <c r="DX144" s="474"/>
      <c r="DY144" s="474"/>
      <c r="DZ144" s="474"/>
      <c r="EA144" s="474"/>
      <c r="EB144" s="474"/>
      <c r="EC144" s="474"/>
    </row>
    <row r="145" spans="29:133" s="473" customFormat="1">
      <c r="AC145" s="761">
        <f t="shared" si="7"/>
        <v>48</v>
      </c>
      <c r="AD145" s="497"/>
      <c r="AE145" s="497"/>
      <c r="AF145" s="497"/>
      <c r="AG145" s="497"/>
      <c r="AH145" s="497"/>
      <c r="AI145" s="497"/>
      <c r="AJ145" s="497"/>
      <c r="AK145" s="497"/>
      <c r="AL145" s="497"/>
      <c r="AM145" s="497"/>
      <c r="AN145" s="497"/>
      <c r="AO145" s="497"/>
      <c r="AP145" s="497"/>
      <c r="AQ145" s="497"/>
      <c r="AR145" s="497"/>
      <c r="AS145" s="497"/>
      <c r="AT145" s="497"/>
      <c r="AU145" s="497"/>
      <c r="AV145" s="497"/>
      <c r="AW145" s="497"/>
      <c r="AX145" s="497"/>
      <c r="AY145" s="497"/>
      <c r="AZ145" s="497"/>
      <c r="BA145" s="497"/>
      <c r="BB145" s="497"/>
      <c r="BC145" s="497"/>
      <c r="BD145" s="497"/>
      <c r="BE145" s="497"/>
      <c r="BF145" s="497"/>
      <c r="BG145" s="497"/>
      <c r="BH145" s="497"/>
      <c r="BI145" s="497"/>
      <c r="BJ145" s="497"/>
      <c r="BK145" s="497"/>
      <c r="BL145" s="497"/>
      <c r="BM145" s="497"/>
      <c r="BN145" s="497"/>
      <c r="BO145" s="497"/>
      <c r="BP145" s="497"/>
      <c r="BQ145" s="497"/>
      <c r="BR145" s="497"/>
      <c r="BS145" s="497"/>
      <c r="BT145" s="497"/>
      <c r="BU145" s="497"/>
      <c r="BV145" s="497"/>
      <c r="BW145" s="497"/>
      <c r="BX145" s="497"/>
      <c r="BY145" s="497"/>
      <c r="BZ145" s="511"/>
      <c r="CA145" s="511"/>
      <c r="CB145" s="511"/>
      <c r="CC145" s="511"/>
      <c r="CD145" s="511"/>
      <c r="CE145" s="511"/>
      <c r="CF145" s="511"/>
      <c r="CG145" s="511"/>
      <c r="CH145" s="511"/>
      <c r="CI145" s="511"/>
      <c r="CJ145" s="511"/>
      <c r="CK145" s="511"/>
      <c r="CL145" s="511"/>
      <c r="CM145" s="511"/>
      <c r="CN145" s="511"/>
      <c r="CO145" s="511"/>
      <c r="CP145" s="511"/>
      <c r="CQ145" s="511"/>
      <c r="CR145" s="511"/>
      <c r="CS145" s="511"/>
      <c r="CT145" s="511"/>
      <c r="CU145" s="511"/>
      <c r="CV145" s="511"/>
      <c r="CW145" s="511"/>
      <c r="CX145" s="511"/>
      <c r="CY145" s="511"/>
      <c r="CZ145" s="511"/>
      <c r="DA145" s="511"/>
      <c r="DB145" s="511"/>
      <c r="DC145" s="511"/>
      <c r="DD145" s="511"/>
      <c r="DE145" s="511"/>
      <c r="DF145" s="511"/>
      <c r="DG145" s="511"/>
      <c r="DH145" s="511"/>
      <c r="DI145" s="511"/>
      <c r="DJ145" s="511"/>
      <c r="DK145" s="524"/>
      <c r="DL145" s="524"/>
      <c r="DM145" s="524"/>
      <c r="DN145" s="474"/>
      <c r="DO145" s="474"/>
      <c r="DP145" s="474"/>
      <c r="DQ145" s="474"/>
      <c r="DR145" s="527"/>
      <c r="DS145" s="474"/>
      <c r="DT145" s="474"/>
      <c r="DU145" s="474"/>
      <c r="DV145" s="474"/>
      <c r="DW145" s="474"/>
      <c r="DX145" s="474"/>
      <c r="DY145" s="474"/>
      <c r="DZ145" s="474"/>
      <c r="EA145" s="474"/>
      <c r="EB145" s="474"/>
      <c r="EC145" s="474"/>
    </row>
    <row r="146" spans="29:133" s="473" customFormat="1">
      <c r="AC146" s="761">
        <f t="shared" si="7"/>
        <v>49</v>
      </c>
      <c r="AD146" s="497"/>
      <c r="AE146" s="497"/>
      <c r="AF146" s="497"/>
      <c r="AG146" s="497"/>
      <c r="AH146" s="497"/>
      <c r="AI146" s="497"/>
      <c r="AJ146" s="497"/>
      <c r="AK146" s="497"/>
      <c r="AL146" s="497"/>
      <c r="AM146" s="497"/>
      <c r="AN146" s="497"/>
      <c r="AO146" s="497"/>
      <c r="AP146" s="497"/>
      <c r="AQ146" s="497"/>
      <c r="AR146" s="497"/>
      <c r="AS146" s="497"/>
      <c r="AT146" s="497"/>
      <c r="AU146" s="497"/>
      <c r="AV146" s="497"/>
      <c r="AW146" s="497"/>
      <c r="AX146" s="497"/>
      <c r="AY146" s="497"/>
      <c r="AZ146" s="497"/>
      <c r="BA146" s="497"/>
      <c r="BB146" s="497"/>
      <c r="BC146" s="497"/>
      <c r="BD146" s="497"/>
      <c r="BE146" s="497"/>
      <c r="BF146" s="497"/>
      <c r="BG146" s="497"/>
      <c r="BH146" s="497"/>
      <c r="BI146" s="497"/>
      <c r="BJ146" s="497"/>
      <c r="BK146" s="497"/>
      <c r="BL146" s="497"/>
      <c r="BM146" s="497"/>
      <c r="BN146" s="497"/>
      <c r="BO146" s="497"/>
      <c r="BP146" s="497"/>
      <c r="BQ146" s="497"/>
      <c r="BR146" s="497"/>
      <c r="BS146" s="497"/>
      <c r="BT146" s="497"/>
      <c r="BU146" s="497"/>
      <c r="BV146" s="497"/>
      <c r="BW146" s="497"/>
      <c r="BX146" s="497"/>
      <c r="BY146" s="497"/>
      <c r="BZ146" s="511"/>
      <c r="CA146" s="511"/>
      <c r="CB146" s="511"/>
      <c r="CC146" s="511"/>
      <c r="CD146" s="511"/>
      <c r="CE146" s="511"/>
      <c r="CF146" s="511"/>
      <c r="CG146" s="511"/>
      <c r="CH146" s="511"/>
      <c r="CI146" s="511"/>
      <c r="CJ146" s="511"/>
      <c r="CK146" s="511"/>
      <c r="CL146" s="511"/>
      <c r="CM146" s="511"/>
      <c r="CN146" s="511"/>
      <c r="CO146" s="511"/>
      <c r="CP146" s="511"/>
      <c r="CQ146" s="511"/>
      <c r="CR146" s="511"/>
      <c r="CS146" s="511"/>
      <c r="CT146" s="511"/>
      <c r="CU146" s="511"/>
      <c r="CV146" s="511"/>
      <c r="CW146" s="511"/>
      <c r="CX146" s="511"/>
      <c r="CY146" s="511"/>
      <c r="CZ146" s="511"/>
      <c r="DA146" s="511"/>
      <c r="DB146" s="511"/>
      <c r="DC146" s="511"/>
      <c r="DD146" s="511"/>
      <c r="DE146" s="511"/>
      <c r="DF146" s="511"/>
      <c r="DG146" s="511"/>
      <c r="DH146" s="511"/>
      <c r="DI146" s="511"/>
      <c r="DJ146" s="511"/>
      <c r="DK146" s="524"/>
      <c r="DL146" s="524"/>
      <c r="DM146" s="524"/>
      <c r="DN146" s="474"/>
      <c r="DO146" s="474"/>
      <c r="DP146" s="474"/>
      <c r="DQ146" s="474"/>
      <c r="DR146" s="527"/>
      <c r="DS146" s="474"/>
      <c r="DT146" s="474"/>
      <c r="DU146" s="474"/>
      <c r="DV146" s="474"/>
      <c r="DW146" s="474"/>
      <c r="DX146" s="474"/>
      <c r="DY146" s="474"/>
      <c r="DZ146" s="474"/>
      <c r="EA146" s="474"/>
      <c r="EB146" s="474"/>
      <c r="EC146" s="474"/>
    </row>
    <row r="147" spans="29:133" s="473" customFormat="1">
      <c r="AC147" s="761">
        <f t="shared" si="7"/>
        <v>50</v>
      </c>
      <c r="AD147" s="497"/>
      <c r="AE147" s="497"/>
      <c r="AF147" s="497"/>
      <c r="AG147" s="497"/>
      <c r="AH147" s="497"/>
      <c r="AI147" s="497"/>
      <c r="AJ147" s="497"/>
      <c r="AK147" s="497"/>
      <c r="AL147" s="497"/>
      <c r="AM147" s="497"/>
      <c r="AN147" s="497"/>
      <c r="AO147" s="497"/>
      <c r="AP147" s="497"/>
      <c r="AQ147" s="497"/>
      <c r="AR147" s="497"/>
      <c r="AS147" s="497"/>
      <c r="AT147" s="497"/>
      <c r="AU147" s="497"/>
      <c r="AV147" s="497"/>
      <c r="AW147" s="497"/>
      <c r="AX147" s="497"/>
      <c r="AY147" s="497"/>
      <c r="AZ147" s="497"/>
      <c r="BA147" s="497"/>
      <c r="BB147" s="497"/>
      <c r="BC147" s="497"/>
      <c r="BD147" s="497"/>
      <c r="BE147" s="497"/>
      <c r="BF147" s="497"/>
      <c r="BG147" s="497"/>
      <c r="BH147" s="497"/>
      <c r="BI147" s="497"/>
      <c r="BJ147" s="497"/>
      <c r="BK147" s="497"/>
      <c r="BL147" s="497"/>
      <c r="BM147" s="497"/>
      <c r="BN147" s="497"/>
      <c r="BO147" s="497"/>
      <c r="BP147" s="497"/>
      <c r="BQ147" s="497"/>
      <c r="BR147" s="497"/>
      <c r="BS147" s="497"/>
      <c r="BT147" s="497"/>
      <c r="BU147" s="497"/>
      <c r="BV147" s="497"/>
      <c r="BW147" s="497"/>
      <c r="BX147" s="497"/>
      <c r="BY147" s="497"/>
      <c r="BZ147" s="511"/>
      <c r="CA147" s="511"/>
      <c r="CB147" s="511"/>
      <c r="CC147" s="511"/>
      <c r="CD147" s="511"/>
      <c r="CE147" s="511"/>
      <c r="CF147" s="511"/>
      <c r="CG147" s="511"/>
      <c r="CH147" s="511"/>
      <c r="CI147" s="511"/>
      <c r="CJ147" s="511"/>
      <c r="CK147" s="511"/>
      <c r="CL147" s="511"/>
      <c r="CM147" s="511"/>
      <c r="CN147" s="511"/>
      <c r="CO147" s="511"/>
      <c r="CP147" s="511"/>
      <c r="CQ147" s="511"/>
      <c r="CR147" s="511"/>
      <c r="CS147" s="511"/>
      <c r="CT147" s="511"/>
      <c r="CU147" s="511"/>
      <c r="CV147" s="511"/>
      <c r="CW147" s="511"/>
      <c r="CX147" s="511"/>
      <c r="CY147" s="511"/>
      <c r="CZ147" s="511"/>
      <c r="DA147" s="511"/>
      <c r="DB147" s="511"/>
      <c r="DC147" s="511"/>
      <c r="DD147" s="511"/>
      <c r="DE147" s="511"/>
      <c r="DF147" s="511"/>
      <c r="DG147" s="511"/>
      <c r="DH147" s="511"/>
      <c r="DI147" s="511"/>
      <c r="DJ147" s="511"/>
      <c r="DK147" s="524"/>
      <c r="DL147" s="524"/>
      <c r="DM147" s="524"/>
      <c r="DN147" s="474"/>
      <c r="DO147" s="474"/>
      <c r="DP147" s="474"/>
      <c r="DQ147" s="474"/>
      <c r="DR147" s="527"/>
      <c r="DS147" s="474"/>
      <c r="DT147" s="474"/>
      <c r="DU147" s="474"/>
      <c r="DV147" s="474"/>
      <c r="DW147" s="474"/>
      <c r="DX147" s="474"/>
      <c r="DY147" s="474"/>
      <c r="DZ147" s="474"/>
      <c r="EA147" s="474"/>
      <c r="EB147" s="474"/>
      <c r="EC147" s="474"/>
    </row>
    <row r="148" spans="29:133" s="473" customFormat="1">
      <c r="AC148" s="761"/>
      <c r="AD148" s="497"/>
      <c r="AE148" s="497"/>
      <c r="AF148" s="497"/>
      <c r="AG148" s="497"/>
      <c r="AH148" s="497"/>
      <c r="AI148" s="497"/>
      <c r="AJ148" s="497"/>
      <c r="AK148" s="497"/>
      <c r="AL148" s="497"/>
      <c r="AM148" s="497"/>
      <c r="AN148" s="497"/>
      <c r="AO148" s="497"/>
      <c r="AP148" s="497"/>
      <c r="AQ148" s="497"/>
      <c r="AR148" s="497"/>
      <c r="AS148" s="497"/>
      <c r="AT148" s="497"/>
      <c r="AU148" s="497"/>
      <c r="AV148" s="497"/>
      <c r="AW148" s="497"/>
      <c r="AX148" s="497"/>
      <c r="AY148" s="497"/>
      <c r="AZ148" s="497"/>
      <c r="BA148" s="497"/>
      <c r="BB148" s="497"/>
      <c r="BC148" s="497"/>
      <c r="BD148" s="497"/>
      <c r="BE148" s="497"/>
      <c r="BF148" s="497"/>
      <c r="BG148" s="497"/>
      <c r="BH148" s="497"/>
      <c r="BI148" s="497"/>
      <c r="BJ148" s="497"/>
      <c r="BK148" s="497"/>
      <c r="BL148" s="497"/>
      <c r="BM148" s="497"/>
      <c r="BN148" s="497"/>
      <c r="BO148" s="497"/>
      <c r="BP148" s="497"/>
      <c r="BQ148" s="497"/>
      <c r="BR148" s="497"/>
      <c r="BS148" s="497"/>
      <c r="BT148" s="497"/>
      <c r="BU148" s="497"/>
      <c r="BV148" s="497"/>
      <c r="BW148" s="497"/>
      <c r="BX148" s="497"/>
      <c r="BY148" s="497"/>
      <c r="BZ148" s="497"/>
      <c r="CA148" s="497"/>
      <c r="CB148" s="497"/>
      <c r="CC148" s="497"/>
      <c r="CD148" s="497"/>
      <c r="CE148" s="497"/>
      <c r="CF148" s="497"/>
      <c r="CG148" s="497"/>
      <c r="CH148" s="497"/>
      <c r="CI148" s="511"/>
      <c r="CJ148" s="511"/>
      <c r="CK148" s="511"/>
      <c r="CL148" s="511"/>
      <c r="CM148" s="511"/>
      <c r="CN148" s="511"/>
      <c r="CO148" s="511"/>
      <c r="CP148" s="511"/>
      <c r="CQ148" s="511"/>
      <c r="CR148" s="511"/>
      <c r="CS148" s="511"/>
      <c r="CT148" s="511"/>
      <c r="CU148" s="511"/>
      <c r="CV148" s="511"/>
      <c r="CW148" s="511"/>
      <c r="CX148" s="511"/>
      <c r="CY148" s="511"/>
      <c r="CZ148" s="511"/>
      <c r="DA148" s="511"/>
      <c r="DB148" s="511"/>
      <c r="DC148" s="511"/>
      <c r="DD148" s="511"/>
      <c r="DE148" s="511"/>
      <c r="DF148" s="511"/>
      <c r="DG148" s="511"/>
      <c r="DH148" s="511"/>
      <c r="DI148" s="511"/>
      <c r="DJ148" s="511"/>
      <c r="DK148" s="524"/>
      <c r="DL148" s="524"/>
      <c r="DM148" s="524"/>
      <c r="DN148" s="474"/>
      <c r="DO148" s="474"/>
      <c r="DP148" s="474"/>
      <c r="DQ148" s="474"/>
      <c r="DR148" s="527"/>
      <c r="DS148" s="474"/>
      <c r="DT148" s="474"/>
      <c r="DU148" s="474"/>
      <c r="DV148" s="474"/>
      <c r="DW148" s="474"/>
      <c r="DX148" s="474"/>
      <c r="DY148" s="474"/>
      <c r="DZ148" s="474"/>
      <c r="EA148" s="474"/>
      <c r="EB148" s="474"/>
      <c r="EC148" s="474"/>
    </row>
    <row r="149" spans="29:133" s="473" customFormat="1">
      <c r="AC149" s="761"/>
      <c r="AD149" s="497" t="str">
        <f t="shared" ref="AD149:AQ149" si="81">AD97</f>
        <v>EPO</v>
      </c>
      <c r="AE149" s="497">
        <f t="shared" si="81"/>
        <v>2012</v>
      </c>
      <c r="AF149" s="497">
        <f t="shared" si="81"/>
        <v>2013</v>
      </c>
      <c r="AG149" s="497">
        <f t="shared" si="81"/>
        <v>2014</v>
      </c>
      <c r="AH149" s="497">
        <f t="shared" si="81"/>
        <v>2015</v>
      </c>
      <c r="AI149" s="497">
        <f t="shared" si="81"/>
        <v>2016</v>
      </c>
      <c r="AJ149" s="497">
        <f t="shared" si="81"/>
        <v>2017</v>
      </c>
      <c r="AK149" s="497">
        <f t="shared" si="81"/>
        <v>2018</v>
      </c>
      <c r="AL149" s="497">
        <f t="shared" si="81"/>
        <v>2019</v>
      </c>
      <c r="AM149" s="497">
        <f t="shared" si="81"/>
        <v>2020</v>
      </c>
      <c r="AN149" s="497">
        <f t="shared" si="81"/>
        <v>2021</v>
      </c>
      <c r="AO149" s="497">
        <f t="shared" si="81"/>
        <v>2022</v>
      </c>
      <c r="AP149" s="497">
        <f t="shared" si="81"/>
        <v>2023</v>
      </c>
      <c r="AQ149" s="497">
        <f t="shared" si="81"/>
        <v>2024</v>
      </c>
      <c r="AR149" s="497"/>
      <c r="AS149" s="497"/>
      <c r="AT149" s="497"/>
      <c r="AU149" s="497"/>
      <c r="AV149" s="497" t="str">
        <f>AV97</f>
        <v>JPO</v>
      </c>
      <c r="AW149" s="497">
        <f>AW97</f>
        <v>2012</v>
      </c>
      <c r="AX149" s="497">
        <f t="shared" ref="AX149:BH149" si="82">AX97</f>
        <v>2013</v>
      </c>
      <c r="AY149" s="497">
        <f t="shared" si="82"/>
        <v>2014</v>
      </c>
      <c r="AZ149" s="497">
        <f t="shared" si="82"/>
        <v>2015</v>
      </c>
      <c r="BA149" s="497">
        <f t="shared" si="82"/>
        <v>2016</v>
      </c>
      <c r="BB149" s="497">
        <f t="shared" si="82"/>
        <v>2017</v>
      </c>
      <c r="BC149" s="497">
        <f t="shared" si="82"/>
        <v>2018</v>
      </c>
      <c r="BD149" s="497">
        <f t="shared" si="82"/>
        <v>2019</v>
      </c>
      <c r="BE149" s="497">
        <f t="shared" si="82"/>
        <v>2020</v>
      </c>
      <c r="BF149" s="497">
        <f t="shared" si="82"/>
        <v>2021</v>
      </c>
      <c r="BG149" s="497">
        <f t="shared" si="82"/>
        <v>2022</v>
      </c>
      <c r="BH149" s="497">
        <f t="shared" si="82"/>
        <v>2023</v>
      </c>
      <c r="BI149" s="497"/>
      <c r="BJ149" s="497"/>
      <c r="BK149" s="497"/>
      <c r="BL149" s="497"/>
      <c r="BM149" s="497" t="str">
        <f>BM97</f>
        <v>MOIP</v>
      </c>
      <c r="BN149" s="497">
        <f>BN97</f>
        <v>2012</v>
      </c>
      <c r="BO149" s="497">
        <f t="shared" ref="BO149:BZ149" si="83">BO97</f>
        <v>2013</v>
      </c>
      <c r="BP149" s="497">
        <f t="shared" si="83"/>
        <v>2014</v>
      </c>
      <c r="BQ149" s="497">
        <f t="shared" si="83"/>
        <v>2015</v>
      </c>
      <c r="BR149" s="497">
        <f t="shared" si="83"/>
        <v>2016</v>
      </c>
      <c r="BS149" s="497">
        <f t="shared" si="83"/>
        <v>2017</v>
      </c>
      <c r="BT149" s="497">
        <f t="shared" si="83"/>
        <v>2018</v>
      </c>
      <c r="BU149" s="497">
        <f t="shared" si="83"/>
        <v>2019</v>
      </c>
      <c r="BV149" s="497">
        <f t="shared" si="83"/>
        <v>2020</v>
      </c>
      <c r="BW149" s="497">
        <f t="shared" si="83"/>
        <v>2021</v>
      </c>
      <c r="BX149" s="497">
        <v>2022</v>
      </c>
      <c r="BY149" s="497">
        <f t="shared" si="83"/>
        <v>2023</v>
      </c>
      <c r="BZ149" s="497">
        <f t="shared" si="83"/>
        <v>2024</v>
      </c>
      <c r="CA149" s="497"/>
      <c r="CB149" s="497"/>
      <c r="CC149" s="497"/>
      <c r="CD149" s="497"/>
      <c r="CE149" s="497" t="str">
        <f>CE97</f>
        <v>CNIPA</v>
      </c>
      <c r="CF149" s="497">
        <f>CF97</f>
        <v>2012</v>
      </c>
      <c r="CG149" s="497">
        <f t="shared" ref="CG149:CR149" si="84">CG97</f>
        <v>2013</v>
      </c>
      <c r="CH149" s="497">
        <f t="shared" si="84"/>
        <v>2014</v>
      </c>
      <c r="CI149" s="497">
        <f t="shared" si="84"/>
        <v>2015</v>
      </c>
      <c r="CJ149" s="497">
        <f t="shared" si="84"/>
        <v>2016</v>
      </c>
      <c r="CK149" s="497">
        <f t="shared" si="84"/>
        <v>2017</v>
      </c>
      <c r="CL149" s="497">
        <f t="shared" si="84"/>
        <v>2018</v>
      </c>
      <c r="CM149" s="497">
        <f t="shared" si="84"/>
        <v>2019</v>
      </c>
      <c r="CN149" s="497">
        <f t="shared" si="84"/>
        <v>2020</v>
      </c>
      <c r="CO149" s="497">
        <f t="shared" si="84"/>
        <v>2021</v>
      </c>
      <c r="CP149" s="497">
        <f t="shared" si="84"/>
        <v>2022</v>
      </c>
      <c r="CQ149" s="497">
        <f t="shared" si="84"/>
        <v>2023</v>
      </c>
      <c r="CR149" s="497">
        <f t="shared" si="84"/>
        <v>2024</v>
      </c>
      <c r="CS149" s="497"/>
      <c r="CT149" s="497"/>
      <c r="CU149" s="497"/>
      <c r="CV149" s="497"/>
      <c r="CW149" s="497" t="str">
        <f>CW97</f>
        <v>USPTO</v>
      </c>
      <c r="CX149" s="497">
        <f>CX97</f>
        <v>2012</v>
      </c>
      <c r="CY149" s="497">
        <f t="shared" ref="CY149:DK149" si="85">CY97</f>
        <v>2013</v>
      </c>
      <c r="CZ149" s="497">
        <f t="shared" si="85"/>
        <v>2014</v>
      </c>
      <c r="DA149" s="497">
        <f t="shared" si="85"/>
        <v>2015</v>
      </c>
      <c r="DB149" s="497">
        <f t="shared" si="85"/>
        <v>2016</v>
      </c>
      <c r="DC149" s="497">
        <f t="shared" si="85"/>
        <v>2017</v>
      </c>
      <c r="DD149" s="497">
        <f t="shared" si="85"/>
        <v>2018</v>
      </c>
      <c r="DE149" s="497">
        <f t="shared" si="85"/>
        <v>2019</v>
      </c>
      <c r="DF149" s="497">
        <f t="shared" si="85"/>
        <v>2020</v>
      </c>
      <c r="DG149" s="497">
        <f t="shared" si="85"/>
        <v>2021</v>
      </c>
      <c r="DH149" s="497">
        <f t="shared" si="85"/>
        <v>2022</v>
      </c>
      <c r="DI149" s="497">
        <f t="shared" si="85"/>
        <v>2023</v>
      </c>
      <c r="DJ149" s="497">
        <f t="shared" si="85"/>
        <v>2024</v>
      </c>
      <c r="DK149" s="497">
        <f t="shared" si="85"/>
        <v>0</v>
      </c>
      <c r="DL149" s="497"/>
      <c r="DM149" s="497"/>
      <c r="DN149" s="1347"/>
      <c r="DO149" s="474"/>
      <c r="DP149" s="474"/>
      <c r="DQ149" s="474"/>
      <c r="DR149" s="527"/>
      <c r="DS149" s="474"/>
      <c r="DT149" s="474"/>
      <c r="DU149" s="474"/>
      <c r="DV149" s="474"/>
      <c r="DW149" s="474"/>
      <c r="DX149" s="474"/>
      <c r="DY149" s="474"/>
      <c r="DZ149" s="474"/>
      <c r="EA149" s="474"/>
      <c r="EB149" s="474"/>
      <c r="EC149" s="474"/>
    </row>
    <row r="150" spans="29:133" s="473" customFormat="1">
      <c r="AC150" s="761">
        <f t="shared" si="7"/>
        <v>1</v>
      </c>
      <c r="AD150" s="497" t="str">
        <f>IF(AC98&lt;AU$133,VLOOKUP(AC98,AU$98:AV$132,2,FALSE),"")</f>
        <v>Organic fine chemistry</v>
      </c>
      <c r="AE150" s="497">
        <f>IF(VLOOKUP($AD150,$AD$98:$AR$132,2,FALSE)=0,11,VLOOKUP($AD150,$AD$98:$AR$132,2,FALSE))</f>
        <v>7</v>
      </c>
      <c r="AF150" s="497">
        <f>IF(VLOOKUP($AD150,$AD$98:$AR$132,3,FALSE)=0,11,VLOOKUP($AD150,$AD$98:$AR$132,3,FALSE))</f>
        <v>7</v>
      </c>
      <c r="AG150" s="497">
        <f>IF(VLOOKUP($AD150,$AD$98:$AR$132,4,FALSE)=0,11,VLOOKUP($AD150,$AD$98:$AR$132,4,FALSE))</f>
        <v>7</v>
      </c>
      <c r="AH150" s="497">
        <f>IF(VLOOKUP($AD150,$AD$98:$AR$132,5,FALSE)=0,11,VLOOKUP($AD150,$AD$98:$AR$132,5,FALSE))</f>
        <v>7</v>
      </c>
      <c r="AI150" s="497">
        <f>IF(VLOOKUP($AD150,$AD$98:$AR$132,6,FALSE)=0,11,VLOOKUP($AD150,$AD$98:$AR$132,6,FALSE))</f>
        <v>8</v>
      </c>
      <c r="AJ150" s="497">
        <f>IF(VLOOKUP($AD150,$AD$98:$AR$132,7,FALSE)=0,11,VLOOKUP($AD150,$AD$98:$AR$132,7,FALSE))</f>
        <v>7</v>
      </c>
      <c r="AK150" s="497">
        <f>IF(VLOOKUP($AD150,$AD$98:$AR$132,8,FALSE)=0,11,VLOOKUP($AD150,$AD$98:$AR$132,8,FALSE))</f>
        <v>10</v>
      </c>
      <c r="AL150" s="497">
        <f>IF(VLOOKUP($AD150,$AD$98:$AR$132,9,FALSE)=0,11,VLOOKUP($AD150,$AD$98:$AR$132,9,FALSE))</f>
        <v>10</v>
      </c>
      <c r="AM150" s="497">
        <f>IF(VLOOKUP($AD150,$AD$98:$AR$132,10,FALSE)=0,11,VLOOKUP($AD150,$AD$98:$AR$132,10,FALSE))</f>
        <v>10</v>
      </c>
      <c r="AN150" s="497">
        <f>IF(VLOOKUP($AD150,$AD$98:$AR$132,11,FALSE)=0,11,VLOOKUP($AD150,$AD$98:$AR$132,11,FALSE))</f>
        <v>10</v>
      </c>
      <c r="AO150" s="497">
        <f>IF(VLOOKUP($AD150,$AD$98:$AR$132,12,FALSE)=0,11,VLOOKUP($AD150,$AD$98:$AR$132,12,FALSE))</f>
        <v>10</v>
      </c>
      <c r="AP150" s="497">
        <f>IF(VLOOKUP($AD150,$AD$98:$AR$132,13,FALSE)=0,11,VLOOKUP($AD150,$AD$98:$AR$132,13,FALSE))</f>
        <v>10</v>
      </c>
      <c r="AQ150" s="497">
        <f>IF(VLOOKUP($AD150,$AD$98:$AR$132,14,FALSE)=0,11,VLOOKUP($AD150,$AD$98:$AR$132,14,FALSE))</f>
        <v>10</v>
      </c>
      <c r="AR150" s="497"/>
      <c r="AS150" s="497"/>
      <c r="AT150" s="497"/>
      <c r="AU150" s="497"/>
      <c r="AV150" s="497" t="str">
        <f t="shared" ref="AV150:AV168" si="86">IF(AC98&lt;BL$133,VLOOKUP(AC98,BL$98:BM$132,2,FALSE),"")</f>
        <v>Audio-visual technology</v>
      </c>
      <c r="AW150" s="497">
        <f>IF(VLOOKUP($AV150,$AV$98:$BI$132,2,FALSE)=0,$BJ$133,VLOOKUP($AV150,$AV$98:$BI$132,2,FALSE))</f>
        <v>5</v>
      </c>
      <c r="AX150" s="497">
        <f>IF(VLOOKUP($AV150,$AV$98:$BI$132,3,FALSE)=0,$BJ$133,VLOOKUP($AV150,$AV$98:$BI$132,3,FALSE))</f>
        <v>5</v>
      </c>
      <c r="AY150" s="497">
        <f>IF(VLOOKUP($AV150,$AV$98:$BI$132,4,FALSE)=0,$BJ$133,VLOOKUP($AV150,$AV$98:$BI$132,4,FALSE))</f>
        <v>9</v>
      </c>
      <c r="AZ150" s="497">
        <f>IF(VLOOKUP($AV150,$AV$98:$BI$132,5,FALSE)=0,$BJ$133,VLOOKUP($AV150,$AV$98:$BI$132,5,FALSE))</f>
        <v>9</v>
      </c>
      <c r="BA150" s="497">
        <f>IF(VLOOKUP($AV150,$AV$98:$BI$132,6,FALSE)=0,$BJ$133,VLOOKUP($AV150,$AV$98:$BI$132,6,FALSE))</f>
        <v>8</v>
      </c>
      <c r="BB150" s="497">
        <f>IF(VLOOKUP($AV150,$AV$98:$BI$132,7,FALSE)=0,$BJ$133,VLOOKUP($AV150,$AV$98:$BI$132,7,FALSE))</f>
        <v>9</v>
      </c>
      <c r="BC150" s="497">
        <f>IF(VLOOKUP($AV150,$AV$98:$BI$132,8,FALSE)=0,$BJ$133,VLOOKUP($AV150,$AV$98:$BI$132,8,FALSE))</f>
        <v>9</v>
      </c>
      <c r="BD150" s="497">
        <f>IF(VLOOKUP($AV150,$AV$98:$BI$132,9,FALSE)=0,$BJ$133,VLOOKUP($AV150,$AV$98:$BI$132,9,FALSE))</f>
        <v>10</v>
      </c>
      <c r="BE150" s="497">
        <f>IF(VLOOKUP($AV150,$AV$98:$BI$132,10,FALSE)=0,$BJ$133,VLOOKUP($AV150,$AV$98:$BI$132,10,FALSE))</f>
        <v>10</v>
      </c>
      <c r="BF150" s="497">
        <f>IF(VLOOKUP($AV150,$AV$98:$BI$132,11,FALSE)=0,$BJ$133,VLOOKUP($AV150,$AV$98:$BI$132,11,FALSE))</f>
        <v>9</v>
      </c>
      <c r="BG150" s="497">
        <f>IF(VLOOKUP($AV150,$AV$98:$BI$132,12,FALSE)=0,$BJ$133,VLOOKUP($AV150,$AV$98:$BI$132,12,FALSE))</f>
        <v>10</v>
      </c>
      <c r="BH150" s="497">
        <f>IF(VLOOKUP($AV150,$AV$98:$BI$132,13,FALSE)=0,$BJ$133,VLOOKUP($AV150,$AV$98:$BI$132,13,FALSE))</f>
        <v>10</v>
      </c>
      <c r="BI150" s="497"/>
      <c r="BJ150" s="497"/>
      <c r="BK150" s="497"/>
      <c r="BL150" s="497"/>
      <c r="BM150" s="497" t="str">
        <f t="shared" ref="BM150:BM168" si="87">IF(AC98&lt;CD$133,VLOOKUP(AC98,CD$98:CE$132,2,FALSE),"")</f>
        <v>Measurement</v>
      </c>
      <c r="BN150" s="497">
        <f>IF(VLOOKUP($BM150,$BM$98:$CA$132,2,FALSE)=0,$CB$133,VLOOKUP($BM150,$BM$98:$CA$132,2,FALSE))</f>
        <v>9</v>
      </c>
      <c r="BO150" s="497">
        <f>IF(VLOOKUP($BM150,$BM$98:$CA$132,3,FALSE)=0,$CB$133,VLOOKUP($BM150,$BM$98:$CA$132,3,FALSE))</f>
        <v>7</v>
      </c>
      <c r="BP150" s="497">
        <f>IF(VLOOKUP($BM150,$BM$98:$CA$132,4,FALSE)=0,$CB$133,VLOOKUP($BM150,$BM$98:$CA$132,4,FALSE))</f>
        <v>7</v>
      </c>
      <c r="BQ150" s="497">
        <f>IF(VLOOKUP($BM150,$BM$98:$CA$132,5,FALSE)=0,$CB$133,VLOOKUP($BM150,$BM$98:$CA$132,5,FALSE))</f>
        <v>8</v>
      </c>
      <c r="BR150" s="497">
        <f>IF(VLOOKUP($BM150,$BM$98:$CA$132,6,FALSE)=0,$CB$133,VLOOKUP($BM150,$BM$98:$CA$132,6,FALSE))</f>
        <v>8</v>
      </c>
      <c r="BS150" s="497">
        <f>IF(VLOOKUP($BM150,$BM$98:$CA$132,7,FALSE)=0,$CB$133,VLOOKUP($BM150,$BM$98:$CA$132,7,FALSE))</f>
        <v>10</v>
      </c>
      <c r="BT150" s="497">
        <f>IF(VLOOKUP($BM150,$BM$98:$CA$132,8,FALSE)=0,$CB$133,VLOOKUP($BM150,$BM$98:$CA$132,8,FALSE))</f>
        <v>10</v>
      </c>
      <c r="BU150" s="497">
        <f>IF(VLOOKUP($BM150,$BM$98:$CA$132,9,FALSE)=0,$CB$133,VLOOKUP($BM150,$BM$98:$CA$132,9,FALSE))</f>
        <v>10</v>
      </c>
      <c r="BV150" s="497">
        <f>IF(VLOOKUP($BM150,$BM$98:$CA$132,10,FALSE)=0,$CB$133,VLOOKUP($BM150,$BM$98:$CA$132,10,FALSE))</f>
        <v>10</v>
      </c>
      <c r="BW150" s="497">
        <f>IF(VLOOKUP($BM150,$BM$98:$CA$132,11,FALSE)=0,$CB$133,VLOOKUP($BM150,$BM$98:$CA$132,11,FALSE))</f>
        <v>7</v>
      </c>
      <c r="BX150" s="497">
        <f>IF(VLOOKUP($BM150,$BM$98:$CA$132,12,FALSE)=0,$CB$133,VLOOKUP($BM150,$BM$98:$CA$132,12,FALSE))</f>
        <v>8</v>
      </c>
      <c r="BY150" s="497">
        <f>IF(VLOOKUP($BM150,$BM$98:$CA$132,13,FALSE)=0,$CB$133,VLOOKUP($BM150,$BM$98:$CA$132,13,FALSE))</f>
        <v>7</v>
      </c>
      <c r="BZ150" s="497">
        <f>IF(VLOOKUP($BM150,$BM$98:$CA$132,14,FALSE)=0,$CB$133,VLOOKUP($BM150,$BM$98:$CA$132,14,FALSE))</f>
        <v>6</v>
      </c>
      <c r="CA150" s="497"/>
      <c r="CB150" s="497"/>
      <c r="CC150" s="497"/>
      <c r="CD150" s="497"/>
      <c r="CE150" s="497" t="str">
        <f t="shared" ref="CE150:CE173" si="88">IF(AC98&lt;CV$133,VLOOKUP(AC98,CV$98:CW$132,2,FALSE),"")</f>
        <v>Digital communication</v>
      </c>
      <c r="CF150" s="497">
        <f>IF(VLOOKUP($CE150,$CE$98:$CS$132,2,FALSE)=0,$CT$134,VLOOKUP($CE150,$CE$98:$CS$132,2,FALSE))</f>
        <v>4</v>
      </c>
      <c r="CG150" s="497">
        <f>IF(VLOOKUP($CE150,$CE$98:$CS$132,3,FALSE)=0,$CT$134,VLOOKUP($CE150,$CE$98:$CS$132,3,FALSE))</f>
        <v>4</v>
      </c>
      <c r="CH150" s="497">
        <f>IF(VLOOKUP($CE150,$CE$98:$CS$132,4,FALSE)=0,$CT$134,VLOOKUP($CE150,$CE$98:$CS$132,4,FALSE))</f>
        <v>9</v>
      </c>
      <c r="CI150" s="497">
        <f>IF(VLOOKUP($CE150,$CE$98:$CS$132,5,FALSE)=0,$CT$134,VLOOKUP($CE150,$CE$98:$CS$132,5,FALSE))</f>
        <v>11</v>
      </c>
      <c r="CJ150" s="497">
        <f>IF(VLOOKUP($CE150,$CE$98:$CS$132,6,FALSE)=0,$CT$134,VLOOKUP($CE150,$CE$98:$CS$132,6,FALSE))</f>
        <v>9</v>
      </c>
      <c r="CK150" s="497">
        <f>IF(VLOOKUP($CE150,$CE$98:$CS$132,7,FALSE)=0,$CT$134,VLOOKUP($CE150,$CE$98:$CS$132,7,FALSE))</f>
        <v>9</v>
      </c>
      <c r="CL150" s="497">
        <f>IF(VLOOKUP($CE150,$CE$98:$CS$132,8,FALSE)=0,$CT$134,VLOOKUP($CE150,$CE$98:$CS$132,8,FALSE))</f>
        <v>9</v>
      </c>
      <c r="CM150" s="497">
        <f>IF(VLOOKUP($CE150,$CE$98:$CS$132,9,FALSE)=0,$CT$134,VLOOKUP($CE150,$CE$98:$CS$132,9,FALSE))</f>
        <v>7</v>
      </c>
      <c r="CN150" s="497">
        <f>IF(VLOOKUP($CE150,$CE$98:$CS$132,10,FALSE)=0,$CT$134,VLOOKUP($CE150,$CE$98:$CS$132,10,FALSE))</f>
        <v>8</v>
      </c>
      <c r="CO150" s="497">
        <f>IF(VLOOKUP($CE150,$CE$98:$CS$132,11,FALSE)=0,$CT$134,VLOOKUP($CE150,$CE$98:$CS$132,11,FALSE))</f>
        <v>6</v>
      </c>
      <c r="CP150" s="497">
        <f>IF(VLOOKUP($CE150,$CE$98:$CS$132,12,FALSE)=0,$CT$134,VLOOKUP($CE150,$CE$98:$CS$132,12,FALSE))</f>
        <v>4</v>
      </c>
      <c r="CQ150" s="497">
        <f>IF(VLOOKUP($CE150,$CE$98:$CS$132,13,FALSE)=0,$CT$134,VLOOKUP($CE150,$CE$98:$CS$132,13,FALSE))</f>
        <v>4</v>
      </c>
      <c r="CR150" s="497">
        <f>IF(VLOOKUP($CE150,$CE$98:$CS$132,14,FALSE)=0,$CT$134,VLOOKUP($CE150,$CE$98:$CS$132,14,FALSE))</f>
        <v>4</v>
      </c>
      <c r="CS150" s="497"/>
      <c r="CT150" s="497"/>
      <c r="CU150" s="497"/>
      <c r="CV150" s="497"/>
      <c r="CW150" s="497" t="str">
        <f>IF(AC98&lt;DN$133,VLOOKUP(AC98,DN$98:DO$132,2,FALSE),"")</f>
        <v>IT methods for management</v>
      </c>
      <c r="CX150" s="497">
        <f>IF(VLOOKUP($CW150,$CW$98:$DK$132,2,FALSE)=0,$DL$133,VLOOKUP($CW150,$CW$98:$DK$132,2,FALSE))</f>
        <v>8</v>
      </c>
      <c r="CY150" s="497">
        <f>IF(VLOOKUP($CW150,$CW$98:$DK$132,3,FALSE)=0,$DL$133,VLOOKUP($CW150,$CW$98:$DK$132,3,FALSE))</f>
        <v>7</v>
      </c>
      <c r="CZ150" s="497">
        <f>IF(VLOOKUP($CW150,$CW$98:$DK$132,4,FALSE)=0,$DL$133,VLOOKUP($CW150,$CW$98:$DK$132,4,FALSE))</f>
        <v>8</v>
      </c>
      <c r="DA150" s="497">
        <f>IF(VLOOKUP($CW150,$CW$98:$DK$132,5,FALSE)=0,$DL$133,VLOOKUP($CW150,$CW$98:$DK$132,5,FALSE))</f>
        <v>7</v>
      </c>
      <c r="DB150" s="497">
        <f>IF(VLOOKUP($CW150,$CW$98:$DK$132,6,FALSE)=0,$DL$133,VLOOKUP($CW150,$CW$98:$DK$132,6,FALSE))</f>
        <v>9</v>
      </c>
      <c r="DC150" s="497">
        <f>IF(VLOOKUP($CW150,$CW$98:$DK$132,7,FALSE)=0,$DL$133,VLOOKUP($CW150,$CW$98:$DK$132,7,FALSE))</f>
        <v>9</v>
      </c>
      <c r="DD150" s="497">
        <f>IF(VLOOKUP($CW150,$CW$98:$DK$132,8,FALSE)=0,$DL$133,VLOOKUP($CW150,$CW$98:$DK$132,8,FALSE))</f>
        <v>9</v>
      </c>
      <c r="DE150" s="497">
        <f>IF(VLOOKUP($CW150,$CW$98:$DK$132,9,FALSE)=0,$DL$133,VLOOKUP($CW150,$CW$98:$DK$132,9,FALSE))</f>
        <v>9</v>
      </c>
      <c r="DF150" s="497">
        <f>IF(VLOOKUP($CW150,$CW$98:$DK$132,10,FALSE)=0,$DL$133,VLOOKUP($CW150,$CW$98:$DK$132,10,FALSE))</f>
        <v>8</v>
      </c>
      <c r="DG150" s="497">
        <f>IF(VLOOKUP($CW150,$CW$98:$DK$132,11,FALSE)=0,$DL$133,VLOOKUP($CW150,$CW$98:$DK$132,11,FALSE))</f>
        <v>8</v>
      </c>
      <c r="DH150" s="497">
        <f>IF(VLOOKUP($CW150,$CW$98:$DK$132,12,FALSE)=0,$DL$133,VLOOKUP($CW150,$CW$98:$DK$132,12,FALSE))</f>
        <v>9</v>
      </c>
      <c r="DI150" s="497">
        <f>IF(VLOOKUP($CW150,$CW$98:$DK$132,13,FALSE)=0,$DL$133,VLOOKUP($CW150,$CW$98:$DK$132,13,FALSE))</f>
        <v>9</v>
      </c>
      <c r="DJ150" s="497">
        <f>IF(VLOOKUP($CW150,$CW$98:$DK$132,14,FALSE)=0,$DL$133,VLOOKUP($CW150,$CW$98:$DK$132,14,FALSE))</f>
        <v>9</v>
      </c>
      <c r="DK150" s="497"/>
      <c r="DL150" s="497"/>
      <c r="DM150" s="497"/>
      <c r="DN150" s="1347"/>
      <c r="DO150" s="474"/>
      <c r="DP150" s="474"/>
      <c r="DQ150" s="474"/>
      <c r="DR150" s="527"/>
      <c r="DS150" s="474"/>
      <c r="DT150" s="474"/>
      <c r="DU150" s="474"/>
      <c r="DV150" s="474"/>
      <c r="DW150" s="474"/>
      <c r="DX150" s="474"/>
      <c r="DY150" s="474"/>
      <c r="DZ150" s="474"/>
      <c r="EA150" s="474"/>
      <c r="EB150" s="474"/>
      <c r="EC150" s="474"/>
    </row>
    <row r="151" spans="29:133" s="473" customFormat="1">
      <c r="AC151" s="761">
        <f t="shared" si="7"/>
        <v>2</v>
      </c>
      <c r="AD151" s="497" t="str">
        <f t="shared" ref="AD151:AD160" si="89">IF(AC99&lt;AU$133,VLOOKUP(AC99,AU$98:AV$132,2,FALSE),"")</f>
        <v>Biotechnology</v>
      </c>
      <c r="AE151" s="497">
        <f t="shared" ref="AE151:AE160" si="90">IF(VLOOKUP($AD151,$AD$98:$AR$132,2,FALSE)=0,11,VLOOKUP($AD151,$AD$98:$AR$132,2,FALSE))</f>
        <v>10</v>
      </c>
      <c r="AF151" s="497">
        <f t="shared" ref="AF151:AF160" si="91">IF(VLOOKUP($AD151,$AD$98:$AR$132,3,FALSE)=0,11,VLOOKUP($AD151,$AD$98:$AR$132,3,FALSE))</f>
        <v>10</v>
      </c>
      <c r="AG151" s="497">
        <f t="shared" ref="AG151:AG160" si="92">IF(VLOOKUP($AD151,$AD$98:$AR$132,4,FALSE)=0,11,VLOOKUP($AD151,$AD$98:$AR$132,4,FALSE))</f>
        <v>8</v>
      </c>
      <c r="AH151" s="497">
        <f t="shared" ref="AH151:AH160" si="93">IF(VLOOKUP($AD151,$AD$98:$AR$132,5,FALSE)=0,11,VLOOKUP($AD151,$AD$98:$AR$132,5,FALSE))</f>
        <v>9</v>
      </c>
      <c r="AI151" s="497">
        <f t="shared" ref="AI151:AI160" si="94">IF(VLOOKUP($AD151,$AD$98:$AR$132,6,FALSE)=0,11,VLOOKUP($AD151,$AD$98:$AR$132,6,FALSE))</f>
        <v>10</v>
      </c>
      <c r="AJ151" s="497">
        <f t="shared" ref="AJ151:AJ160" si="95">IF(VLOOKUP($AD151,$AD$98:$AR$132,7,FALSE)=0,11,VLOOKUP($AD151,$AD$98:$AR$132,7,FALSE))</f>
        <v>9</v>
      </c>
      <c r="AK151" s="497">
        <f t="shared" ref="AK151:AK160" si="96">IF(VLOOKUP($AD151,$AD$98:$AR$132,8,FALSE)=0,11,VLOOKUP($AD151,$AD$98:$AR$132,8,FALSE))</f>
        <v>8</v>
      </c>
      <c r="AL151" s="497">
        <f t="shared" ref="AL151:AL160" si="97">IF(VLOOKUP($AD151,$AD$98:$AR$132,9,FALSE)=0,11,VLOOKUP($AD151,$AD$98:$AR$132,9,FALSE))</f>
        <v>8</v>
      </c>
      <c r="AM151" s="497">
        <f t="shared" ref="AM151:AM160" si="98">IF(VLOOKUP($AD151,$AD$98:$AR$132,10,FALSE)=0,11,VLOOKUP($AD151,$AD$98:$AR$132,10,FALSE))</f>
        <v>8</v>
      </c>
      <c r="AN151" s="497">
        <f t="shared" ref="AN151:AN160" si="99">IF(VLOOKUP($AD151,$AD$98:$AR$132,11,FALSE)=0,11,VLOOKUP($AD151,$AD$98:$AR$132,11,FALSE))</f>
        <v>8</v>
      </c>
      <c r="AO151" s="497">
        <f t="shared" ref="AO151:AO160" si="100">IF(VLOOKUP($AD151,$AD$98:$AR$132,12,FALSE)=0,11,VLOOKUP($AD151,$AD$98:$AR$132,12,FALSE))</f>
        <v>8</v>
      </c>
      <c r="AP151" s="497">
        <f t="shared" ref="AP151:AP160" si="101">IF(VLOOKUP($AD151,$AD$98:$AR$132,13,FALSE)=0,11,VLOOKUP($AD151,$AD$98:$AR$132,13,FALSE))</f>
        <v>8</v>
      </c>
      <c r="AQ151" s="497">
        <f t="shared" ref="AQ151:AQ160" si="102">IF(VLOOKUP($AD151,$AD$98:$AR$132,14,FALSE)=0,11,VLOOKUP($AD151,$AD$98:$AR$132,14,FALSE))</f>
        <v>7</v>
      </c>
      <c r="AR151" s="497"/>
      <c r="AS151" s="497"/>
      <c r="AT151" s="497"/>
      <c r="AU151" s="497"/>
      <c r="AV151" s="497" t="str">
        <f t="shared" si="86"/>
        <v>Transport</v>
      </c>
      <c r="AW151" s="497">
        <f t="shared" ref="AW151:AW161" si="103">IF(VLOOKUP($AV151,$AV$98:$BI$132,2,FALSE)=0,$BJ$133,VLOOKUP($AV151,$AV$98:$BI$132,2,FALSE))</f>
        <v>7</v>
      </c>
      <c r="AX151" s="497">
        <f t="shared" ref="AX151:AX161" si="104">IF(VLOOKUP($AV151,$AV$98:$BI$132,3,FALSE)=0,$BJ$133,VLOOKUP($AV151,$AV$98:$BI$132,3,FALSE))</f>
        <v>7</v>
      </c>
      <c r="AY151" s="497">
        <f t="shared" ref="AY151:AY161" si="105">IF(VLOOKUP($AV151,$AV$98:$BI$132,4,FALSE)=0,$BJ$133,VLOOKUP($AV151,$AV$98:$BI$132,4,FALSE))</f>
        <v>8</v>
      </c>
      <c r="AZ151" s="497">
        <f t="shared" ref="AZ151:AZ161" si="106">IF(VLOOKUP($AV151,$AV$98:$BI$132,5,FALSE)=0,$BJ$133,VLOOKUP($AV151,$AV$98:$BI$132,5,FALSE))</f>
        <v>7</v>
      </c>
      <c r="BA151" s="497">
        <f t="shared" ref="BA151:BA161" si="107">IF(VLOOKUP($AV151,$AV$98:$BI$132,6,FALSE)=0,$BJ$133,VLOOKUP($AV151,$AV$98:$BI$132,6,FALSE))</f>
        <v>7</v>
      </c>
      <c r="BB151" s="497">
        <f t="shared" ref="BB151:BB161" si="108">IF(VLOOKUP($AV151,$AV$98:$BI$132,7,FALSE)=0,$BJ$133,VLOOKUP($AV151,$AV$98:$BI$132,7,FALSE))</f>
        <v>7</v>
      </c>
      <c r="BC151" s="497">
        <f t="shared" ref="BC151:BC161" si="109">IF(VLOOKUP($AV151,$AV$98:$BI$132,8,FALSE)=0,$BJ$133,VLOOKUP($AV151,$AV$98:$BI$132,8,FALSE))</f>
        <v>7</v>
      </c>
      <c r="BD151" s="497">
        <f t="shared" ref="BD151:BD161" si="110">IF(VLOOKUP($AV151,$AV$98:$BI$132,9,FALSE)=0,$BJ$133,VLOOKUP($AV151,$AV$98:$BI$132,9,FALSE))</f>
        <v>7</v>
      </c>
      <c r="BE151" s="497">
        <f t="shared" ref="BE151:BE161" si="111">IF(VLOOKUP($AV151,$AV$98:$BI$132,10,FALSE)=0,$BJ$133,VLOOKUP($AV151,$AV$98:$BI$132,10,FALSE))</f>
        <v>7</v>
      </c>
      <c r="BF151" s="497">
        <f t="shared" ref="BF151:BF161" si="112">IF(VLOOKUP($AV151,$AV$98:$BI$132,11,FALSE)=0,$BJ$133,VLOOKUP($AV151,$AV$98:$BI$132,11,FALSE))</f>
        <v>6</v>
      </c>
      <c r="BG151" s="497">
        <f t="shared" ref="BG151:BG161" si="113">IF(VLOOKUP($AV151,$AV$98:$BI$132,12,FALSE)=0,$BJ$133,VLOOKUP($AV151,$AV$98:$BI$132,12,FALSE))</f>
        <v>8</v>
      </c>
      <c r="BH151" s="497">
        <f t="shared" ref="BH151:BH161" si="114">IF(VLOOKUP($AV151,$AV$98:$BI$132,13,FALSE)=0,$BJ$133,VLOOKUP($AV151,$AV$98:$BI$132,13,FALSE))</f>
        <v>8</v>
      </c>
      <c r="BI151" s="497"/>
      <c r="BJ151" s="497"/>
      <c r="BK151" s="497"/>
      <c r="BL151" s="497"/>
      <c r="BM151" s="497" t="str">
        <f t="shared" si="87"/>
        <v>Other special machines</v>
      </c>
      <c r="BN151" s="497">
        <f t="shared" ref="BN151:BN161" si="115">IF(VLOOKUP($BM151,$BM$98:$CA$132,2,FALSE)=0,$CB$133,VLOOKUP($BM151,$BM$98:$CA$132,2,FALSE))</f>
        <v>12</v>
      </c>
      <c r="BO151" s="497">
        <f t="shared" ref="BO151:BO161" si="116">IF(VLOOKUP($BM151,$BM$98:$CA$132,3,FALSE)=0,$CB$133,VLOOKUP($BM151,$BM$98:$CA$132,3,FALSE))</f>
        <v>10</v>
      </c>
      <c r="BP151" s="497">
        <f t="shared" ref="BP151:BP161" si="117">IF(VLOOKUP($BM151,$BM$98:$CA$132,4,FALSE)=0,$CB$133,VLOOKUP($BM151,$BM$98:$CA$132,4,FALSE))</f>
        <v>10</v>
      </c>
      <c r="BQ151" s="497">
        <f t="shared" ref="BQ151:BQ161" si="118">IF(VLOOKUP($BM151,$BM$98:$CA$132,5,FALSE)=0,$CB$133,VLOOKUP($BM151,$BM$98:$CA$132,5,FALSE))</f>
        <v>12</v>
      </c>
      <c r="BR151" s="497">
        <f t="shared" ref="BR151:BR161" si="119">IF(VLOOKUP($BM151,$BM$98:$CA$132,6,FALSE)=0,$CB$133,VLOOKUP($BM151,$BM$98:$CA$132,6,FALSE))</f>
        <v>10</v>
      </c>
      <c r="BS151" s="497">
        <f t="shared" ref="BS151:BS161" si="120">IF(VLOOKUP($BM151,$BM$98:$CA$132,7,FALSE)=0,$CB$133,VLOOKUP($BM151,$BM$98:$CA$132,7,FALSE))</f>
        <v>9</v>
      </c>
      <c r="BT151" s="497">
        <f t="shared" ref="BT151:BT161" si="121">IF(VLOOKUP($BM151,$BM$98:$CA$132,8,FALSE)=0,$CB$133,VLOOKUP($BM151,$BM$98:$CA$132,8,FALSE))</f>
        <v>9</v>
      </c>
      <c r="BU151" s="497">
        <f t="shared" ref="BU151:BU161" si="122">IF(VLOOKUP($BM151,$BM$98:$CA$132,9,FALSE)=0,$CB$133,VLOOKUP($BM151,$BM$98:$CA$132,9,FALSE))</f>
        <v>9</v>
      </c>
      <c r="BV151" s="497">
        <f t="shared" ref="BV151:BV161" si="123">IF(VLOOKUP($BM151,$BM$98:$CA$132,10,FALSE)=0,$CB$133,VLOOKUP($BM151,$BM$98:$CA$132,10,FALSE))</f>
        <v>9</v>
      </c>
      <c r="BW151" s="497">
        <f t="shared" ref="BW151:BW161" si="124">IF(VLOOKUP($BM151,$BM$98:$CA$132,11,FALSE)=0,$CB$133,VLOOKUP($BM151,$BM$98:$CA$132,11,FALSE))</f>
        <v>10</v>
      </c>
      <c r="BX151" s="497">
        <f t="shared" ref="BX151:BX161" si="125">IF(VLOOKUP($BM151,$BM$98:$CA$132,12,FALSE)=0,$CB$133,VLOOKUP($BM151,$BM$98:$CA$132,12,FALSE))</f>
        <v>12</v>
      </c>
      <c r="BY151" s="497">
        <f t="shared" ref="BY151:BY161" si="126">IF(VLOOKUP($BM151,$BM$98:$CA$132,13,FALSE)=0,$CB$133,VLOOKUP($BM151,$BM$98:$CA$132,13,FALSE))</f>
        <v>10</v>
      </c>
      <c r="BZ151" s="497">
        <f>IF(VLOOKUP($BM151,$BM$98:$CA$132,14,FALSE)=0,$CB$133,VLOOKUP($BM151,$BM$98:$CA$132,14,FALSE))</f>
        <v>12</v>
      </c>
      <c r="CA151" s="497"/>
      <c r="CB151" s="497"/>
      <c r="CC151" s="497"/>
      <c r="CD151" s="497"/>
      <c r="CE151" s="497" t="str">
        <f t="shared" si="88"/>
        <v>Other special machines</v>
      </c>
      <c r="CF151" s="497">
        <f t="shared" ref="CF151:CF169" si="127">IF(VLOOKUP($CE151,$CE$98:$CS$132,2,FALSE)=0,$CT$134,VLOOKUP($CE151,$CE$98:$CS$132,2,FALSE))</f>
        <v>11</v>
      </c>
      <c r="CG151" s="497">
        <f t="shared" ref="CG151:CG169" si="128">IF(VLOOKUP($CE151,$CE$98:$CS$132,3,FALSE)=0,$CT$134,VLOOKUP($CE151,$CE$98:$CS$132,3,FALSE))</f>
        <v>9</v>
      </c>
      <c r="CH151" s="497">
        <f t="shared" ref="CH151:CH169" si="129">IF(VLOOKUP($CE151,$CE$98:$CS$132,4,FALSE)=0,$CT$134,VLOOKUP($CE151,$CE$98:$CS$132,4,FALSE))</f>
        <v>8</v>
      </c>
      <c r="CI151" s="497">
        <f t="shared" ref="CI151:CI169" si="130">IF(VLOOKUP($CE151,$CE$98:$CS$132,5,FALSE)=0,$CT$134,VLOOKUP($CE151,$CE$98:$CS$132,5,FALSE))</f>
        <v>7</v>
      </c>
      <c r="CJ151" s="497">
        <f t="shared" ref="CJ151:CJ169" si="131">IF(VLOOKUP($CE151,$CE$98:$CS$132,6,FALSE)=0,$CT$134,VLOOKUP($CE151,$CE$98:$CS$132,6,FALSE))</f>
        <v>6</v>
      </c>
      <c r="CK151" s="497">
        <f t="shared" ref="CK151:CK169" si="132">IF(VLOOKUP($CE151,$CE$98:$CS$132,7,FALSE)=0,$CT$134,VLOOKUP($CE151,$CE$98:$CS$132,7,FALSE))</f>
        <v>5</v>
      </c>
      <c r="CL151" s="497">
        <f t="shared" ref="CL151:CL169" si="133">IF(VLOOKUP($CE151,$CE$98:$CS$132,8,FALSE)=0,$CT$134,VLOOKUP($CE151,$CE$98:$CS$132,8,FALSE))</f>
        <v>5</v>
      </c>
      <c r="CM151" s="497">
        <f t="shared" ref="CM151:CM169" si="134">IF(VLOOKUP($CE151,$CE$98:$CS$132,9,FALSE)=0,$CT$134,VLOOKUP($CE151,$CE$98:$CS$132,9,FALSE))</f>
        <v>6</v>
      </c>
      <c r="CN151" s="497">
        <f t="shared" ref="CN151:CN169" si="135">IF(VLOOKUP($CE151,$CE$98:$CS$132,10,FALSE)=0,$CT$134,VLOOKUP($CE151,$CE$98:$CS$132,10,FALSE))</f>
        <v>6</v>
      </c>
      <c r="CO151" s="497">
        <f t="shared" ref="CO151:CO169" si="136">IF(VLOOKUP($CE151,$CE$98:$CS$132,11,FALSE)=0,$CT$134,VLOOKUP($CE151,$CE$98:$CS$132,11,FALSE))</f>
        <v>10</v>
      </c>
      <c r="CP151" s="497">
        <f t="shared" ref="CP151:CP169" si="137">IF(VLOOKUP($CE151,$CE$98:$CS$132,12,FALSE)=0,$CT$134,VLOOKUP($CE151,$CE$98:$CS$132,12,FALSE))</f>
        <v>11</v>
      </c>
      <c r="CQ151" s="497">
        <f t="shared" ref="CQ151:CQ169" si="138">IF(VLOOKUP($CE151,$CE$98:$CS$132,13,FALSE)=0,$CT$134,VLOOKUP($CE151,$CE$98:$CS$132,13,FALSE))</f>
        <v>10</v>
      </c>
      <c r="CR151" s="497">
        <f t="shared" ref="CR151:CR169" si="139">IF(VLOOKUP($CE151,$CE$98:$CS$132,14,FALSE)=0,$CT$134,VLOOKUP($CE151,$CE$98:$CS$132,14,FALSE))</f>
        <v>11</v>
      </c>
      <c r="CS151" s="497"/>
      <c r="CT151" s="497"/>
      <c r="CU151" s="497"/>
      <c r="CV151" s="497"/>
      <c r="CW151" s="497" t="str">
        <f t="shared" ref="CW151:CW168" si="140">IF(AC99&lt;DN$133,VLOOKUP(AC99,DN$98:DO$132,2,FALSE),"")</f>
        <v>Measurement</v>
      </c>
      <c r="CX151" s="497">
        <f t="shared" ref="CX151:CX161" si="141">IF(VLOOKUP($CW151,$CW$98:$DK$132,2,FALSE)=0,$DL$133,VLOOKUP($CW151,$CW$98:$DK$132,2,FALSE))</f>
        <v>10</v>
      </c>
      <c r="CY151" s="497">
        <f t="shared" ref="CY151:CY161" si="142">IF(VLOOKUP($CW151,$CW$98:$DK$132,3,FALSE)=0,$DL$133,VLOOKUP($CW151,$CW$98:$DK$132,3,FALSE))</f>
        <v>8</v>
      </c>
      <c r="CZ151" s="497">
        <f t="shared" ref="CZ151:CZ161" si="143">IF(VLOOKUP($CW151,$CW$98:$DK$132,4,FALSE)=0,$DL$133,VLOOKUP($CW151,$CW$98:$DK$132,4,FALSE))</f>
        <v>7</v>
      </c>
      <c r="DA151" s="497">
        <f t="shared" ref="DA151:DA161" si="144">IF(VLOOKUP($CW151,$CW$98:$DK$132,5,FALSE)=0,$DL$133,VLOOKUP($CW151,$CW$98:$DK$132,5,FALSE))</f>
        <v>8</v>
      </c>
      <c r="DB151" s="497">
        <f t="shared" ref="DB151:DB161" si="145">IF(VLOOKUP($CW151,$CW$98:$DK$132,6,FALSE)=0,$DL$133,VLOOKUP($CW151,$CW$98:$DK$132,6,FALSE))</f>
        <v>8</v>
      </c>
      <c r="DC151" s="497">
        <f t="shared" ref="DC151:DC161" si="146">IF(VLOOKUP($CW151,$CW$98:$DK$132,7,FALSE)=0,$DL$133,VLOOKUP($CW151,$CW$98:$DK$132,7,FALSE))</f>
        <v>8</v>
      </c>
      <c r="DD151" s="497">
        <f t="shared" ref="DD151:DD161" si="147">IF(VLOOKUP($CW151,$CW$98:$DK$132,8,FALSE)=0,$DL$133,VLOOKUP($CW151,$CW$98:$DK$132,8,FALSE))</f>
        <v>8</v>
      </c>
      <c r="DE151" s="497">
        <f t="shared" ref="DE151:DE161" si="148">IF(VLOOKUP($CW151,$CW$98:$DK$132,9,FALSE)=0,$DL$133,VLOOKUP($CW151,$CW$98:$DK$132,9,FALSE))</f>
        <v>8</v>
      </c>
      <c r="DF151" s="497">
        <f t="shared" ref="DF151:DF161" si="149">IF(VLOOKUP($CW151,$CW$98:$DK$132,10,FALSE)=0,$DL$133,VLOOKUP($CW151,$CW$98:$DK$132,10,FALSE))</f>
        <v>9</v>
      </c>
      <c r="DG151" s="497">
        <f t="shared" ref="DG151:DG161" si="150">IF(VLOOKUP($CW151,$CW$98:$DK$132,11,FALSE)=0,$DL$133,VLOOKUP($CW151,$CW$98:$DK$132,11,FALSE))</f>
        <v>9</v>
      </c>
      <c r="DH151" s="497">
        <f t="shared" ref="DH151:DH161" si="151">IF(VLOOKUP($CW151,$CW$98:$DK$132,12,FALSE)=0,$DL$133,VLOOKUP($CW151,$CW$98:$DK$132,12,FALSE))</f>
        <v>7</v>
      </c>
      <c r="DI151" s="497">
        <f t="shared" ref="DI151:DI161" si="152">IF(VLOOKUP($CW151,$CW$98:$DK$132,13,FALSE)=0,$DL$133,VLOOKUP($CW151,$CW$98:$DK$132,13,FALSE))</f>
        <v>7</v>
      </c>
      <c r="DJ151" s="497">
        <f t="shared" ref="DJ151:DJ161" si="153">IF(VLOOKUP($CW151,$CW$98:$DK$132,14,FALSE)=0,$DL$133,VLOOKUP($CW151,$CW$98:$DK$132,14,FALSE))</f>
        <v>7</v>
      </c>
      <c r="DK151" s="497"/>
      <c r="DL151" s="497"/>
      <c r="DM151" s="497"/>
      <c r="DN151" s="1347"/>
      <c r="DO151" s="475"/>
      <c r="DP151" s="475"/>
      <c r="DQ151" s="475"/>
      <c r="DR151" s="766"/>
      <c r="DS151" s="474"/>
      <c r="DT151" s="474"/>
      <c r="DU151" s="474"/>
      <c r="DV151" s="474"/>
      <c r="DW151" s="474"/>
      <c r="DX151" s="474"/>
      <c r="DY151" s="474"/>
      <c r="DZ151" s="474"/>
      <c r="EA151" s="474"/>
      <c r="EB151" s="474"/>
      <c r="EC151" s="474"/>
    </row>
    <row r="152" spans="29:133" s="473" customFormat="1">
      <c r="AC152" s="761">
        <f t="shared" si="7"/>
        <v>3</v>
      </c>
      <c r="AD152" s="497" t="str">
        <f t="shared" si="89"/>
        <v>Pharmaceuticals</v>
      </c>
      <c r="AE152" s="497">
        <f t="shared" si="90"/>
        <v>8</v>
      </c>
      <c r="AF152" s="497">
        <f t="shared" si="91"/>
        <v>9</v>
      </c>
      <c r="AG152" s="497">
        <f t="shared" si="92"/>
        <v>10</v>
      </c>
      <c r="AH152" s="497">
        <f t="shared" si="93"/>
        <v>10</v>
      </c>
      <c r="AI152" s="497">
        <f t="shared" si="94"/>
        <v>9</v>
      </c>
      <c r="AJ152" s="497">
        <f t="shared" si="95"/>
        <v>8</v>
      </c>
      <c r="AK152" s="497">
        <f t="shared" si="96"/>
        <v>7</v>
      </c>
      <c r="AL152" s="497">
        <f t="shared" si="97"/>
        <v>7</v>
      </c>
      <c r="AM152" s="497">
        <f t="shared" si="98"/>
        <v>7</v>
      </c>
      <c r="AN152" s="497">
        <f t="shared" si="99"/>
        <v>7</v>
      </c>
      <c r="AO152" s="497">
        <f t="shared" si="100"/>
        <v>5</v>
      </c>
      <c r="AP152" s="497">
        <f t="shared" si="101"/>
        <v>7</v>
      </c>
      <c r="AQ152" s="497">
        <f t="shared" si="102"/>
        <v>8</v>
      </c>
      <c r="AR152" s="497"/>
      <c r="AS152" s="497"/>
      <c r="AT152" s="497"/>
      <c r="AU152" s="497"/>
      <c r="AV152" s="497" t="str">
        <f t="shared" si="86"/>
        <v>Semiconductors</v>
      </c>
      <c r="AW152" s="497">
        <f t="shared" si="103"/>
        <v>4</v>
      </c>
      <c r="AX152" s="497">
        <f t="shared" si="104"/>
        <v>4</v>
      </c>
      <c r="AY152" s="497">
        <f t="shared" si="105"/>
        <v>5</v>
      </c>
      <c r="AZ152" s="497">
        <f t="shared" si="106"/>
        <v>8</v>
      </c>
      <c r="BA152" s="497">
        <f t="shared" si="107"/>
        <v>9</v>
      </c>
      <c r="BB152" s="497">
        <f t="shared" si="108"/>
        <v>8</v>
      </c>
      <c r="BC152" s="497">
        <f t="shared" si="109"/>
        <v>8</v>
      </c>
      <c r="BD152" s="497">
        <f t="shared" si="110"/>
        <v>8</v>
      </c>
      <c r="BE152" s="497">
        <f t="shared" si="111"/>
        <v>8</v>
      </c>
      <c r="BF152" s="497">
        <f t="shared" si="112"/>
        <v>8</v>
      </c>
      <c r="BG152" s="497">
        <f t="shared" si="113"/>
        <v>6</v>
      </c>
      <c r="BH152" s="497">
        <f t="shared" si="114"/>
        <v>7</v>
      </c>
      <c r="BI152" s="497"/>
      <c r="BJ152" s="497"/>
      <c r="BK152" s="497"/>
      <c r="BL152" s="497"/>
      <c r="BM152" s="497" t="str">
        <f t="shared" si="87"/>
        <v>Civil engineering</v>
      </c>
      <c r="BN152" s="497">
        <f t="shared" si="115"/>
        <v>5</v>
      </c>
      <c r="BO152" s="497">
        <f t="shared" si="116"/>
        <v>5</v>
      </c>
      <c r="BP152" s="497">
        <f t="shared" si="117"/>
        <v>6</v>
      </c>
      <c r="BQ152" s="497">
        <f t="shared" si="118"/>
        <v>5</v>
      </c>
      <c r="BR152" s="497">
        <f t="shared" si="119"/>
        <v>6</v>
      </c>
      <c r="BS152" s="497">
        <f t="shared" si="120"/>
        <v>6</v>
      </c>
      <c r="BT152" s="497">
        <f t="shared" si="121"/>
        <v>7</v>
      </c>
      <c r="BU152" s="497">
        <f t="shared" si="122"/>
        <v>8</v>
      </c>
      <c r="BV152" s="497">
        <f t="shared" si="123"/>
        <v>7</v>
      </c>
      <c r="BW152" s="497">
        <f t="shared" si="124"/>
        <v>9</v>
      </c>
      <c r="BX152" s="497">
        <f t="shared" si="125"/>
        <v>10</v>
      </c>
      <c r="BY152" s="497">
        <f t="shared" si="126"/>
        <v>9</v>
      </c>
      <c r="BZ152" s="497">
        <f t="shared" ref="BZ152:BZ161" si="154">IF(VLOOKUP($BM152,$BM$98:$CA$132,14,FALSE)=0,$CB$133,VLOOKUP($BM152,$BM$98:$CA$132,14,FALSE))</f>
        <v>10</v>
      </c>
      <c r="CA152" s="497"/>
      <c r="CB152" s="497"/>
      <c r="CC152" s="497"/>
      <c r="CD152" s="497"/>
      <c r="CE152" s="497" t="str">
        <f t="shared" si="88"/>
        <v>Civil engineering</v>
      </c>
      <c r="CF152" s="497">
        <f t="shared" si="127"/>
        <v>7</v>
      </c>
      <c r="CG152" s="497">
        <f t="shared" si="128"/>
        <v>8</v>
      </c>
      <c r="CH152" s="497">
        <f t="shared" si="129"/>
        <v>11</v>
      </c>
      <c r="CI152" s="497">
        <f t="shared" si="130"/>
        <v>9</v>
      </c>
      <c r="CJ152" s="497">
        <f t="shared" si="131"/>
        <v>7</v>
      </c>
      <c r="CK152" s="497">
        <f t="shared" si="132"/>
        <v>10</v>
      </c>
      <c r="CL152" s="497">
        <f t="shared" si="133"/>
        <v>10</v>
      </c>
      <c r="CM152" s="497">
        <f t="shared" si="134"/>
        <v>4</v>
      </c>
      <c r="CN152" s="497">
        <f t="shared" si="135"/>
        <v>4</v>
      </c>
      <c r="CO152" s="497">
        <f t="shared" si="136"/>
        <v>11</v>
      </c>
      <c r="CP152" s="497">
        <f t="shared" si="137"/>
        <v>6</v>
      </c>
      <c r="CQ152" s="497">
        <f t="shared" si="138"/>
        <v>6</v>
      </c>
      <c r="CR152" s="497">
        <f t="shared" si="139"/>
        <v>6</v>
      </c>
      <c r="CS152" s="497"/>
      <c r="CT152" s="497"/>
      <c r="CU152" s="497"/>
      <c r="CV152" s="497"/>
      <c r="CW152" s="497" t="str">
        <f t="shared" si="140"/>
        <v>Audio-visual technology</v>
      </c>
      <c r="CX152" s="497">
        <f t="shared" si="141"/>
        <v>3</v>
      </c>
      <c r="CY152" s="497">
        <f t="shared" si="142"/>
        <v>5</v>
      </c>
      <c r="CZ152" s="497">
        <f t="shared" si="143"/>
        <v>6</v>
      </c>
      <c r="DA152" s="497">
        <f t="shared" si="144"/>
        <v>6</v>
      </c>
      <c r="DB152" s="497">
        <f t="shared" si="145"/>
        <v>6</v>
      </c>
      <c r="DC152" s="497">
        <f t="shared" si="146"/>
        <v>6</v>
      </c>
      <c r="DD152" s="497">
        <f t="shared" si="147"/>
        <v>6</v>
      </c>
      <c r="DE152" s="497">
        <f t="shared" si="148"/>
        <v>6</v>
      </c>
      <c r="DF152" s="497">
        <f t="shared" si="149"/>
        <v>7</v>
      </c>
      <c r="DG152" s="497">
        <f t="shared" si="150"/>
        <v>7</v>
      </c>
      <c r="DH152" s="497">
        <f t="shared" si="151"/>
        <v>8</v>
      </c>
      <c r="DI152" s="497">
        <f t="shared" si="152"/>
        <v>8</v>
      </c>
      <c r="DJ152" s="497">
        <f t="shared" si="153"/>
        <v>8</v>
      </c>
      <c r="DK152" s="497"/>
      <c r="DL152" s="497"/>
      <c r="DM152" s="497"/>
      <c r="DN152" s="1347"/>
      <c r="DO152" s="475"/>
      <c r="DP152" s="475"/>
      <c r="DQ152" s="475"/>
      <c r="DR152" s="766"/>
      <c r="DS152" s="474"/>
      <c r="DT152" s="474"/>
      <c r="DU152" s="474"/>
      <c r="DV152" s="474"/>
      <c r="DW152" s="474"/>
      <c r="DX152" s="474"/>
      <c r="DY152" s="474"/>
      <c r="DZ152" s="474"/>
      <c r="EA152" s="474"/>
      <c r="EB152" s="474"/>
      <c r="EC152" s="474"/>
    </row>
    <row r="153" spans="29:133" s="473" customFormat="1">
      <c r="AC153" s="761">
        <f t="shared" si="7"/>
        <v>4</v>
      </c>
      <c r="AD153" s="497" t="str">
        <f t="shared" si="89"/>
        <v>Measurement</v>
      </c>
      <c r="AE153" s="497">
        <f t="shared" si="90"/>
        <v>6</v>
      </c>
      <c r="AF153" s="497">
        <f t="shared" si="91"/>
        <v>6</v>
      </c>
      <c r="AG153" s="497">
        <f t="shared" si="92"/>
        <v>6</v>
      </c>
      <c r="AH153" s="497">
        <f t="shared" si="93"/>
        <v>6</v>
      </c>
      <c r="AI153" s="497">
        <f t="shared" si="94"/>
        <v>6</v>
      </c>
      <c r="AJ153" s="497">
        <f t="shared" si="95"/>
        <v>6</v>
      </c>
      <c r="AK153" s="497">
        <f t="shared" si="96"/>
        <v>6</v>
      </c>
      <c r="AL153" s="497">
        <f t="shared" si="97"/>
        <v>6</v>
      </c>
      <c r="AM153" s="497">
        <f t="shared" si="98"/>
        <v>6</v>
      </c>
      <c r="AN153" s="497">
        <f t="shared" si="99"/>
        <v>6</v>
      </c>
      <c r="AO153" s="497">
        <f t="shared" si="100"/>
        <v>7</v>
      </c>
      <c r="AP153" s="497">
        <f t="shared" si="101"/>
        <v>5</v>
      </c>
      <c r="AQ153" s="497">
        <f t="shared" si="102"/>
        <v>6</v>
      </c>
      <c r="AR153" s="497"/>
      <c r="AS153" s="497"/>
      <c r="AT153" s="497"/>
      <c r="AU153" s="497"/>
      <c r="AV153" s="497" t="str">
        <f t="shared" si="86"/>
        <v>Measurement</v>
      </c>
      <c r="AW153" s="497">
        <f t="shared" si="103"/>
        <v>6</v>
      </c>
      <c r="AX153" s="497">
        <f t="shared" si="104"/>
        <v>6</v>
      </c>
      <c r="AY153" s="497">
        <f t="shared" si="105"/>
        <v>6</v>
      </c>
      <c r="AZ153" s="497">
        <f t="shared" si="106"/>
        <v>5</v>
      </c>
      <c r="BA153" s="497">
        <f t="shared" si="107"/>
        <v>6</v>
      </c>
      <c r="BB153" s="497">
        <f t="shared" si="108"/>
        <v>6</v>
      </c>
      <c r="BC153" s="497">
        <f t="shared" si="109"/>
        <v>4</v>
      </c>
      <c r="BD153" s="497">
        <f t="shared" si="110"/>
        <v>4</v>
      </c>
      <c r="BE153" s="497">
        <f t="shared" si="111"/>
        <v>5</v>
      </c>
      <c r="BF153" s="497">
        <f t="shared" si="112"/>
        <v>5</v>
      </c>
      <c r="BG153" s="497">
        <f t="shared" si="113"/>
        <v>5</v>
      </c>
      <c r="BH153" s="497">
        <f t="shared" si="114"/>
        <v>6</v>
      </c>
      <c r="BI153" s="497"/>
      <c r="BJ153" s="497"/>
      <c r="BK153" s="497"/>
      <c r="BL153" s="497"/>
      <c r="BM153" s="497" t="str">
        <f t="shared" si="87"/>
        <v>Digital communication</v>
      </c>
      <c r="BN153" s="497">
        <f t="shared" si="115"/>
        <v>6</v>
      </c>
      <c r="BO153" s="497">
        <f t="shared" si="116"/>
        <v>6</v>
      </c>
      <c r="BP153" s="497">
        <f t="shared" si="117"/>
        <v>5</v>
      </c>
      <c r="BQ153" s="497">
        <f t="shared" si="118"/>
        <v>7</v>
      </c>
      <c r="BR153" s="497">
        <f t="shared" si="119"/>
        <v>7</v>
      </c>
      <c r="BS153" s="497">
        <f t="shared" si="120"/>
        <v>7</v>
      </c>
      <c r="BT153" s="497">
        <f t="shared" si="121"/>
        <v>8</v>
      </c>
      <c r="BU153" s="497">
        <f t="shared" si="122"/>
        <v>5</v>
      </c>
      <c r="BV153" s="497">
        <f t="shared" si="123"/>
        <v>8</v>
      </c>
      <c r="BW153" s="497">
        <f t="shared" si="124"/>
        <v>8</v>
      </c>
      <c r="BX153" s="497">
        <f t="shared" si="125"/>
        <v>7</v>
      </c>
      <c r="BY153" s="497">
        <f t="shared" si="126"/>
        <v>6</v>
      </c>
      <c r="BZ153" s="497">
        <f t="shared" si="154"/>
        <v>8</v>
      </c>
      <c r="CA153" s="497"/>
      <c r="CB153" s="497"/>
      <c r="CC153" s="497"/>
      <c r="CD153" s="497"/>
      <c r="CE153" s="497" t="str">
        <f t="shared" si="88"/>
        <v>Machine tools</v>
      </c>
      <c r="CF153" s="497">
        <f t="shared" si="127"/>
        <v>5</v>
      </c>
      <c r="CG153" s="497">
        <f t="shared" si="128"/>
        <v>5</v>
      </c>
      <c r="CH153" s="497">
        <f t="shared" si="129"/>
        <v>7</v>
      </c>
      <c r="CI153" s="497">
        <f t="shared" si="130"/>
        <v>6</v>
      </c>
      <c r="CJ153" s="497">
        <f t="shared" si="131"/>
        <v>4</v>
      </c>
      <c r="CK153" s="497">
        <f t="shared" si="132"/>
        <v>6</v>
      </c>
      <c r="CL153" s="497">
        <f t="shared" si="133"/>
        <v>6</v>
      </c>
      <c r="CM153" s="497">
        <f t="shared" si="134"/>
        <v>5</v>
      </c>
      <c r="CN153" s="497">
        <f t="shared" si="135"/>
        <v>5</v>
      </c>
      <c r="CO153" s="497">
        <f t="shared" si="136"/>
        <v>11</v>
      </c>
      <c r="CP153" s="497">
        <f t="shared" si="137"/>
        <v>5</v>
      </c>
      <c r="CQ153" s="497">
        <f t="shared" si="138"/>
        <v>5</v>
      </c>
      <c r="CR153" s="497">
        <f t="shared" si="139"/>
        <v>5</v>
      </c>
      <c r="CS153" s="497"/>
      <c r="CT153" s="497"/>
      <c r="CU153" s="497"/>
      <c r="CV153" s="497"/>
      <c r="CW153" s="497" t="str">
        <f t="shared" si="140"/>
        <v>Transport</v>
      </c>
      <c r="CX153" s="497">
        <f t="shared" si="141"/>
        <v>12</v>
      </c>
      <c r="CY153" s="497">
        <f t="shared" si="142"/>
        <v>12</v>
      </c>
      <c r="CZ153" s="497">
        <f t="shared" si="143"/>
        <v>9</v>
      </c>
      <c r="DA153" s="497">
        <f t="shared" si="144"/>
        <v>9</v>
      </c>
      <c r="DB153" s="497">
        <f t="shared" si="145"/>
        <v>7</v>
      </c>
      <c r="DC153" s="497">
        <f t="shared" si="146"/>
        <v>7</v>
      </c>
      <c r="DD153" s="497">
        <f t="shared" si="147"/>
        <v>7</v>
      </c>
      <c r="DE153" s="497">
        <f t="shared" si="148"/>
        <v>7</v>
      </c>
      <c r="DF153" s="497">
        <f t="shared" si="149"/>
        <v>6</v>
      </c>
      <c r="DG153" s="497">
        <f t="shared" si="150"/>
        <v>6</v>
      </c>
      <c r="DH153" s="497">
        <f t="shared" si="151"/>
        <v>6</v>
      </c>
      <c r="DI153" s="497">
        <f t="shared" si="152"/>
        <v>5</v>
      </c>
      <c r="DJ153" s="497">
        <f t="shared" si="153"/>
        <v>6</v>
      </c>
      <c r="DK153" s="497"/>
      <c r="DL153" s="497"/>
      <c r="DM153" s="497"/>
      <c r="DN153" s="1347"/>
      <c r="DO153" s="475"/>
      <c r="DP153" s="475"/>
      <c r="DQ153" s="475"/>
      <c r="DR153" s="766"/>
      <c r="DS153" s="474"/>
      <c r="DT153" s="474"/>
      <c r="DU153" s="474"/>
      <c r="DV153" s="474"/>
      <c r="DW153" s="474"/>
      <c r="DX153" s="474"/>
      <c r="DY153" s="474"/>
      <c r="DZ153" s="474"/>
      <c r="EA153" s="474"/>
      <c r="EB153" s="474"/>
      <c r="EC153" s="474"/>
    </row>
    <row r="154" spans="29:133" s="473" customFormat="1">
      <c r="AC154" s="761">
        <f t="shared" si="7"/>
        <v>5</v>
      </c>
      <c r="AD154" s="497" t="str">
        <f t="shared" si="89"/>
        <v>Other special machines</v>
      </c>
      <c r="AE154" s="497">
        <f t="shared" si="90"/>
        <v>11</v>
      </c>
      <c r="AF154" s="497">
        <f t="shared" si="91"/>
        <v>11</v>
      </c>
      <c r="AG154" s="497">
        <f t="shared" si="92"/>
        <v>11</v>
      </c>
      <c r="AH154" s="497">
        <f t="shared" si="93"/>
        <v>11</v>
      </c>
      <c r="AI154" s="497">
        <f t="shared" si="94"/>
        <v>11</v>
      </c>
      <c r="AJ154" s="497">
        <f t="shared" si="95"/>
        <v>10</v>
      </c>
      <c r="AK154" s="497">
        <f t="shared" si="96"/>
        <v>9</v>
      </c>
      <c r="AL154" s="497">
        <f t="shared" si="97"/>
        <v>9</v>
      </c>
      <c r="AM154" s="497">
        <f t="shared" si="98"/>
        <v>9</v>
      </c>
      <c r="AN154" s="497">
        <f t="shared" si="99"/>
        <v>9</v>
      </c>
      <c r="AO154" s="497">
        <f t="shared" si="100"/>
        <v>9</v>
      </c>
      <c r="AP154" s="497">
        <f t="shared" si="101"/>
        <v>9</v>
      </c>
      <c r="AQ154" s="497">
        <f t="shared" si="102"/>
        <v>9</v>
      </c>
      <c r="AR154" s="497"/>
      <c r="AS154" s="497"/>
      <c r="AT154" s="497"/>
      <c r="AU154" s="497"/>
      <c r="AV154" s="497" t="str">
        <f t="shared" si="86"/>
        <v>Handling</v>
      </c>
      <c r="AW154" s="497">
        <f t="shared" si="103"/>
        <v>12</v>
      </c>
      <c r="AX154" s="497">
        <f t="shared" si="104"/>
        <v>12</v>
      </c>
      <c r="AY154" s="497">
        <f t="shared" si="105"/>
        <v>12</v>
      </c>
      <c r="AZ154" s="497">
        <f t="shared" si="106"/>
        <v>10</v>
      </c>
      <c r="BA154" s="497">
        <f t="shared" si="107"/>
        <v>10</v>
      </c>
      <c r="BB154" s="497">
        <f t="shared" si="108"/>
        <v>10</v>
      </c>
      <c r="BC154" s="497">
        <f t="shared" si="109"/>
        <v>10</v>
      </c>
      <c r="BD154" s="497">
        <f t="shared" si="110"/>
        <v>9</v>
      </c>
      <c r="BE154" s="497">
        <f t="shared" si="111"/>
        <v>9</v>
      </c>
      <c r="BF154" s="497">
        <f t="shared" si="112"/>
        <v>12</v>
      </c>
      <c r="BG154" s="497">
        <f t="shared" si="113"/>
        <v>12</v>
      </c>
      <c r="BH154" s="497">
        <f t="shared" si="114"/>
        <v>12</v>
      </c>
      <c r="BI154" s="497"/>
      <c r="BJ154" s="497"/>
      <c r="BK154" s="497"/>
      <c r="BL154" s="497"/>
      <c r="BM154" s="497" t="str">
        <f t="shared" si="87"/>
        <v>Medical technology</v>
      </c>
      <c r="BN154" s="497">
        <f t="shared" si="115"/>
        <v>12</v>
      </c>
      <c r="BO154" s="497">
        <f t="shared" si="116"/>
        <v>12</v>
      </c>
      <c r="BP154" s="497">
        <f t="shared" si="117"/>
        <v>9</v>
      </c>
      <c r="BQ154" s="497">
        <f t="shared" si="118"/>
        <v>9</v>
      </c>
      <c r="BR154" s="497">
        <f t="shared" si="119"/>
        <v>9</v>
      </c>
      <c r="BS154" s="497">
        <f t="shared" si="120"/>
        <v>8</v>
      </c>
      <c r="BT154" s="497">
        <f t="shared" si="121"/>
        <v>6</v>
      </c>
      <c r="BU154" s="497">
        <f t="shared" si="122"/>
        <v>7</v>
      </c>
      <c r="BV154" s="497">
        <f t="shared" si="123"/>
        <v>4</v>
      </c>
      <c r="BW154" s="497">
        <f t="shared" si="124"/>
        <v>4</v>
      </c>
      <c r="BX154" s="497">
        <f t="shared" si="125"/>
        <v>5</v>
      </c>
      <c r="BY154" s="497">
        <f t="shared" si="126"/>
        <v>5</v>
      </c>
      <c r="BZ154" s="497">
        <f t="shared" si="154"/>
        <v>5</v>
      </c>
      <c r="CA154" s="497"/>
      <c r="CB154" s="497"/>
      <c r="CC154" s="497"/>
      <c r="CD154" s="497"/>
      <c r="CE154" s="497" t="str">
        <f t="shared" si="88"/>
        <v>Basic materials chemistry</v>
      </c>
      <c r="CF154" s="497">
        <f t="shared" si="127"/>
        <v>9</v>
      </c>
      <c r="CG154" s="497">
        <f t="shared" si="128"/>
        <v>6</v>
      </c>
      <c r="CH154" s="497">
        <f t="shared" si="129"/>
        <v>6</v>
      </c>
      <c r="CI154" s="497">
        <f t="shared" si="130"/>
        <v>8</v>
      </c>
      <c r="CJ154" s="497">
        <f t="shared" si="131"/>
        <v>11</v>
      </c>
      <c r="CK154" s="497">
        <f t="shared" si="132"/>
        <v>7</v>
      </c>
      <c r="CL154" s="497">
        <f t="shared" si="133"/>
        <v>7</v>
      </c>
      <c r="CM154" s="497">
        <f t="shared" si="134"/>
        <v>11</v>
      </c>
      <c r="CN154" s="497">
        <f t="shared" si="135"/>
        <v>11</v>
      </c>
      <c r="CO154" s="497">
        <f t="shared" si="136"/>
        <v>5</v>
      </c>
      <c r="CP154" s="497">
        <f t="shared" si="137"/>
        <v>11</v>
      </c>
      <c r="CQ154" s="497">
        <f t="shared" si="138"/>
        <v>11</v>
      </c>
      <c r="CR154" s="497">
        <f t="shared" si="139"/>
        <v>11</v>
      </c>
      <c r="CS154" s="497"/>
      <c r="CT154" s="497"/>
      <c r="CU154" s="497"/>
      <c r="CV154" s="497"/>
      <c r="CW154" s="497" t="str">
        <f t="shared" si="140"/>
        <v>Pharmaceuticals</v>
      </c>
      <c r="CX154" s="497">
        <f t="shared" si="141"/>
        <v>7</v>
      </c>
      <c r="CY154" s="497">
        <f t="shared" si="142"/>
        <v>9</v>
      </c>
      <c r="CZ154" s="497">
        <f t="shared" si="143"/>
        <v>10</v>
      </c>
      <c r="DA154" s="497">
        <f t="shared" si="144"/>
        <v>10</v>
      </c>
      <c r="DB154" s="497">
        <f t="shared" si="145"/>
        <v>12</v>
      </c>
      <c r="DC154" s="497">
        <f t="shared" si="146"/>
        <v>12</v>
      </c>
      <c r="DD154" s="497">
        <f t="shared" si="147"/>
        <v>12</v>
      </c>
      <c r="DE154" s="497">
        <f t="shared" si="148"/>
        <v>12</v>
      </c>
      <c r="DF154" s="497">
        <f t="shared" si="149"/>
        <v>12</v>
      </c>
      <c r="DG154" s="497">
        <f t="shared" si="150"/>
        <v>10</v>
      </c>
      <c r="DH154" s="497">
        <f t="shared" si="151"/>
        <v>10</v>
      </c>
      <c r="DI154" s="497">
        <f t="shared" si="152"/>
        <v>10</v>
      </c>
      <c r="DJ154" s="497">
        <f t="shared" si="153"/>
        <v>10</v>
      </c>
      <c r="DK154" s="497"/>
      <c r="DL154" s="497"/>
      <c r="DM154" s="497"/>
      <c r="DN154" s="1347"/>
      <c r="DO154" s="475"/>
      <c r="DP154" s="475"/>
      <c r="DQ154" s="475"/>
      <c r="DR154" s="766"/>
      <c r="DS154" s="474"/>
      <c r="DT154" s="474"/>
      <c r="DU154" s="474"/>
      <c r="DV154" s="474"/>
      <c r="DW154" s="474"/>
      <c r="DX154" s="474"/>
      <c r="DY154" s="474"/>
      <c r="DZ154" s="474"/>
      <c r="EA154" s="474"/>
      <c r="EB154" s="474"/>
      <c r="EC154" s="474"/>
    </row>
    <row r="155" spans="29:133" s="473" customFormat="1">
      <c r="AC155" s="761">
        <f t="shared" si="7"/>
        <v>6</v>
      </c>
      <c r="AD155" s="497" t="str">
        <f t="shared" si="89"/>
        <v>Transport</v>
      </c>
      <c r="AE155" s="497">
        <f t="shared" si="90"/>
        <v>5</v>
      </c>
      <c r="AF155" s="497">
        <f t="shared" si="91"/>
        <v>5</v>
      </c>
      <c r="AG155" s="497">
        <f t="shared" si="92"/>
        <v>5</v>
      </c>
      <c r="AH155" s="497">
        <f t="shared" si="93"/>
        <v>5</v>
      </c>
      <c r="AI155" s="497">
        <f t="shared" si="94"/>
        <v>5</v>
      </c>
      <c r="AJ155" s="497">
        <f t="shared" si="95"/>
        <v>5</v>
      </c>
      <c r="AK155" s="497">
        <f t="shared" si="96"/>
        <v>5</v>
      </c>
      <c r="AL155" s="497">
        <f t="shared" si="97"/>
        <v>5</v>
      </c>
      <c r="AM155" s="497">
        <f t="shared" si="98"/>
        <v>5</v>
      </c>
      <c r="AN155" s="497">
        <f t="shared" si="99"/>
        <v>5</v>
      </c>
      <c r="AO155" s="497">
        <f t="shared" si="100"/>
        <v>6</v>
      </c>
      <c r="AP155" s="497">
        <f t="shared" si="101"/>
        <v>6</v>
      </c>
      <c r="AQ155" s="497">
        <f t="shared" si="102"/>
        <v>5</v>
      </c>
      <c r="AR155" s="497"/>
      <c r="AS155" s="497"/>
      <c r="AT155" s="497"/>
      <c r="AU155" s="497"/>
      <c r="AV155" s="497" t="str">
        <f t="shared" si="86"/>
        <v>Optics</v>
      </c>
      <c r="AW155" s="497">
        <f t="shared" si="103"/>
        <v>2</v>
      </c>
      <c r="AX155" s="497">
        <f t="shared" si="104"/>
        <v>3</v>
      </c>
      <c r="AY155" s="497">
        <f t="shared" si="105"/>
        <v>3</v>
      </c>
      <c r="AZ155" s="497">
        <f t="shared" si="106"/>
        <v>4</v>
      </c>
      <c r="BA155" s="497">
        <f t="shared" si="107"/>
        <v>4</v>
      </c>
      <c r="BB155" s="497">
        <f t="shared" si="108"/>
        <v>4</v>
      </c>
      <c r="BC155" s="497">
        <f t="shared" si="109"/>
        <v>6</v>
      </c>
      <c r="BD155" s="497">
        <f t="shared" si="110"/>
        <v>6</v>
      </c>
      <c r="BE155" s="497">
        <f t="shared" si="111"/>
        <v>6</v>
      </c>
      <c r="BF155" s="497">
        <f t="shared" si="112"/>
        <v>7</v>
      </c>
      <c r="BG155" s="497">
        <f t="shared" si="113"/>
        <v>7</v>
      </c>
      <c r="BH155" s="497">
        <f t="shared" si="114"/>
        <v>9</v>
      </c>
      <c r="BI155" s="497"/>
      <c r="BJ155" s="497"/>
      <c r="BK155" s="497"/>
      <c r="BL155" s="497"/>
      <c r="BM155" s="497" t="str">
        <f t="shared" si="87"/>
        <v>IT methods for management</v>
      </c>
      <c r="BN155" s="497">
        <f t="shared" si="115"/>
        <v>7</v>
      </c>
      <c r="BO155" s="497">
        <f t="shared" si="116"/>
        <v>9</v>
      </c>
      <c r="BP155" s="497">
        <f t="shared" si="117"/>
        <v>8</v>
      </c>
      <c r="BQ155" s="497">
        <f t="shared" si="118"/>
        <v>6</v>
      </c>
      <c r="BR155" s="497">
        <f t="shared" si="119"/>
        <v>5</v>
      </c>
      <c r="BS155" s="497">
        <f t="shared" si="120"/>
        <v>5</v>
      </c>
      <c r="BT155" s="497">
        <f t="shared" si="121"/>
        <v>4</v>
      </c>
      <c r="BU155" s="497">
        <f t="shared" si="122"/>
        <v>4</v>
      </c>
      <c r="BV155" s="497">
        <f t="shared" si="123"/>
        <v>3</v>
      </c>
      <c r="BW155" s="497">
        <f t="shared" si="124"/>
        <v>3</v>
      </c>
      <c r="BX155" s="497">
        <f t="shared" si="125"/>
        <v>3</v>
      </c>
      <c r="BY155" s="497">
        <f t="shared" si="126"/>
        <v>3</v>
      </c>
      <c r="BZ155" s="497">
        <f t="shared" si="154"/>
        <v>4</v>
      </c>
      <c r="CA155" s="497"/>
      <c r="CB155" s="497"/>
      <c r="CC155" s="497"/>
      <c r="CD155" s="497"/>
      <c r="CE155" s="497" t="str">
        <f t="shared" si="88"/>
        <v>Food chemistry</v>
      </c>
      <c r="CF155" s="497">
        <f t="shared" si="127"/>
        <v>10</v>
      </c>
      <c r="CG155" s="497">
        <f t="shared" si="128"/>
        <v>7</v>
      </c>
      <c r="CH155" s="497">
        <f t="shared" si="129"/>
        <v>4</v>
      </c>
      <c r="CI155" s="497">
        <f t="shared" si="130"/>
        <v>5</v>
      </c>
      <c r="CJ155" s="497">
        <f t="shared" si="131"/>
        <v>5</v>
      </c>
      <c r="CK155" s="497">
        <f t="shared" si="132"/>
        <v>8</v>
      </c>
      <c r="CL155" s="497">
        <f t="shared" si="133"/>
        <v>8</v>
      </c>
      <c r="CM155" s="497">
        <f t="shared" si="134"/>
        <v>11</v>
      </c>
      <c r="CN155" s="497">
        <f t="shared" si="135"/>
        <v>11</v>
      </c>
      <c r="CO155" s="497">
        <f t="shared" si="136"/>
        <v>11</v>
      </c>
      <c r="CP155" s="497">
        <f t="shared" si="137"/>
        <v>11</v>
      </c>
      <c r="CQ155" s="497">
        <f t="shared" si="138"/>
        <v>11</v>
      </c>
      <c r="CR155" s="497">
        <f t="shared" si="139"/>
        <v>11</v>
      </c>
      <c r="CS155" s="497"/>
      <c r="CT155" s="497"/>
      <c r="CU155" s="497"/>
      <c r="CV155" s="497"/>
      <c r="CW155" s="497" t="str">
        <f t="shared" si="140"/>
        <v>Semiconductors</v>
      </c>
      <c r="CX155" s="497">
        <f t="shared" si="141"/>
        <v>6</v>
      </c>
      <c r="CY155" s="497">
        <f t="shared" si="142"/>
        <v>6</v>
      </c>
      <c r="CZ155" s="497">
        <f t="shared" si="143"/>
        <v>5</v>
      </c>
      <c r="DA155" s="497">
        <f t="shared" si="144"/>
        <v>5</v>
      </c>
      <c r="DB155" s="497">
        <f t="shared" si="145"/>
        <v>5</v>
      </c>
      <c r="DC155" s="497">
        <f t="shared" si="146"/>
        <v>5</v>
      </c>
      <c r="DD155" s="497">
        <f t="shared" si="147"/>
        <v>5</v>
      </c>
      <c r="DE155" s="497">
        <f t="shared" si="148"/>
        <v>5</v>
      </c>
      <c r="DF155" s="497">
        <f t="shared" si="149"/>
        <v>5</v>
      </c>
      <c r="DG155" s="497">
        <f t="shared" si="150"/>
        <v>5</v>
      </c>
      <c r="DH155" s="497">
        <f t="shared" si="151"/>
        <v>5</v>
      </c>
      <c r="DI155" s="497">
        <f t="shared" si="152"/>
        <v>6</v>
      </c>
      <c r="DJ155" s="497">
        <f t="shared" si="153"/>
        <v>5</v>
      </c>
      <c r="DK155" s="497"/>
      <c r="DL155" s="497"/>
      <c r="DM155" s="497"/>
      <c r="DN155" s="1347"/>
      <c r="DO155" s="475"/>
      <c r="DP155" s="475"/>
      <c r="DQ155" s="475"/>
      <c r="DR155" s="766"/>
      <c r="DS155" s="474"/>
      <c r="DT155" s="474"/>
      <c r="DU155" s="474"/>
      <c r="DV155" s="474"/>
      <c r="DW155" s="474"/>
      <c r="DX155" s="474"/>
      <c r="DY155" s="474"/>
      <c r="DZ155" s="474"/>
      <c r="EA155" s="474"/>
      <c r="EB155" s="474"/>
      <c r="EC155" s="474"/>
    </row>
    <row r="156" spans="29:133" s="473" customFormat="1">
      <c r="AC156" s="761">
        <f t="shared" si="7"/>
        <v>7</v>
      </c>
      <c r="AD156" s="497" t="str">
        <f t="shared" si="89"/>
        <v>Electrical machinery, apparatus, energy</v>
      </c>
      <c r="AE156" s="497">
        <f t="shared" si="90"/>
        <v>2</v>
      </c>
      <c r="AF156" s="497">
        <f t="shared" si="91"/>
        <v>2</v>
      </c>
      <c r="AG156" s="497">
        <f t="shared" si="92"/>
        <v>3</v>
      </c>
      <c r="AH156" s="497">
        <f t="shared" si="93"/>
        <v>4</v>
      </c>
      <c r="AI156" s="497">
        <f t="shared" si="94"/>
        <v>4</v>
      </c>
      <c r="AJ156" s="497">
        <f t="shared" si="95"/>
        <v>4</v>
      </c>
      <c r="AK156" s="497">
        <f t="shared" si="96"/>
        <v>4</v>
      </c>
      <c r="AL156" s="497">
        <f t="shared" si="97"/>
        <v>4</v>
      </c>
      <c r="AM156" s="497">
        <f t="shared" si="98"/>
        <v>4</v>
      </c>
      <c r="AN156" s="497">
        <f t="shared" si="99"/>
        <v>4</v>
      </c>
      <c r="AO156" s="497">
        <f t="shared" si="100"/>
        <v>4</v>
      </c>
      <c r="AP156" s="497">
        <f t="shared" si="101"/>
        <v>4</v>
      </c>
      <c r="AQ156" s="497">
        <f t="shared" si="102"/>
        <v>2</v>
      </c>
      <c r="AR156" s="497"/>
      <c r="AS156" s="497"/>
      <c r="AT156" s="497"/>
      <c r="AU156" s="497"/>
      <c r="AV156" s="497" t="str">
        <f t="shared" si="86"/>
        <v>Medical technology</v>
      </c>
      <c r="AW156" s="497">
        <f t="shared" si="103"/>
        <v>9</v>
      </c>
      <c r="AX156" s="497">
        <f t="shared" si="104"/>
        <v>12</v>
      </c>
      <c r="AY156" s="497">
        <f t="shared" si="105"/>
        <v>12</v>
      </c>
      <c r="AZ156" s="497">
        <f t="shared" si="106"/>
        <v>6</v>
      </c>
      <c r="BA156" s="497">
        <f t="shared" si="107"/>
        <v>5</v>
      </c>
      <c r="BB156" s="497">
        <f t="shared" si="108"/>
        <v>5</v>
      </c>
      <c r="BC156" s="497">
        <f t="shared" si="109"/>
        <v>5</v>
      </c>
      <c r="BD156" s="497">
        <f t="shared" si="110"/>
        <v>5</v>
      </c>
      <c r="BE156" s="497">
        <f t="shared" si="111"/>
        <v>4</v>
      </c>
      <c r="BF156" s="497">
        <f t="shared" si="112"/>
        <v>4</v>
      </c>
      <c r="BG156" s="497">
        <f t="shared" si="113"/>
        <v>4</v>
      </c>
      <c r="BH156" s="497">
        <f t="shared" si="114"/>
        <v>5</v>
      </c>
      <c r="BI156" s="497"/>
      <c r="BJ156" s="497"/>
      <c r="BK156" s="497"/>
      <c r="BL156" s="497"/>
      <c r="BM156" s="497" t="str">
        <f t="shared" si="87"/>
        <v>Transport</v>
      </c>
      <c r="BN156" s="497">
        <f t="shared" si="115"/>
        <v>4</v>
      </c>
      <c r="BO156" s="497">
        <f t="shared" si="116"/>
        <v>4</v>
      </c>
      <c r="BP156" s="497">
        <f t="shared" si="117"/>
        <v>3</v>
      </c>
      <c r="BQ156" s="497">
        <f t="shared" si="118"/>
        <v>3</v>
      </c>
      <c r="BR156" s="497">
        <f t="shared" si="119"/>
        <v>3</v>
      </c>
      <c r="BS156" s="497">
        <f t="shared" si="120"/>
        <v>3</v>
      </c>
      <c r="BT156" s="497">
        <f t="shared" si="121"/>
        <v>5</v>
      </c>
      <c r="BU156" s="497">
        <f t="shared" si="122"/>
        <v>6</v>
      </c>
      <c r="BV156" s="497">
        <f t="shared" si="123"/>
        <v>6</v>
      </c>
      <c r="BW156" s="497">
        <f t="shared" si="124"/>
        <v>6</v>
      </c>
      <c r="BX156" s="497">
        <f t="shared" si="125"/>
        <v>6</v>
      </c>
      <c r="BY156" s="497">
        <f t="shared" si="126"/>
        <v>8</v>
      </c>
      <c r="BZ156" s="497">
        <f t="shared" si="154"/>
        <v>7</v>
      </c>
      <c r="CA156" s="497"/>
      <c r="CB156" s="497"/>
      <c r="CC156" s="497"/>
      <c r="CD156" s="497"/>
      <c r="CE156" s="497" t="str">
        <f t="shared" si="88"/>
        <v>Pharmaceuticals</v>
      </c>
      <c r="CF156" s="497">
        <f t="shared" si="127"/>
        <v>8</v>
      </c>
      <c r="CG156" s="497">
        <f t="shared" si="128"/>
        <v>10</v>
      </c>
      <c r="CH156" s="497">
        <f t="shared" si="129"/>
        <v>5</v>
      </c>
      <c r="CI156" s="497">
        <f t="shared" si="130"/>
        <v>4</v>
      </c>
      <c r="CJ156" s="497">
        <f t="shared" si="131"/>
        <v>10</v>
      </c>
      <c r="CK156" s="497">
        <f t="shared" si="132"/>
        <v>11</v>
      </c>
      <c r="CL156" s="497">
        <f t="shared" si="133"/>
        <v>11</v>
      </c>
      <c r="CM156" s="497">
        <f t="shared" si="134"/>
        <v>11</v>
      </c>
      <c r="CN156" s="497">
        <f t="shared" si="135"/>
        <v>11</v>
      </c>
      <c r="CO156" s="497">
        <f t="shared" si="136"/>
        <v>9</v>
      </c>
      <c r="CP156" s="497">
        <f t="shared" si="137"/>
        <v>11</v>
      </c>
      <c r="CQ156" s="497">
        <f t="shared" si="138"/>
        <v>11</v>
      </c>
      <c r="CR156" s="497">
        <f t="shared" si="139"/>
        <v>11</v>
      </c>
      <c r="CS156" s="497"/>
      <c r="CT156" s="497"/>
      <c r="CU156" s="497"/>
      <c r="CV156" s="497"/>
      <c r="CW156" s="497" t="str">
        <f t="shared" si="140"/>
        <v>Optics</v>
      </c>
      <c r="CX156" s="497">
        <f t="shared" si="141"/>
        <v>12</v>
      </c>
      <c r="CY156" s="497">
        <f t="shared" si="142"/>
        <v>12</v>
      </c>
      <c r="CZ156" s="497">
        <f t="shared" si="143"/>
        <v>12</v>
      </c>
      <c r="DA156" s="497">
        <f t="shared" si="144"/>
        <v>12</v>
      </c>
      <c r="DB156" s="497">
        <f t="shared" si="145"/>
        <v>10</v>
      </c>
      <c r="DC156" s="497">
        <f t="shared" si="146"/>
        <v>10</v>
      </c>
      <c r="DD156" s="497">
        <f t="shared" si="147"/>
        <v>10</v>
      </c>
      <c r="DE156" s="497">
        <f t="shared" si="148"/>
        <v>10</v>
      </c>
      <c r="DF156" s="497">
        <f t="shared" si="149"/>
        <v>10</v>
      </c>
      <c r="DG156" s="497">
        <f t="shared" si="150"/>
        <v>12</v>
      </c>
      <c r="DH156" s="497">
        <f t="shared" si="151"/>
        <v>12</v>
      </c>
      <c r="DI156" s="497">
        <f t="shared" si="152"/>
        <v>12</v>
      </c>
      <c r="DJ156" s="497">
        <f t="shared" si="153"/>
        <v>12</v>
      </c>
      <c r="DK156" s="497"/>
      <c r="DL156" s="497"/>
      <c r="DM156" s="497"/>
      <c r="DN156" s="1347"/>
      <c r="DO156" s="475"/>
      <c r="DP156" s="475"/>
      <c r="DQ156" s="475"/>
      <c r="DR156" s="766"/>
      <c r="DS156" s="474"/>
      <c r="DT156" s="474"/>
      <c r="DU156" s="474"/>
      <c r="DV156" s="474"/>
      <c r="DW156" s="474"/>
      <c r="DX156" s="474"/>
      <c r="DY156" s="474"/>
      <c r="DZ156" s="474"/>
      <c r="EA156" s="474"/>
      <c r="EB156" s="474"/>
      <c r="EC156" s="474"/>
    </row>
    <row r="157" spans="29:133" s="473" customFormat="1">
      <c r="AC157" s="761">
        <f t="shared" si="7"/>
        <v>8</v>
      </c>
      <c r="AD157" s="497" t="str">
        <f t="shared" si="89"/>
        <v>Engines, pumps, turbines</v>
      </c>
      <c r="AE157" s="497">
        <f t="shared" si="90"/>
        <v>9</v>
      </c>
      <c r="AF157" s="497">
        <f t="shared" si="91"/>
        <v>8</v>
      </c>
      <c r="AG157" s="497">
        <f t="shared" si="92"/>
        <v>9</v>
      </c>
      <c r="AH157" s="497">
        <f t="shared" si="93"/>
        <v>8</v>
      </c>
      <c r="AI157" s="497">
        <f t="shared" si="94"/>
        <v>7</v>
      </c>
      <c r="AJ157" s="497">
        <f t="shared" si="95"/>
        <v>11</v>
      </c>
      <c r="AK157" s="497">
        <f t="shared" si="96"/>
        <v>11</v>
      </c>
      <c r="AL157" s="497">
        <f t="shared" si="97"/>
        <v>11</v>
      </c>
      <c r="AM157" s="497">
        <f t="shared" si="98"/>
        <v>11</v>
      </c>
      <c r="AN157" s="497">
        <f t="shared" si="99"/>
        <v>11</v>
      </c>
      <c r="AO157" s="497">
        <f t="shared" si="100"/>
        <v>11</v>
      </c>
      <c r="AP157" s="497">
        <f t="shared" si="101"/>
        <v>11</v>
      </c>
      <c r="AQ157" s="497">
        <f t="shared" si="102"/>
        <v>11</v>
      </c>
      <c r="AR157" s="497"/>
      <c r="AS157" s="497"/>
      <c r="AT157" s="497"/>
      <c r="AU157" s="497"/>
      <c r="AV157" s="497" t="str">
        <f t="shared" si="86"/>
        <v>Furniture, games</v>
      </c>
      <c r="AW157" s="497">
        <f t="shared" si="103"/>
        <v>8</v>
      </c>
      <c r="AX157" s="497">
        <f t="shared" si="104"/>
        <v>8</v>
      </c>
      <c r="AY157" s="497">
        <f t="shared" si="105"/>
        <v>4</v>
      </c>
      <c r="AZ157" s="497">
        <f t="shared" si="106"/>
        <v>12</v>
      </c>
      <c r="BA157" s="497">
        <f t="shared" si="107"/>
        <v>2</v>
      </c>
      <c r="BB157" s="497">
        <f t="shared" si="108"/>
        <v>2</v>
      </c>
      <c r="BC157" s="497">
        <f t="shared" si="109"/>
        <v>2</v>
      </c>
      <c r="BD157" s="497">
        <f t="shared" si="110"/>
        <v>2</v>
      </c>
      <c r="BE157" s="497">
        <f t="shared" si="111"/>
        <v>2</v>
      </c>
      <c r="BF157" s="497">
        <f t="shared" si="112"/>
        <v>3</v>
      </c>
      <c r="BG157" s="497">
        <f t="shared" si="113"/>
        <v>3</v>
      </c>
      <c r="BH157" s="497">
        <f t="shared" si="114"/>
        <v>3</v>
      </c>
      <c r="BI157" s="497"/>
      <c r="BJ157" s="497"/>
      <c r="BK157" s="497"/>
      <c r="BL157" s="497"/>
      <c r="BM157" s="497" t="str">
        <f t="shared" si="87"/>
        <v>Semiconductors</v>
      </c>
      <c r="BN157" s="497">
        <f t="shared" si="115"/>
        <v>2</v>
      </c>
      <c r="BO157" s="497">
        <f t="shared" si="116"/>
        <v>3</v>
      </c>
      <c r="BP157" s="497">
        <f t="shared" si="117"/>
        <v>4</v>
      </c>
      <c r="BQ157" s="497">
        <f t="shared" si="118"/>
        <v>4</v>
      </c>
      <c r="BR157" s="497">
        <f t="shared" si="119"/>
        <v>4</v>
      </c>
      <c r="BS157" s="497">
        <f t="shared" si="120"/>
        <v>4</v>
      </c>
      <c r="BT157" s="497">
        <f t="shared" si="121"/>
        <v>3</v>
      </c>
      <c r="BU157" s="497">
        <f t="shared" si="122"/>
        <v>3</v>
      </c>
      <c r="BV157" s="497">
        <f t="shared" si="123"/>
        <v>5</v>
      </c>
      <c r="BW157" s="497">
        <f t="shared" si="124"/>
        <v>5</v>
      </c>
      <c r="BX157" s="497">
        <f t="shared" si="125"/>
        <v>4</v>
      </c>
      <c r="BY157" s="497">
        <f t="shared" si="126"/>
        <v>4</v>
      </c>
      <c r="BZ157" s="497">
        <f t="shared" si="154"/>
        <v>3</v>
      </c>
      <c r="CA157" s="497"/>
      <c r="CB157" s="497"/>
      <c r="CC157" s="497"/>
      <c r="CD157" s="497"/>
      <c r="CE157" s="497" t="str">
        <f t="shared" si="88"/>
        <v>Measurement</v>
      </c>
      <c r="CF157" s="497">
        <f t="shared" si="127"/>
        <v>2</v>
      </c>
      <c r="CG157" s="497">
        <f t="shared" si="128"/>
        <v>3</v>
      </c>
      <c r="CH157" s="497">
        <f t="shared" si="129"/>
        <v>3</v>
      </c>
      <c r="CI157" s="497">
        <f t="shared" si="130"/>
        <v>3</v>
      </c>
      <c r="CJ157" s="497">
        <f t="shared" si="131"/>
        <v>3</v>
      </c>
      <c r="CK157" s="497">
        <f t="shared" si="132"/>
        <v>3</v>
      </c>
      <c r="CL157" s="497">
        <f t="shared" si="133"/>
        <v>3</v>
      </c>
      <c r="CM157" s="497">
        <f t="shared" si="134"/>
        <v>2</v>
      </c>
      <c r="CN157" s="497">
        <f t="shared" si="135"/>
        <v>2</v>
      </c>
      <c r="CO157" s="497">
        <f t="shared" si="136"/>
        <v>8</v>
      </c>
      <c r="CP157" s="497">
        <f t="shared" si="137"/>
        <v>2</v>
      </c>
      <c r="CQ157" s="497">
        <f t="shared" si="138"/>
        <v>2</v>
      </c>
      <c r="CR157" s="497">
        <f t="shared" si="139"/>
        <v>2</v>
      </c>
      <c r="CS157" s="497"/>
      <c r="CT157" s="497"/>
      <c r="CU157" s="497"/>
      <c r="CV157" s="497"/>
      <c r="CW157" s="497" t="str">
        <f t="shared" si="140"/>
        <v>Electrical machinery, apparatus, energy</v>
      </c>
      <c r="CX157" s="497">
        <f t="shared" si="141"/>
        <v>5</v>
      </c>
      <c r="CY157" s="497">
        <f t="shared" si="142"/>
        <v>4</v>
      </c>
      <c r="CZ157" s="497">
        <f t="shared" si="143"/>
        <v>4</v>
      </c>
      <c r="DA157" s="497">
        <f t="shared" si="144"/>
        <v>4</v>
      </c>
      <c r="DB157" s="497">
        <f t="shared" si="145"/>
        <v>4</v>
      </c>
      <c r="DC157" s="497">
        <f t="shared" si="146"/>
        <v>4</v>
      </c>
      <c r="DD157" s="497">
        <f t="shared" si="147"/>
        <v>4</v>
      </c>
      <c r="DE157" s="497">
        <f t="shared" si="148"/>
        <v>4</v>
      </c>
      <c r="DF157" s="497">
        <f t="shared" si="149"/>
        <v>4</v>
      </c>
      <c r="DG157" s="497">
        <f t="shared" si="150"/>
        <v>4</v>
      </c>
      <c r="DH157" s="497">
        <f t="shared" si="151"/>
        <v>4</v>
      </c>
      <c r="DI157" s="497">
        <f t="shared" si="152"/>
        <v>4</v>
      </c>
      <c r="DJ157" s="497">
        <f t="shared" si="153"/>
        <v>4</v>
      </c>
      <c r="DK157" s="497"/>
      <c r="DL157" s="497"/>
      <c r="DM157" s="497"/>
      <c r="DN157" s="1347"/>
      <c r="DO157" s="475"/>
      <c r="DP157" s="475"/>
      <c r="DQ157" s="475"/>
      <c r="DR157" s="766"/>
      <c r="DS157" s="474"/>
      <c r="DT157" s="474"/>
      <c r="DU157" s="474"/>
      <c r="DV157" s="474"/>
      <c r="DW157" s="474"/>
      <c r="DX157" s="474"/>
      <c r="DY157" s="474"/>
      <c r="DZ157" s="474"/>
      <c r="EA157" s="474"/>
      <c r="EB157" s="474"/>
      <c r="EC157" s="474"/>
    </row>
    <row r="158" spans="29:133" s="473" customFormat="1">
      <c r="AC158" s="761">
        <f t="shared" si="7"/>
        <v>9</v>
      </c>
      <c r="AD158" s="497" t="str">
        <f t="shared" si="89"/>
        <v>Computer technology</v>
      </c>
      <c r="AE158" s="497">
        <f t="shared" si="90"/>
        <v>4</v>
      </c>
      <c r="AF158" s="497">
        <f t="shared" si="91"/>
        <v>4</v>
      </c>
      <c r="AG158" s="497">
        <f t="shared" si="92"/>
        <v>4</v>
      </c>
      <c r="AH158" s="497">
        <f t="shared" si="93"/>
        <v>3</v>
      </c>
      <c r="AI158" s="497">
        <f t="shared" si="94"/>
        <v>3</v>
      </c>
      <c r="AJ158" s="497">
        <f t="shared" si="95"/>
        <v>3</v>
      </c>
      <c r="AK158" s="497">
        <f t="shared" si="96"/>
        <v>3</v>
      </c>
      <c r="AL158" s="497">
        <f t="shared" si="97"/>
        <v>3</v>
      </c>
      <c r="AM158" s="497">
        <f t="shared" si="98"/>
        <v>3</v>
      </c>
      <c r="AN158" s="497">
        <f t="shared" si="99"/>
        <v>3</v>
      </c>
      <c r="AO158" s="497">
        <f t="shared" si="100"/>
        <v>3</v>
      </c>
      <c r="AP158" s="497">
        <f t="shared" si="101"/>
        <v>3</v>
      </c>
      <c r="AQ158" s="497">
        <f t="shared" si="102"/>
        <v>1</v>
      </c>
      <c r="AR158" s="497"/>
      <c r="AS158" s="497"/>
      <c r="AT158" s="497"/>
      <c r="AU158" s="497"/>
      <c r="AV158" s="497" t="str">
        <f t="shared" si="86"/>
        <v>Engines, pumps, turbines</v>
      </c>
      <c r="AW158" s="497">
        <f t="shared" si="103"/>
        <v>10</v>
      </c>
      <c r="AX158" s="497">
        <f t="shared" si="104"/>
        <v>10</v>
      </c>
      <c r="AY158" s="497">
        <f t="shared" si="105"/>
        <v>10</v>
      </c>
      <c r="AZ158" s="497">
        <f t="shared" si="106"/>
        <v>12</v>
      </c>
      <c r="BA158" s="497">
        <f t="shared" si="107"/>
        <v>12</v>
      </c>
      <c r="BB158" s="497">
        <f t="shared" si="108"/>
        <v>12</v>
      </c>
      <c r="BC158" s="497">
        <f t="shared" si="109"/>
        <v>12</v>
      </c>
      <c r="BD158" s="497">
        <f t="shared" si="110"/>
        <v>12</v>
      </c>
      <c r="BE158" s="497">
        <f t="shared" si="111"/>
        <v>12</v>
      </c>
      <c r="BF158" s="497">
        <f t="shared" si="112"/>
        <v>12</v>
      </c>
      <c r="BG158" s="497">
        <f t="shared" si="113"/>
        <v>12</v>
      </c>
      <c r="BH158" s="497">
        <f t="shared" si="114"/>
        <v>12</v>
      </c>
      <c r="BI158" s="497"/>
      <c r="BJ158" s="497"/>
      <c r="BK158" s="497"/>
      <c r="BL158" s="497"/>
      <c r="BM158" s="497" t="str">
        <f t="shared" si="87"/>
        <v>Audio-visual technology</v>
      </c>
      <c r="BN158" s="497">
        <f t="shared" si="115"/>
        <v>8</v>
      </c>
      <c r="BO158" s="497">
        <f t="shared" si="116"/>
        <v>8</v>
      </c>
      <c r="BP158" s="497">
        <f t="shared" si="117"/>
        <v>12</v>
      </c>
      <c r="BQ158" s="497">
        <f t="shared" si="118"/>
        <v>10</v>
      </c>
      <c r="BR158" s="497">
        <f t="shared" si="119"/>
        <v>12</v>
      </c>
      <c r="BS158" s="497">
        <f t="shared" si="120"/>
        <v>12</v>
      </c>
      <c r="BT158" s="497">
        <f t="shared" si="121"/>
        <v>12</v>
      </c>
      <c r="BU158" s="497">
        <f t="shared" si="122"/>
        <v>12</v>
      </c>
      <c r="BV158" s="497">
        <f t="shared" si="123"/>
        <v>12</v>
      </c>
      <c r="BW158" s="497">
        <f t="shared" si="124"/>
        <v>12</v>
      </c>
      <c r="BX158" s="497">
        <f t="shared" si="125"/>
        <v>9</v>
      </c>
      <c r="BY158" s="497">
        <f t="shared" si="126"/>
        <v>12</v>
      </c>
      <c r="BZ158" s="497">
        <f t="shared" si="154"/>
        <v>9</v>
      </c>
      <c r="CA158" s="497"/>
      <c r="CB158" s="497"/>
      <c r="CC158" s="497"/>
      <c r="CD158" s="497"/>
      <c r="CE158" s="497" t="str">
        <f t="shared" si="88"/>
        <v>Transport</v>
      </c>
      <c r="CF158" s="497">
        <f t="shared" si="127"/>
        <v>11</v>
      </c>
      <c r="CG158" s="497">
        <f t="shared" si="128"/>
        <v>11</v>
      </c>
      <c r="CH158" s="497">
        <f t="shared" si="129"/>
        <v>11</v>
      </c>
      <c r="CI158" s="497">
        <f t="shared" si="130"/>
        <v>11</v>
      </c>
      <c r="CJ158" s="497">
        <f t="shared" si="131"/>
        <v>11</v>
      </c>
      <c r="CK158" s="497">
        <f t="shared" si="132"/>
        <v>11</v>
      </c>
      <c r="CL158" s="497">
        <f t="shared" si="133"/>
        <v>11</v>
      </c>
      <c r="CM158" s="497">
        <f t="shared" si="134"/>
        <v>8</v>
      </c>
      <c r="CN158" s="497">
        <f t="shared" si="135"/>
        <v>10</v>
      </c>
      <c r="CO158" s="497">
        <f t="shared" si="136"/>
        <v>11</v>
      </c>
      <c r="CP158" s="497">
        <f t="shared" si="137"/>
        <v>9</v>
      </c>
      <c r="CQ158" s="497">
        <f t="shared" si="138"/>
        <v>8</v>
      </c>
      <c r="CR158" s="497">
        <f t="shared" si="139"/>
        <v>9</v>
      </c>
      <c r="CS158" s="497"/>
      <c r="CT158" s="497"/>
      <c r="CU158" s="497"/>
      <c r="CV158" s="497"/>
      <c r="CW158" s="497" t="str">
        <f t="shared" si="140"/>
        <v>Medical technology</v>
      </c>
      <c r="CX158" s="497">
        <f t="shared" si="141"/>
        <v>2</v>
      </c>
      <c r="CY158" s="497">
        <f t="shared" si="142"/>
        <v>3</v>
      </c>
      <c r="CZ158" s="497">
        <f t="shared" si="143"/>
        <v>3</v>
      </c>
      <c r="DA158" s="497">
        <f t="shared" si="144"/>
        <v>3</v>
      </c>
      <c r="DB158" s="497">
        <f t="shared" si="145"/>
        <v>3</v>
      </c>
      <c r="DC158" s="497">
        <f t="shared" si="146"/>
        <v>3</v>
      </c>
      <c r="DD158" s="497">
        <f t="shared" si="147"/>
        <v>3</v>
      </c>
      <c r="DE158" s="497">
        <f t="shared" si="148"/>
        <v>3</v>
      </c>
      <c r="DF158" s="497">
        <f t="shared" si="149"/>
        <v>3</v>
      </c>
      <c r="DG158" s="497">
        <f t="shared" si="150"/>
        <v>3</v>
      </c>
      <c r="DH158" s="497">
        <f t="shared" si="151"/>
        <v>3</v>
      </c>
      <c r="DI158" s="497">
        <f t="shared" si="152"/>
        <v>3</v>
      </c>
      <c r="DJ158" s="497">
        <f t="shared" si="153"/>
        <v>3</v>
      </c>
      <c r="DK158" s="497"/>
      <c r="DL158" s="497"/>
      <c r="DM158" s="497"/>
      <c r="DN158" s="1347"/>
      <c r="DO158" s="475"/>
      <c r="DP158" s="475"/>
      <c r="DQ158" s="475"/>
      <c r="DR158" s="766"/>
      <c r="DS158" s="474"/>
      <c r="DT158" s="474"/>
      <c r="DU158" s="474"/>
      <c r="DV158" s="474"/>
      <c r="DW158" s="474"/>
      <c r="DX158" s="474"/>
      <c r="DY158" s="474"/>
      <c r="DZ158" s="474"/>
      <c r="EA158" s="474"/>
      <c r="EB158" s="474"/>
      <c r="EC158" s="474"/>
    </row>
    <row r="159" spans="29:133" s="473" customFormat="1">
      <c r="AC159" s="761">
        <f t="shared" si="7"/>
        <v>10</v>
      </c>
      <c r="AD159" s="497" t="str">
        <f t="shared" si="89"/>
        <v>Digital communication</v>
      </c>
      <c r="AE159" s="497">
        <f t="shared" si="90"/>
        <v>3</v>
      </c>
      <c r="AF159" s="497">
        <f t="shared" si="91"/>
        <v>3</v>
      </c>
      <c r="AG159" s="497">
        <f t="shared" si="92"/>
        <v>2</v>
      </c>
      <c r="AH159" s="497">
        <f t="shared" si="93"/>
        <v>2</v>
      </c>
      <c r="AI159" s="497">
        <f t="shared" si="94"/>
        <v>2</v>
      </c>
      <c r="AJ159" s="497">
        <f t="shared" si="95"/>
        <v>2</v>
      </c>
      <c r="AK159" s="497">
        <f t="shared" si="96"/>
        <v>2</v>
      </c>
      <c r="AL159" s="497">
        <f t="shared" si="97"/>
        <v>1</v>
      </c>
      <c r="AM159" s="497">
        <f t="shared" si="98"/>
        <v>2</v>
      </c>
      <c r="AN159" s="497">
        <f t="shared" si="99"/>
        <v>1</v>
      </c>
      <c r="AO159" s="497">
        <f t="shared" si="100"/>
        <v>1</v>
      </c>
      <c r="AP159" s="497">
        <f t="shared" si="101"/>
        <v>1</v>
      </c>
      <c r="AQ159" s="497">
        <f t="shared" si="102"/>
        <v>3</v>
      </c>
      <c r="AR159" s="497"/>
      <c r="AS159" s="497"/>
      <c r="AT159" s="497"/>
      <c r="AU159" s="497"/>
      <c r="AV159" s="497" t="str">
        <f t="shared" si="86"/>
        <v>Computer technology</v>
      </c>
      <c r="AW159" s="497">
        <f t="shared" si="103"/>
        <v>3</v>
      </c>
      <c r="AX159" s="497">
        <f t="shared" si="104"/>
        <v>2</v>
      </c>
      <c r="AY159" s="497">
        <f t="shared" si="105"/>
        <v>2</v>
      </c>
      <c r="AZ159" s="497">
        <f t="shared" si="106"/>
        <v>2</v>
      </c>
      <c r="BA159" s="497">
        <f t="shared" si="107"/>
        <v>3</v>
      </c>
      <c r="BB159" s="497">
        <f t="shared" si="108"/>
        <v>3</v>
      </c>
      <c r="BC159" s="497">
        <f t="shared" si="109"/>
        <v>3</v>
      </c>
      <c r="BD159" s="497">
        <f t="shared" si="110"/>
        <v>3</v>
      </c>
      <c r="BE159" s="497">
        <f t="shared" si="111"/>
        <v>3</v>
      </c>
      <c r="BF159" s="497">
        <f t="shared" si="112"/>
        <v>2</v>
      </c>
      <c r="BG159" s="497">
        <f t="shared" si="113"/>
        <v>2</v>
      </c>
      <c r="BH159" s="497">
        <f t="shared" si="114"/>
        <v>4</v>
      </c>
      <c r="BI159" s="497"/>
      <c r="BJ159" s="497"/>
      <c r="BK159" s="497"/>
      <c r="BL159" s="497"/>
      <c r="BM159" s="497" t="str">
        <f t="shared" si="87"/>
        <v>Computer technology</v>
      </c>
      <c r="BN159" s="497">
        <f t="shared" si="115"/>
        <v>3</v>
      </c>
      <c r="BO159" s="497">
        <f t="shared" si="116"/>
        <v>2</v>
      </c>
      <c r="BP159" s="497">
        <f t="shared" si="117"/>
        <v>2</v>
      </c>
      <c r="BQ159" s="497">
        <f t="shared" si="118"/>
        <v>2</v>
      </c>
      <c r="BR159" s="497">
        <f t="shared" si="119"/>
        <v>2</v>
      </c>
      <c r="BS159" s="497">
        <f t="shared" si="120"/>
        <v>2</v>
      </c>
      <c r="BT159" s="497">
        <f t="shared" si="121"/>
        <v>2</v>
      </c>
      <c r="BU159" s="497">
        <f t="shared" si="122"/>
        <v>2</v>
      </c>
      <c r="BV159" s="497">
        <f t="shared" si="123"/>
        <v>2</v>
      </c>
      <c r="BW159" s="497">
        <f t="shared" si="124"/>
        <v>2</v>
      </c>
      <c r="BX159" s="497">
        <f t="shared" si="125"/>
        <v>2</v>
      </c>
      <c r="BY159" s="497">
        <f t="shared" si="126"/>
        <v>2</v>
      </c>
      <c r="BZ159" s="497">
        <f t="shared" si="154"/>
        <v>2</v>
      </c>
      <c r="CA159" s="497"/>
      <c r="CB159" s="497"/>
      <c r="CC159" s="497"/>
      <c r="CD159" s="497"/>
      <c r="CE159" s="497" t="str">
        <f t="shared" si="88"/>
        <v>Chemical engineering</v>
      </c>
      <c r="CF159" s="497">
        <f t="shared" si="127"/>
        <v>11</v>
      </c>
      <c r="CG159" s="497">
        <f t="shared" si="128"/>
        <v>11</v>
      </c>
      <c r="CH159" s="497">
        <f t="shared" si="129"/>
        <v>11</v>
      </c>
      <c r="CI159" s="497">
        <f t="shared" si="130"/>
        <v>11</v>
      </c>
      <c r="CJ159" s="497">
        <f t="shared" si="131"/>
        <v>11</v>
      </c>
      <c r="CK159" s="497">
        <f t="shared" si="132"/>
        <v>11</v>
      </c>
      <c r="CL159" s="497">
        <f t="shared" si="133"/>
        <v>11</v>
      </c>
      <c r="CM159" s="497">
        <f t="shared" si="134"/>
        <v>9</v>
      </c>
      <c r="CN159" s="497">
        <f t="shared" si="135"/>
        <v>7</v>
      </c>
      <c r="CO159" s="497">
        <f t="shared" si="136"/>
        <v>11</v>
      </c>
      <c r="CP159" s="497">
        <f t="shared" si="137"/>
        <v>7</v>
      </c>
      <c r="CQ159" s="497">
        <f t="shared" si="138"/>
        <v>7</v>
      </c>
      <c r="CR159" s="497">
        <f t="shared" si="139"/>
        <v>7</v>
      </c>
      <c r="CS159" s="497"/>
      <c r="CT159" s="497"/>
      <c r="CU159" s="497"/>
      <c r="CV159" s="497"/>
      <c r="CW159" s="497" t="str">
        <f t="shared" si="140"/>
        <v>Digital communication</v>
      </c>
      <c r="CX159" s="497">
        <f t="shared" si="141"/>
        <v>4</v>
      </c>
      <c r="CY159" s="497">
        <f t="shared" si="142"/>
        <v>2</v>
      </c>
      <c r="CZ159" s="497">
        <f t="shared" si="143"/>
        <v>2</v>
      </c>
      <c r="DA159" s="497">
        <f t="shared" si="144"/>
        <v>2</v>
      </c>
      <c r="DB159" s="497">
        <f t="shared" si="145"/>
        <v>2</v>
      </c>
      <c r="DC159" s="497">
        <f t="shared" si="146"/>
        <v>2</v>
      </c>
      <c r="DD159" s="497">
        <f t="shared" si="147"/>
        <v>2</v>
      </c>
      <c r="DE159" s="497">
        <f t="shared" si="148"/>
        <v>2</v>
      </c>
      <c r="DF159" s="497">
        <f t="shared" si="149"/>
        <v>2</v>
      </c>
      <c r="DG159" s="497">
        <f t="shared" si="150"/>
        <v>2</v>
      </c>
      <c r="DH159" s="497">
        <f t="shared" si="151"/>
        <v>2</v>
      </c>
      <c r="DI159" s="497">
        <f t="shared" si="152"/>
        <v>2</v>
      </c>
      <c r="DJ159" s="497">
        <f t="shared" si="153"/>
        <v>2</v>
      </c>
      <c r="DK159" s="497"/>
      <c r="DL159" s="497"/>
      <c r="DM159" s="497"/>
      <c r="DN159" s="1347"/>
      <c r="DO159" s="475"/>
      <c r="DP159" s="475"/>
      <c r="DQ159" s="475"/>
      <c r="DR159" s="766"/>
      <c r="DS159" s="474"/>
      <c r="DT159" s="474"/>
      <c r="DU159" s="474"/>
      <c r="DV159" s="474"/>
      <c r="DW159" s="474"/>
      <c r="DX159" s="474"/>
      <c r="DY159" s="474"/>
      <c r="DZ159" s="474"/>
      <c r="EA159" s="474"/>
      <c r="EB159" s="474"/>
      <c r="EC159" s="474"/>
    </row>
    <row r="160" spans="29:133" s="473" customFormat="1">
      <c r="AC160" s="761">
        <f t="shared" si="7"/>
        <v>11</v>
      </c>
      <c r="AD160" s="497" t="str">
        <f t="shared" si="89"/>
        <v>Medical technology</v>
      </c>
      <c r="AE160" s="497">
        <f t="shared" si="90"/>
        <v>1</v>
      </c>
      <c r="AF160" s="497">
        <f t="shared" si="91"/>
        <v>1</v>
      </c>
      <c r="AG160" s="497">
        <f t="shared" si="92"/>
        <v>1</v>
      </c>
      <c r="AH160" s="497">
        <f t="shared" si="93"/>
        <v>1</v>
      </c>
      <c r="AI160" s="497">
        <f t="shared" si="94"/>
        <v>1</v>
      </c>
      <c r="AJ160" s="497">
        <f t="shared" si="95"/>
        <v>1</v>
      </c>
      <c r="AK160" s="497">
        <f t="shared" si="96"/>
        <v>1</v>
      </c>
      <c r="AL160" s="497">
        <f t="shared" si="97"/>
        <v>2</v>
      </c>
      <c r="AM160" s="497">
        <f t="shared" si="98"/>
        <v>1</v>
      </c>
      <c r="AN160" s="497">
        <f t="shared" si="99"/>
        <v>2</v>
      </c>
      <c r="AO160" s="497">
        <f t="shared" si="100"/>
        <v>2</v>
      </c>
      <c r="AP160" s="497">
        <f t="shared" si="101"/>
        <v>2</v>
      </c>
      <c r="AQ160" s="497">
        <f t="shared" si="102"/>
        <v>4</v>
      </c>
      <c r="AR160" s="497"/>
      <c r="AS160" s="497"/>
      <c r="AT160" s="497"/>
      <c r="AU160" s="497"/>
      <c r="AV160" s="497" t="str">
        <f t="shared" si="86"/>
        <v>IT methods for management</v>
      </c>
      <c r="AW160" s="497">
        <f t="shared" si="103"/>
        <v>12</v>
      </c>
      <c r="AX160" s="497">
        <f t="shared" si="104"/>
        <v>12</v>
      </c>
      <c r="AY160" s="497">
        <f t="shared" si="105"/>
        <v>12</v>
      </c>
      <c r="AZ160" s="497">
        <f t="shared" si="106"/>
        <v>12</v>
      </c>
      <c r="BA160" s="497">
        <f t="shared" si="107"/>
        <v>12</v>
      </c>
      <c r="BB160" s="497">
        <f t="shared" si="108"/>
        <v>12</v>
      </c>
      <c r="BC160" s="497">
        <f t="shared" si="109"/>
        <v>12</v>
      </c>
      <c r="BD160" s="497">
        <f t="shared" si="110"/>
        <v>12</v>
      </c>
      <c r="BE160" s="497">
        <f t="shared" si="111"/>
        <v>12</v>
      </c>
      <c r="BF160" s="497">
        <f t="shared" si="112"/>
        <v>10</v>
      </c>
      <c r="BG160" s="497">
        <f t="shared" si="113"/>
        <v>9</v>
      </c>
      <c r="BH160" s="497">
        <f t="shared" si="114"/>
        <v>2</v>
      </c>
      <c r="BI160" s="497"/>
      <c r="BJ160" s="497"/>
      <c r="BK160" s="497"/>
      <c r="BL160" s="497"/>
      <c r="BM160" s="497" t="str">
        <f t="shared" si="87"/>
        <v>Electrical machinery, apparatus, energy</v>
      </c>
      <c r="BN160" s="497">
        <f t="shared" si="115"/>
        <v>1</v>
      </c>
      <c r="BO160" s="497">
        <f t="shared" si="116"/>
        <v>1</v>
      </c>
      <c r="BP160" s="497">
        <f t="shared" si="117"/>
        <v>1</v>
      </c>
      <c r="BQ160" s="497">
        <f t="shared" si="118"/>
        <v>1</v>
      </c>
      <c r="BR160" s="497">
        <f t="shared" si="119"/>
        <v>1</v>
      </c>
      <c r="BS160" s="497">
        <f t="shared" si="120"/>
        <v>1</v>
      </c>
      <c r="BT160" s="497">
        <f t="shared" si="121"/>
        <v>1</v>
      </c>
      <c r="BU160" s="497">
        <f t="shared" si="122"/>
        <v>1</v>
      </c>
      <c r="BV160" s="497">
        <f t="shared" si="123"/>
        <v>1</v>
      </c>
      <c r="BW160" s="497">
        <f t="shared" si="124"/>
        <v>1</v>
      </c>
      <c r="BX160" s="497">
        <f t="shared" si="125"/>
        <v>1</v>
      </c>
      <c r="BY160" s="497">
        <f t="shared" si="126"/>
        <v>1</v>
      </c>
      <c r="BZ160" s="497">
        <f t="shared" si="154"/>
        <v>1</v>
      </c>
      <c r="CA160" s="497"/>
      <c r="CB160" s="497"/>
      <c r="CC160" s="497"/>
      <c r="CD160" s="497"/>
      <c r="CE160" s="497" t="str">
        <f t="shared" si="88"/>
        <v>Materials, metallurgy</v>
      </c>
      <c r="CF160" s="497">
        <f t="shared" si="127"/>
        <v>6</v>
      </c>
      <c r="CG160" s="497">
        <f t="shared" si="128"/>
        <v>11</v>
      </c>
      <c r="CH160" s="497">
        <f t="shared" si="129"/>
        <v>10</v>
      </c>
      <c r="CI160" s="497">
        <f t="shared" si="130"/>
        <v>10</v>
      </c>
      <c r="CJ160" s="497">
        <f t="shared" si="131"/>
        <v>11</v>
      </c>
      <c r="CK160" s="497">
        <f t="shared" si="132"/>
        <v>11</v>
      </c>
      <c r="CL160" s="497">
        <f t="shared" si="133"/>
        <v>11</v>
      </c>
      <c r="CM160" s="497">
        <f t="shared" si="134"/>
        <v>11</v>
      </c>
      <c r="CN160" s="497">
        <f t="shared" si="135"/>
        <v>11</v>
      </c>
      <c r="CO160" s="497">
        <f t="shared" si="136"/>
        <v>11</v>
      </c>
      <c r="CP160" s="497">
        <f t="shared" si="137"/>
        <v>11</v>
      </c>
      <c r="CQ160" s="497">
        <f t="shared" si="138"/>
        <v>11</v>
      </c>
      <c r="CR160" s="497">
        <f t="shared" si="139"/>
        <v>10</v>
      </c>
      <c r="CS160" s="497"/>
      <c r="CT160" s="497"/>
      <c r="CU160" s="497"/>
      <c r="CV160" s="497"/>
      <c r="CW160" s="497" t="str">
        <f t="shared" si="140"/>
        <v>Telecommunications</v>
      </c>
      <c r="CX160" s="497">
        <f t="shared" si="141"/>
        <v>9</v>
      </c>
      <c r="CY160" s="497">
        <f t="shared" si="142"/>
        <v>10</v>
      </c>
      <c r="CZ160" s="497">
        <f t="shared" si="143"/>
        <v>12</v>
      </c>
      <c r="DA160" s="497">
        <f t="shared" si="144"/>
        <v>12</v>
      </c>
      <c r="DB160" s="497">
        <f t="shared" si="145"/>
        <v>12</v>
      </c>
      <c r="DC160" s="497">
        <f t="shared" si="146"/>
        <v>12</v>
      </c>
      <c r="DD160" s="497">
        <f t="shared" si="147"/>
        <v>12</v>
      </c>
      <c r="DE160" s="497">
        <f t="shared" si="148"/>
        <v>12</v>
      </c>
      <c r="DF160" s="497">
        <f t="shared" si="149"/>
        <v>12</v>
      </c>
      <c r="DG160" s="497">
        <f t="shared" si="150"/>
        <v>12</v>
      </c>
      <c r="DH160" s="497">
        <f t="shared" si="151"/>
        <v>12</v>
      </c>
      <c r="DI160" s="497">
        <f t="shared" si="152"/>
        <v>12</v>
      </c>
      <c r="DJ160" s="497">
        <f t="shared" si="153"/>
        <v>12</v>
      </c>
      <c r="DK160" s="497"/>
      <c r="DL160" s="497"/>
      <c r="DM160" s="497"/>
      <c r="DN160" s="1347"/>
      <c r="DO160" s="475"/>
      <c r="DP160" s="475"/>
      <c r="DQ160" s="475"/>
      <c r="DR160" s="766"/>
      <c r="DS160" s="474"/>
      <c r="DT160" s="474"/>
      <c r="DU160" s="474"/>
      <c r="DV160" s="474"/>
      <c r="DW160" s="474"/>
      <c r="DX160" s="474"/>
      <c r="DY160" s="474"/>
      <c r="DZ160" s="474"/>
      <c r="EA160" s="474"/>
      <c r="EB160" s="474"/>
      <c r="EC160" s="474"/>
    </row>
    <row r="161" spans="29:133" s="473" customFormat="1">
      <c r="AC161" s="761">
        <f t="shared" si="7"/>
        <v>12</v>
      </c>
      <c r="AD161" s="497" t="str">
        <f t="shared" ref="AD161:AD167" si="155">IF(AC109&lt;AT$133,VLOOKUP(AC109,AU$98:AV$132,2,FALSE),"")</f>
        <v/>
      </c>
      <c r="AE161" s="497"/>
      <c r="AF161" s="497"/>
      <c r="AG161" s="497"/>
      <c r="AH161" s="497"/>
      <c r="AI161" s="497"/>
      <c r="AJ161" s="497"/>
      <c r="AK161" s="497"/>
      <c r="AL161" s="497"/>
      <c r="AM161" s="497"/>
      <c r="AN161" s="497"/>
      <c r="AO161" s="497"/>
      <c r="AP161" s="497"/>
      <c r="AQ161" s="497"/>
      <c r="AR161" s="497"/>
      <c r="AS161" s="497"/>
      <c r="AT161" s="497"/>
      <c r="AU161" s="497"/>
      <c r="AV161" s="497" t="str">
        <f t="shared" si="86"/>
        <v>Electrical machinery, apparatus, energy</v>
      </c>
      <c r="AW161" s="497">
        <f t="shared" si="103"/>
        <v>1</v>
      </c>
      <c r="AX161" s="497">
        <f t="shared" si="104"/>
        <v>1</v>
      </c>
      <c r="AY161" s="497">
        <f t="shared" si="105"/>
        <v>1</v>
      </c>
      <c r="AZ161" s="497">
        <f t="shared" si="106"/>
        <v>1</v>
      </c>
      <c r="BA161" s="497">
        <f t="shared" si="107"/>
        <v>1</v>
      </c>
      <c r="BB161" s="497">
        <f t="shared" si="108"/>
        <v>1</v>
      </c>
      <c r="BC161" s="497">
        <f t="shared" si="109"/>
        <v>1</v>
      </c>
      <c r="BD161" s="497">
        <f t="shared" si="110"/>
        <v>1</v>
      </c>
      <c r="BE161" s="497">
        <f t="shared" si="111"/>
        <v>1</v>
      </c>
      <c r="BF161" s="497">
        <f t="shared" si="112"/>
        <v>1</v>
      </c>
      <c r="BG161" s="497">
        <f t="shared" si="113"/>
        <v>1</v>
      </c>
      <c r="BH161" s="497">
        <f t="shared" si="114"/>
        <v>1</v>
      </c>
      <c r="BI161" s="497"/>
      <c r="BJ161" s="497"/>
      <c r="BK161" s="497"/>
      <c r="BL161" s="497"/>
      <c r="BM161" s="497" t="str">
        <f t="shared" si="87"/>
        <v>Optics</v>
      </c>
      <c r="BN161" s="497">
        <f t="shared" si="115"/>
        <v>10</v>
      </c>
      <c r="BO161" s="497">
        <f t="shared" si="116"/>
        <v>12</v>
      </c>
      <c r="BP161" s="497">
        <f t="shared" si="117"/>
        <v>12</v>
      </c>
      <c r="BQ161" s="497">
        <f t="shared" si="118"/>
        <v>12</v>
      </c>
      <c r="BR161" s="497">
        <f t="shared" si="119"/>
        <v>12</v>
      </c>
      <c r="BS161" s="497">
        <f t="shared" si="120"/>
        <v>12</v>
      </c>
      <c r="BT161" s="497">
        <f t="shared" si="121"/>
        <v>12</v>
      </c>
      <c r="BU161" s="497">
        <f t="shared" si="122"/>
        <v>12</v>
      </c>
      <c r="BV161" s="497">
        <f t="shared" si="123"/>
        <v>12</v>
      </c>
      <c r="BW161" s="497">
        <f t="shared" si="124"/>
        <v>12</v>
      </c>
      <c r="BX161" s="497">
        <f t="shared" si="125"/>
        <v>12</v>
      </c>
      <c r="BY161" s="497">
        <f t="shared" si="126"/>
        <v>12</v>
      </c>
      <c r="BZ161" s="497">
        <f t="shared" si="154"/>
        <v>12</v>
      </c>
      <c r="CA161" s="497"/>
      <c r="CB161" s="497"/>
      <c r="CC161" s="497"/>
      <c r="CD161" s="497"/>
      <c r="CE161" s="497" t="str">
        <f t="shared" si="88"/>
        <v>Electrical machinery, apparatus, energy</v>
      </c>
      <c r="CF161" s="497">
        <f t="shared" si="127"/>
        <v>1</v>
      </c>
      <c r="CG161" s="497">
        <f t="shared" si="128"/>
        <v>1</v>
      </c>
      <c r="CH161" s="497">
        <f t="shared" si="129"/>
        <v>1</v>
      </c>
      <c r="CI161" s="497">
        <f t="shared" si="130"/>
        <v>1</v>
      </c>
      <c r="CJ161" s="497">
        <f t="shared" si="131"/>
        <v>1</v>
      </c>
      <c r="CK161" s="497">
        <f t="shared" si="132"/>
        <v>2</v>
      </c>
      <c r="CL161" s="497">
        <f t="shared" si="133"/>
        <v>2</v>
      </c>
      <c r="CM161" s="497">
        <f t="shared" si="134"/>
        <v>3</v>
      </c>
      <c r="CN161" s="497">
        <f t="shared" si="135"/>
        <v>3</v>
      </c>
      <c r="CO161" s="497">
        <f t="shared" si="136"/>
        <v>3</v>
      </c>
      <c r="CP161" s="497">
        <f t="shared" si="137"/>
        <v>3</v>
      </c>
      <c r="CQ161" s="497">
        <f t="shared" si="138"/>
        <v>3</v>
      </c>
      <c r="CR161" s="497">
        <f t="shared" si="139"/>
        <v>3</v>
      </c>
      <c r="CS161" s="497"/>
      <c r="CT161" s="497"/>
      <c r="CU161" s="497"/>
      <c r="CV161" s="497"/>
      <c r="CW161" s="497" t="str">
        <f t="shared" si="140"/>
        <v>Computer technology</v>
      </c>
      <c r="CX161" s="497">
        <f t="shared" si="141"/>
        <v>1</v>
      </c>
      <c r="CY161" s="497">
        <f t="shared" si="142"/>
        <v>1</v>
      </c>
      <c r="CZ161" s="497">
        <f t="shared" si="143"/>
        <v>1</v>
      </c>
      <c r="DA161" s="497">
        <f t="shared" si="144"/>
        <v>1</v>
      </c>
      <c r="DB161" s="497">
        <f t="shared" si="145"/>
        <v>1</v>
      </c>
      <c r="DC161" s="497">
        <f t="shared" si="146"/>
        <v>1</v>
      </c>
      <c r="DD161" s="497">
        <f t="shared" si="147"/>
        <v>1</v>
      </c>
      <c r="DE161" s="497">
        <f t="shared" si="148"/>
        <v>1</v>
      </c>
      <c r="DF161" s="497">
        <f t="shared" si="149"/>
        <v>1</v>
      </c>
      <c r="DG161" s="497">
        <f t="shared" si="150"/>
        <v>1</v>
      </c>
      <c r="DH161" s="497">
        <f t="shared" si="151"/>
        <v>1</v>
      </c>
      <c r="DI161" s="497">
        <f t="shared" si="152"/>
        <v>1</v>
      </c>
      <c r="DJ161" s="497">
        <f t="shared" si="153"/>
        <v>1</v>
      </c>
      <c r="DK161" s="497"/>
      <c r="DL161" s="497"/>
      <c r="DM161" s="497"/>
      <c r="DN161" s="1347"/>
      <c r="DO161" s="475"/>
      <c r="DP161" s="475"/>
      <c r="DQ161" s="475"/>
      <c r="DR161" s="766"/>
      <c r="DS161" s="474"/>
      <c r="DT161" s="474"/>
      <c r="DU161" s="474"/>
      <c r="DV161" s="474"/>
      <c r="DW161" s="474"/>
      <c r="DX161" s="474"/>
      <c r="DY161" s="474"/>
      <c r="DZ161" s="474"/>
      <c r="EA161" s="474"/>
      <c r="EB161" s="474"/>
      <c r="EC161" s="474"/>
    </row>
    <row r="162" spans="29:133" s="473" customFormat="1">
      <c r="AC162" s="761">
        <f t="shared" si="7"/>
        <v>13</v>
      </c>
      <c r="AD162" s="497" t="str">
        <f t="shared" si="155"/>
        <v/>
      </c>
      <c r="AE162" s="497"/>
      <c r="AF162" s="497"/>
      <c r="AG162" s="497"/>
      <c r="AH162" s="497"/>
      <c r="AI162" s="497"/>
      <c r="AJ162" s="497"/>
      <c r="AK162" s="497"/>
      <c r="AL162" s="497"/>
      <c r="AM162" s="497"/>
      <c r="AN162" s="497"/>
      <c r="AO162" s="497"/>
      <c r="AP162" s="497"/>
      <c r="AQ162" s="497"/>
      <c r="AR162" s="497"/>
      <c r="AS162" s="497"/>
      <c r="AT162" s="497"/>
      <c r="AU162" s="497"/>
      <c r="AV162" s="497" t="str">
        <f t="shared" si="86"/>
        <v/>
      </c>
      <c r="AW162" s="497"/>
      <c r="AX162" s="497"/>
      <c r="AY162" s="497"/>
      <c r="AZ162" s="497"/>
      <c r="BA162" s="497"/>
      <c r="BB162" s="497"/>
      <c r="BC162" s="497"/>
      <c r="BD162" s="497"/>
      <c r="BE162" s="497"/>
      <c r="BF162" s="497"/>
      <c r="BG162" s="511"/>
      <c r="BH162" s="511"/>
      <c r="BI162" s="511"/>
      <c r="BJ162" s="511"/>
      <c r="BK162" s="511"/>
      <c r="BL162" s="511"/>
      <c r="BM162" s="511" t="str">
        <f t="shared" si="87"/>
        <v/>
      </c>
      <c r="BN162" s="511"/>
      <c r="BO162" s="511"/>
      <c r="BP162" s="511"/>
      <c r="BQ162" s="511"/>
      <c r="BR162" s="511"/>
      <c r="BS162" s="511"/>
      <c r="BT162" s="511"/>
      <c r="BU162" s="511"/>
      <c r="BV162" s="511"/>
      <c r="BW162" s="511"/>
      <c r="BX162" s="511"/>
      <c r="BY162" s="511"/>
      <c r="BZ162" s="511"/>
      <c r="CA162" s="511"/>
      <c r="CB162" s="511"/>
      <c r="CC162" s="511"/>
      <c r="CD162" s="511"/>
      <c r="CE162" s="511" t="str">
        <f t="shared" si="88"/>
        <v>IT methods for management</v>
      </c>
      <c r="CF162" s="511">
        <f t="shared" si="127"/>
        <v>11</v>
      </c>
      <c r="CG162" s="511">
        <f t="shared" si="128"/>
        <v>11</v>
      </c>
      <c r="CH162" s="511">
        <f t="shared" si="129"/>
        <v>11</v>
      </c>
      <c r="CI162" s="511">
        <f t="shared" si="130"/>
        <v>11</v>
      </c>
      <c r="CJ162" s="511">
        <f t="shared" si="131"/>
        <v>11</v>
      </c>
      <c r="CK162" s="511">
        <f t="shared" si="132"/>
        <v>11</v>
      </c>
      <c r="CL162" s="511">
        <f t="shared" si="133"/>
        <v>11</v>
      </c>
      <c r="CM162" s="511">
        <f t="shared" si="134"/>
        <v>11</v>
      </c>
      <c r="CN162" s="511">
        <f t="shared" si="135"/>
        <v>11</v>
      </c>
      <c r="CO162" s="511">
        <f t="shared" si="136"/>
        <v>11</v>
      </c>
      <c r="CP162" s="511">
        <f t="shared" si="137"/>
        <v>10</v>
      </c>
      <c r="CQ162" s="511">
        <f t="shared" si="138"/>
        <v>9</v>
      </c>
      <c r="CR162" s="511">
        <f t="shared" si="139"/>
        <v>8</v>
      </c>
      <c r="CS162" s="511"/>
      <c r="CT162" s="511"/>
      <c r="CU162" s="511"/>
      <c r="CV162" s="511"/>
      <c r="CW162" s="511" t="str">
        <f t="shared" si="140"/>
        <v/>
      </c>
      <c r="CX162" s="511"/>
      <c r="CY162" s="511"/>
      <c r="CZ162" s="511"/>
      <c r="DA162" s="511"/>
      <c r="DB162" s="511"/>
      <c r="DC162" s="511"/>
      <c r="DD162" s="511"/>
      <c r="DE162" s="511"/>
      <c r="DF162" s="511"/>
      <c r="DG162" s="511"/>
      <c r="DH162" s="511"/>
      <c r="DI162" s="511"/>
      <c r="DJ162" s="511"/>
      <c r="DK162" s="773"/>
      <c r="DL162" s="773"/>
      <c r="DM162" s="773"/>
      <c r="DN162" s="475"/>
      <c r="DO162" s="475"/>
      <c r="DP162" s="475"/>
      <c r="DQ162" s="475"/>
      <c r="DR162" s="766"/>
      <c r="DS162" s="474"/>
      <c r="DT162" s="474"/>
      <c r="DU162" s="474"/>
      <c r="DV162" s="474"/>
      <c r="DW162" s="474"/>
      <c r="DX162" s="474"/>
      <c r="DY162" s="474"/>
      <c r="DZ162" s="474"/>
      <c r="EA162" s="474"/>
      <c r="EB162" s="474"/>
      <c r="EC162" s="474"/>
    </row>
    <row r="163" spans="29:133" s="473" customFormat="1">
      <c r="AC163" s="761">
        <f t="shared" ref="AC163:AC176" si="156">AC162+1</f>
        <v>14</v>
      </c>
      <c r="AD163" s="497" t="str">
        <f t="shared" si="155"/>
        <v/>
      </c>
      <c r="AE163" s="497"/>
      <c r="AF163" s="497"/>
      <c r="AG163" s="497"/>
      <c r="AH163" s="497"/>
      <c r="AI163" s="497"/>
      <c r="AJ163" s="497"/>
      <c r="AK163" s="497"/>
      <c r="AL163" s="497"/>
      <c r="AM163" s="497"/>
      <c r="AN163" s="497"/>
      <c r="AO163" s="497"/>
      <c r="AP163" s="497"/>
      <c r="AQ163" s="497"/>
      <c r="AR163" s="497"/>
      <c r="AS163" s="497"/>
      <c r="AT163" s="497"/>
      <c r="AU163" s="497"/>
      <c r="AV163" s="497" t="str">
        <f t="shared" si="86"/>
        <v/>
      </c>
      <c r="AW163" s="497"/>
      <c r="AX163" s="497"/>
      <c r="AY163" s="497"/>
      <c r="AZ163" s="497"/>
      <c r="BA163" s="497"/>
      <c r="BB163" s="497"/>
      <c r="BC163" s="497"/>
      <c r="BD163" s="497"/>
      <c r="BE163" s="497"/>
      <c r="BF163" s="497"/>
      <c r="BG163" s="511"/>
      <c r="BH163" s="511"/>
      <c r="BI163" s="511"/>
      <c r="BJ163" s="511"/>
      <c r="BK163" s="511"/>
      <c r="BL163" s="511"/>
      <c r="BM163" s="511" t="str">
        <f t="shared" si="87"/>
        <v/>
      </c>
      <c r="BN163" s="511"/>
      <c r="BO163" s="511"/>
      <c r="BP163" s="511"/>
      <c r="BQ163" s="511"/>
      <c r="BR163" s="511"/>
      <c r="BS163" s="511"/>
      <c r="BT163" s="511"/>
      <c r="BU163" s="511"/>
      <c r="BV163" s="511"/>
      <c r="BW163" s="511"/>
      <c r="BX163" s="511"/>
      <c r="BY163" s="511"/>
      <c r="BZ163" s="511"/>
      <c r="CA163" s="511"/>
      <c r="CB163" s="511"/>
      <c r="CC163" s="511"/>
      <c r="CD163" s="511"/>
      <c r="CE163" s="511" t="str">
        <f t="shared" si="88"/>
        <v>Handling</v>
      </c>
      <c r="CF163" s="511">
        <f t="shared" si="127"/>
        <v>11</v>
      </c>
      <c r="CG163" s="511">
        <f t="shared" si="128"/>
        <v>11</v>
      </c>
      <c r="CH163" s="511">
        <f t="shared" si="129"/>
        <v>11</v>
      </c>
      <c r="CI163" s="511">
        <f t="shared" si="130"/>
        <v>11</v>
      </c>
      <c r="CJ163" s="511">
        <f t="shared" si="131"/>
        <v>11</v>
      </c>
      <c r="CK163" s="511">
        <f t="shared" si="132"/>
        <v>11</v>
      </c>
      <c r="CL163" s="511">
        <f t="shared" si="133"/>
        <v>11</v>
      </c>
      <c r="CM163" s="511">
        <f t="shared" si="134"/>
        <v>10</v>
      </c>
      <c r="CN163" s="511">
        <f t="shared" si="135"/>
        <v>9</v>
      </c>
      <c r="CO163" s="511">
        <f t="shared" si="136"/>
        <v>11</v>
      </c>
      <c r="CP163" s="511">
        <f t="shared" si="137"/>
        <v>11</v>
      </c>
      <c r="CQ163" s="511">
        <f t="shared" si="138"/>
        <v>11</v>
      </c>
      <c r="CR163" s="511">
        <f t="shared" si="139"/>
        <v>11</v>
      </c>
      <c r="CS163" s="511"/>
      <c r="CT163" s="511"/>
      <c r="CU163" s="511"/>
      <c r="CV163" s="511"/>
      <c r="CW163" s="511" t="str">
        <f t="shared" si="140"/>
        <v/>
      </c>
      <c r="CX163" s="511"/>
      <c r="CY163" s="511"/>
      <c r="CZ163" s="511"/>
      <c r="DA163" s="511"/>
      <c r="DB163" s="511"/>
      <c r="DC163" s="511"/>
      <c r="DD163" s="511"/>
      <c r="DE163" s="511"/>
      <c r="DF163" s="511"/>
      <c r="DG163" s="511"/>
      <c r="DH163" s="511"/>
      <c r="DI163" s="511"/>
      <c r="DJ163" s="511"/>
      <c r="DK163" s="773"/>
      <c r="DL163" s="773"/>
      <c r="DM163" s="773"/>
      <c r="DN163" s="475"/>
      <c r="DO163" s="475"/>
      <c r="DP163" s="475"/>
      <c r="DQ163" s="475"/>
      <c r="DR163" s="766"/>
      <c r="DS163" s="474"/>
      <c r="DT163" s="474"/>
      <c r="DU163" s="474"/>
      <c r="DV163" s="474"/>
      <c r="DW163" s="474"/>
      <c r="DX163" s="474"/>
      <c r="DY163" s="474"/>
      <c r="DZ163" s="474"/>
      <c r="EA163" s="474"/>
      <c r="EB163" s="474"/>
      <c r="EC163" s="474"/>
    </row>
    <row r="164" spans="29:133" s="473" customFormat="1">
      <c r="AC164" s="761">
        <f t="shared" si="156"/>
        <v>15</v>
      </c>
      <c r="AD164" s="497" t="str">
        <f t="shared" si="155"/>
        <v/>
      </c>
      <c r="AE164" s="497"/>
      <c r="AF164" s="497"/>
      <c r="AG164" s="497"/>
      <c r="AH164" s="497"/>
      <c r="AI164" s="497"/>
      <c r="AJ164" s="497"/>
      <c r="AK164" s="497"/>
      <c r="AL164" s="497"/>
      <c r="AM164" s="497"/>
      <c r="AN164" s="497"/>
      <c r="AO164" s="497"/>
      <c r="AP164" s="497"/>
      <c r="AQ164" s="497"/>
      <c r="AR164" s="497"/>
      <c r="AS164" s="497"/>
      <c r="AT164" s="497"/>
      <c r="AU164" s="497"/>
      <c r="AV164" s="497" t="str">
        <f t="shared" si="86"/>
        <v/>
      </c>
      <c r="AW164" s="497"/>
      <c r="AX164" s="497"/>
      <c r="AY164" s="497"/>
      <c r="AZ164" s="497"/>
      <c r="BA164" s="497"/>
      <c r="BB164" s="497"/>
      <c r="BC164" s="497"/>
      <c r="BD164" s="497"/>
      <c r="BE164" s="497"/>
      <c r="BF164" s="497"/>
      <c r="BG164" s="511"/>
      <c r="BH164" s="511"/>
      <c r="BI164" s="511"/>
      <c r="BJ164" s="511"/>
      <c r="BK164" s="511"/>
      <c r="BL164" s="511"/>
      <c r="BM164" s="511" t="str">
        <f t="shared" si="87"/>
        <v/>
      </c>
      <c r="BN164" s="511"/>
      <c r="BO164" s="511"/>
      <c r="BP164" s="511"/>
      <c r="BQ164" s="511"/>
      <c r="BR164" s="511"/>
      <c r="BS164" s="511"/>
      <c r="BT164" s="511"/>
      <c r="BU164" s="511"/>
      <c r="BV164" s="511"/>
      <c r="BW164" s="511"/>
      <c r="BX164" s="511"/>
      <c r="BY164" s="511"/>
      <c r="BZ164" s="511"/>
      <c r="CA164" s="511"/>
      <c r="CB164" s="511"/>
      <c r="CC164" s="511"/>
      <c r="CD164" s="511"/>
      <c r="CE164" s="511" t="str">
        <f t="shared" si="88"/>
        <v>Computer technology</v>
      </c>
      <c r="CF164" s="511">
        <f t="shared" si="127"/>
        <v>3</v>
      </c>
      <c r="CG164" s="511">
        <f t="shared" si="128"/>
        <v>2</v>
      </c>
      <c r="CH164" s="511">
        <f t="shared" si="129"/>
        <v>2</v>
      </c>
      <c r="CI164" s="511">
        <f t="shared" si="130"/>
        <v>2</v>
      </c>
      <c r="CJ164" s="511">
        <f t="shared" si="131"/>
        <v>2</v>
      </c>
      <c r="CK164" s="511">
        <f t="shared" si="132"/>
        <v>1</v>
      </c>
      <c r="CL164" s="511">
        <f t="shared" si="133"/>
        <v>1</v>
      </c>
      <c r="CM164" s="511">
        <f t="shared" si="134"/>
        <v>1</v>
      </c>
      <c r="CN164" s="511">
        <f t="shared" si="135"/>
        <v>1</v>
      </c>
      <c r="CO164" s="511">
        <f t="shared" si="136"/>
        <v>11</v>
      </c>
      <c r="CP164" s="511">
        <f t="shared" si="137"/>
        <v>1</v>
      </c>
      <c r="CQ164" s="511">
        <f t="shared" si="138"/>
        <v>1</v>
      </c>
      <c r="CR164" s="511">
        <f t="shared" si="139"/>
        <v>1</v>
      </c>
      <c r="CS164" s="511"/>
      <c r="CT164" s="511"/>
      <c r="CU164" s="511"/>
      <c r="CV164" s="511"/>
      <c r="CW164" s="511" t="str">
        <f t="shared" si="140"/>
        <v/>
      </c>
      <c r="CX164" s="511"/>
      <c r="CY164" s="511"/>
      <c r="CZ164" s="511"/>
      <c r="DA164" s="511"/>
      <c r="DB164" s="511"/>
      <c r="DC164" s="511"/>
      <c r="DD164" s="511"/>
      <c r="DE164" s="511"/>
      <c r="DF164" s="511"/>
      <c r="DG164" s="511"/>
      <c r="DH164" s="511"/>
      <c r="DI164" s="511"/>
      <c r="DJ164" s="511"/>
      <c r="DK164" s="773"/>
      <c r="DL164" s="773"/>
      <c r="DM164" s="773"/>
      <c r="DN164" s="475"/>
      <c r="DO164" s="475"/>
      <c r="DP164" s="475"/>
      <c r="DQ164" s="475"/>
      <c r="DR164" s="766"/>
      <c r="DS164" s="474"/>
      <c r="DT164" s="474"/>
      <c r="DU164" s="474"/>
      <c r="DV164" s="474"/>
      <c r="DW164" s="474"/>
      <c r="DX164" s="474"/>
      <c r="DY164" s="474"/>
      <c r="DZ164" s="474"/>
      <c r="EA164" s="474"/>
      <c r="EB164" s="474"/>
      <c r="EC164" s="474"/>
    </row>
    <row r="165" spans="29:133" s="473" customFormat="1">
      <c r="AC165" s="761">
        <f t="shared" si="156"/>
        <v>16</v>
      </c>
      <c r="AD165" s="497" t="str">
        <f t="shared" si="155"/>
        <v/>
      </c>
      <c r="AE165" s="497"/>
      <c r="AF165" s="497"/>
      <c r="AG165" s="497"/>
      <c r="AH165" s="497"/>
      <c r="AI165" s="497"/>
      <c r="AJ165" s="497"/>
      <c r="AK165" s="497"/>
      <c r="AL165" s="497"/>
      <c r="AM165" s="497"/>
      <c r="AN165" s="497"/>
      <c r="AO165" s="497"/>
      <c r="AP165" s="497"/>
      <c r="AQ165" s="497"/>
      <c r="AR165" s="497"/>
      <c r="AS165" s="497"/>
      <c r="AT165" s="497"/>
      <c r="AU165" s="497"/>
      <c r="AV165" s="497" t="str">
        <f t="shared" si="86"/>
        <v/>
      </c>
      <c r="AW165" s="497"/>
      <c r="AX165" s="497"/>
      <c r="AY165" s="497"/>
      <c r="AZ165" s="497"/>
      <c r="BA165" s="497"/>
      <c r="BB165" s="497"/>
      <c r="BC165" s="497"/>
      <c r="BD165" s="497"/>
      <c r="BE165" s="497"/>
      <c r="BF165" s="497"/>
      <c r="BG165" s="511"/>
      <c r="BH165" s="511"/>
      <c r="BI165" s="511"/>
      <c r="BJ165" s="511"/>
      <c r="BK165" s="511"/>
      <c r="BL165" s="511"/>
      <c r="BM165" s="511" t="str">
        <f t="shared" si="87"/>
        <v/>
      </c>
      <c r="BN165" s="511"/>
      <c r="BO165" s="511"/>
      <c r="BP165" s="511"/>
      <c r="BQ165" s="511"/>
      <c r="BR165" s="511"/>
      <c r="BS165" s="511"/>
      <c r="BT165" s="511"/>
      <c r="BU165" s="511"/>
      <c r="BV165" s="511"/>
      <c r="BW165" s="511"/>
      <c r="BX165" s="511"/>
      <c r="BY165" s="511"/>
      <c r="BZ165" s="511"/>
      <c r="CA165" s="511"/>
      <c r="CB165" s="511"/>
      <c r="CC165" s="511"/>
      <c r="CD165" s="511"/>
      <c r="CE165" s="511" t="str">
        <f t="shared" si="88"/>
        <v>Medical technology</v>
      </c>
      <c r="CF165" s="511">
        <f t="shared" si="127"/>
        <v>11</v>
      </c>
      <c r="CG165" s="511">
        <f t="shared" si="128"/>
        <v>11</v>
      </c>
      <c r="CH165" s="511">
        <f t="shared" si="129"/>
        <v>11</v>
      </c>
      <c r="CI165" s="511">
        <f t="shared" si="130"/>
        <v>11</v>
      </c>
      <c r="CJ165" s="511">
        <f t="shared" si="131"/>
        <v>11</v>
      </c>
      <c r="CK165" s="511">
        <f t="shared" si="132"/>
        <v>11</v>
      </c>
      <c r="CL165" s="511">
        <f t="shared" si="133"/>
        <v>11</v>
      </c>
      <c r="CM165" s="511">
        <f t="shared" si="134"/>
        <v>11</v>
      </c>
      <c r="CN165" s="511">
        <f t="shared" si="135"/>
        <v>11</v>
      </c>
      <c r="CO165" s="511">
        <f t="shared" si="136"/>
        <v>7</v>
      </c>
      <c r="CP165" s="511">
        <f t="shared" si="137"/>
        <v>8</v>
      </c>
      <c r="CQ165" s="511">
        <f t="shared" si="138"/>
        <v>11</v>
      </c>
      <c r="CR165" s="511">
        <f t="shared" si="139"/>
        <v>11</v>
      </c>
      <c r="CS165" s="511"/>
      <c r="CT165" s="511"/>
      <c r="CU165" s="511"/>
      <c r="CV165" s="511"/>
      <c r="CW165" s="511" t="str">
        <f t="shared" si="140"/>
        <v/>
      </c>
      <c r="CX165" s="511"/>
      <c r="CY165" s="511"/>
      <c r="CZ165" s="511"/>
      <c r="DA165" s="511"/>
      <c r="DB165" s="511"/>
      <c r="DC165" s="511"/>
      <c r="DD165" s="511"/>
      <c r="DE165" s="511"/>
      <c r="DF165" s="511"/>
      <c r="DG165" s="511"/>
      <c r="DH165" s="511"/>
      <c r="DI165" s="511"/>
      <c r="DJ165" s="511"/>
      <c r="DK165" s="773"/>
      <c r="DL165" s="773"/>
      <c r="DM165" s="773"/>
      <c r="DN165" s="475"/>
      <c r="DO165" s="475"/>
      <c r="DP165" s="475"/>
      <c r="DQ165" s="475"/>
      <c r="DR165" s="766"/>
      <c r="DS165" s="474"/>
      <c r="DT165" s="474"/>
      <c r="DU165" s="474"/>
      <c r="DV165" s="474"/>
      <c r="DW165" s="474"/>
      <c r="DX165" s="474"/>
      <c r="DY165" s="474"/>
      <c r="DZ165" s="474"/>
      <c r="EA165" s="474"/>
      <c r="EB165" s="474"/>
      <c r="EC165" s="474"/>
    </row>
    <row r="166" spans="29:133" s="473" customFormat="1">
      <c r="AC166" s="761">
        <f t="shared" si="156"/>
        <v>17</v>
      </c>
      <c r="AD166" s="497" t="str">
        <f t="shared" si="155"/>
        <v/>
      </c>
      <c r="AE166" s="497"/>
      <c r="AF166" s="497"/>
      <c r="AG166" s="497"/>
      <c r="AH166" s="497"/>
      <c r="AI166" s="497"/>
      <c r="AJ166" s="497"/>
      <c r="AK166" s="497"/>
      <c r="AL166" s="497"/>
      <c r="AM166" s="497"/>
      <c r="AN166" s="497"/>
      <c r="AO166" s="497"/>
      <c r="AP166" s="497"/>
      <c r="AQ166" s="497"/>
      <c r="AR166" s="497"/>
      <c r="AS166" s="497"/>
      <c r="AT166" s="497"/>
      <c r="AU166" s="497"/>
      <c r="AV166" s="497" t="str">
        <f t="shared" si="86"/>
        <v/>
      </c>
      <c r="AW166" s="497"/>
      <c r="AX166" s="497"/>
      <c r="AY166" s="497"/>
      <c r="AZ166" s="497"/>
      <c r="BA166" s="497"/>
      <c r="BB166" s="497"/>
      <c r="BC166" s="497"/>
      <c r="BD166" s="497"/>
      <c r="BE166" s="497"/>
      <c r="BF166" s="497"/>
      <c r="BG166" s="511"/>
      <c r="BH166" s="511"/>
      <c r="BI166" s="511"/>
      <c r="BJ166" s="511"/>
      <c r="BK166" s="511"/>
      <c r="BL166" s="511"/>
      <c r="BM166" s="511" t="str">
        <f t="shared" si="87"/>
        <v/>
      </c>
      <c r="BN166" s="511"/>
      <c r="BO166" s="511"/>
      <c r="BP166" s="511"/>
      <c r="BQ166" s="511"/>
      <c r="BR166" s="511"/>
      <c r="BS166" s="511"/>
      <c r="BT166" s="511"/>
      <c r="BU166" s="511"/>
      <c r="BV166" s="511"/>
      <c r="BW166" s="511"/>
      <c r="BX166" s="511"/>
      <c r="BY166" s="511"/>
      <c r="BZ166" s="511"/>
      <c r="CA166" s="511"/>
      <c r="CB166" s="511"/>
      <c r="CC166" s="511"/>
      <c r="CD166" s="511"/>
      <c r="CE166" s="511" t="str">
        <f t="shared" si="88"/>
        <v>Other consumer goods</v>
      </c>
      <c r="CF166" s="511">
        <f t="shared" si="127"/>
        <v>11</v>
      </c>
      <c r="CG166" s="511">
        <f t="shared" si="128"/>
        <v>11</v>
      </c>
      <c r="CH166" s="511">
        <f t="shared" si="129"/>
        <v>11</v>
      </c>
      <c r="CI166" s="511">
        <f t="shared" si="130"/>
        <v>11</v>
      </c>
      <c r="CJ166" s="511">
        <f t="shared" si="131"/>
        <v>11</v>
      </c>
      <c r="CK166" s="511">
        <f t="shared" si="132"/>
        <v>4</v>
      </c>
      <c r="CL166" s="511">
        <f t="shared" si="133"/>
        <v>4</v>
      </c>
      <c r="CM166" s="511">
        <f t="shared" si="134"/>
        <v>11</v>
      </c>
      <c r="CN166" s="511">
        <f t="shared" si="135"/>
        <v>11</v>
      </c>
      <c r="CO166" s="511">
        <f t="shared" si="136"/>
        <v>11</v>
      </c>
      <c r="CP166" s="511">
        <f t="shared" si="137"/>
        <v>11</v>
      </c>
      <c r="CQ166" s="511">
        <f t="shared" si="138"/>
        <v>11</v>
      </c>
      <c r="CR166" s="511">
        <f t="shared" si="139"/>
        <v>11</v>
      </c>
      <c r="CS166" s="511"/>
      <c r="CT166" s="511"/>
      <c r="CU166" s="511"/>
      <c r="CV166" s="511"/>
      <c r="CW166" s="511" t="str">
        <f t="shared" si="140"/>
        <v/>
      </c>
      <c r="CX166" s="511"/>
      <c r="CY166" s="511"/>
      <c r="CZ166" s="511"/>
      <c r="DA166" s="511"/>
      <c r="DB166" s="511"/>
      <c r="DC166" s="511"/>
      <c r="DD166" s="511"/>
      <c r="DE166" s="511"/>
      <c r="DF166" s="511"/>
      <c r="DG166" s="511"/>
      <c r="DH166" s="511"/>
      <c r="DI166" s="511"/>
      <c r="DJ166" s="511"/>
      <c r="DK166" s="773"/>
      <c r="DL166" s="773"/>
      <c r="DM166" s="773"/>
      <c r="DN166" s="475"/>
      <c r="DO166" s="475"/>
      <c r="DP166" s="475"/>
      <c r="DQ166" s="475"/>
      <c r="DR166" s="766"/>
      <c r="DS166" s="474"/>
      <c r="DT166" s="474"/>
      <c r="DU166" s="474"/>
      <c r="DV166" s="474"/>
      <c r="DW166" s="474"/>
      <c r="DX166" s="474"/>
      <c r="DY166" s="474"/>
      <c r="DZ166" s="474"/>
      <c r="EA166" s="474"/>
      <c r="EB166" s="474"/>
      <c r="EC166" s="474"/>
    </row>
    <row r="167" spans="29:133" s="473" customFormat="1">
      <c r="AC167" s="761">
        <f t="shared" si="156"/>
        <v>18</v>
      </c>
      <c r="AD167" s="497" t="str">
        <f t="shared" si="155"/>
        <v/>
      </c>
      <c r="AE167" s="497"/>
      <c r="AF167" s="497"/>
      <c r="AG167" s="497"/>
      <c r="AH167" s="497"/>
      <c r="AI167" s="497"/>
      <c r="AJ167" s="497"/>
      <c r="AK167" s="497"/>
      <c r="AL167" s="497"/>
      <c r="AM167" s="497"/>
      <c r="AN167" s="497"/>
      <c r="AO167" s="497"/>
      <c r="AP167" s="497"/>
      <c r="AQ167" s="497"/>
      <c r="AR167" s="497"/>
      <c r="AS167" s="497"/>
      <c r="AT167" s="497"/>
      <c r="AU167" s="497"/>
      <c r="AV167" s="497" t="str">
        <f t="shared" si="86"/>
        <v/>
      </c>
      <c r="AW167" s="497"/>
      <c r="AX167" s="497"/>
      <c r="AY167" s="497"/>
      <c r="AZ167" s="497"/>
      <c r="BA167" s="497"/>
      <c r="BB167" s="497"/>
      <c r="BC167" s="497"/>
      <c r="BD167" s="497"/>
      <c r="BE167" s="497"/>
      <c r="BF167" s="497"/>
      <c r="BG167" s="511"/>
      <c r="BH167" s="511"/>
      <c r="BI167" s="511"/>
      <c r="BJ167" s="511"/>
      <c r="BK167" s="511"/>
      <c r="BL167" s="511"/>
      <c r="BM167" s="511" t="str">
        <f t="shared" si="87"/>
        <v/>
      </c>
      <c r="BN167" s="511"/>
      <c r="BO167" s="511"/>
      <c r="BP167" s="511"/>
      <c r="BQ167" s="511"/>
      <c r="BR167" s="511"/>
      <c r="BS167" s="511"/>
      <c r="BT167" s="511"/>
      <c r="BU167" s="511"/>
      <c r="BV167" s="511"/>
      <c r="BW167" s="511"/>
      <c r="BX167" s="511"/>
      <c r="BY167" s="511"/>
      <c r="BZ167" s="511"/>
      <c r="CA167" s="511"/>
      <c r="CB167" s="511"/>
      <c r="CC167" s="511"/>
      <c r="CD167" s="511"/>
      <c r="CE167" s="511" t="str">
        <f t="shared" si="88"/>
        <v>Biotechnology</v>
      </c>
      <c r="CF167" s="511">
        <f t="shared" si="127"/>
        <v>11</v>
      </c>
      <c r="CG167" s="511">
        <f t="shared" si="128"/>
        <v>11</v>
      </c>
      <c r="CH167" s="511">
        <f t="shared" si="129"/>
        <v>11</v>
      </c>
      <c r="CI167" s="511">
        <f t="shared" si="130"/>
        <v>11</v>
      </c>
      <c r="CJ167" s="511">
        <f t="shared" si="131"/>
        <v>11</v>
      </c>
      <c r="CK167" s="511">
        <f t="shared" si="132"/>
        <v>11</v>
      </c>
      <c r="CL167" s="511">
        <f t="shared" si="133"/>
        <v>11</v>
      </c>
      <c r="CM167" s="511">
        <f t="shared" si="134"/>
        <v>11</v>
      </c>
      <c r="CN167" s="511">
        <f t="shared" si="135"/>
        <v>11</v>
      </c>
      <c r="CO167" s="511">
        <f t="shared" si="136"/>
        <v>4</v>
      </c>
      <c r="CP167" s="511">
        <f t="shared" si="137"/>
        <v>11</v>
      </c>
      <c r="CQ167" s="511">
        <f t="shared" si="138"/>
        <v>11</v>
      </c>
      <c r="CR167" s="511">
        <f t="shared" si="139"/>
        <v>11</v>
      </c>
      <c r="CS167" s="511"/>
      <c r="CT167" s="511"/>
      <c r="CU167" s="511"/>
      <c r="CV167" s="511"/>
      <c r="CW167" s="511" t="str">
        <f t="shared" si="140"/>
        <v/>
      </c>
      <c r="CX167" s="511"/>
      <c r="CY167" s="511"/>
      <c r="CZ167" s="511"/>
      <c r="DA167" s="511"/>
      <c r="DB167" s="511"/>
      <c r="DC167" s="511"/>
      <c r="DD167" s="511"/>
      <c r="DE167" s="511"/>
      <c r="DF167" s="511"/>
      <c r="DG167" s="511"/>
      <c r="DH167" s="511"/>
      <c r="DI167" s="511"/>
      <c r="DJ167" s="511"/>
      <c r="DK167" s="773"/>
      <c r="DL167" s="773"/>
      <c r="DM167" s="773"/>
      <c r="DN167" s="475"/>
      <c r="DO167" s="475"/>
      <c r="DP167" s="475"/>
      <c r="DQ167" s="475"/>
      <c r="DR167" s="766"/>
      <c r="DS167" s="474"/>
      <c r="DT167" s="474"/>
      <c r="DU167" s="474"/>
      <c r="DV167" s="474"/>
      <c r="DW167" s="474"/>
      <c r="DX167" s="474"/>
      <c r="DY167" s="474"/>
      <c r="DZ167" s="474"/>
      <c r="EA167" s="474"/>
      <c r="EB167" s="474"/>
      <c r="EC167" s="474"/>
    </row>
    <row r="168" spans="29:133" s="473" customFormat="1">
      <c r="AC168" s="761">
        <f t="shared" si="156"/>
        <v>19</v>
      </c>
      <c r="AD168" s="497" t="str">
        <f>IF(AC116&lt;AT$133,VLOOKUP(AC116,AU$98:AV$132,2,FALSE),"")</f>
        <v/>
      </c>
      <c r="AE168" s="497"/>
      <c r="AF168" s="497"/>
      <c r="AG168" s="497"/>
      <c r="AH168" s="497"/>
      <c r="AI168" s="497"/>
      <c r="AJ168" s="497"/>
      <c r="AK168" s="497"/>
      <c r="AL168" s="497"/>
      <c r="AM168" s="497"/>
      <c r="AN168" s="497"/>
      <c r="AO168" s="497"/>
      <c r="AP168" s="497"/>
      <c r="AQ168" s="497"/>
      <c r="AR168" s="497"/>
      <c r="AS168" s="497"/>
      <c r="AT168" s="497"/>
      <c r="AU168" s="497"/>
      <c r="AV168" s="497" t="str">
        <f t="shared" si="86"/>
        <v/>
      </c>
      <c r="AW168" s="497"/>
      <c r="AX168" s="497"/>
      <c r="AY168" s="497"/>
      <c r="AZ168" s="497"/>
      <c r="BA168" s="497"/>
      <c r="BB168" s="497"/>
      <c r="BC168" s="497"/>
      <c r="BD168" s="497"/>
      <c r="BE168" s="497"/>
      <c r="BF168" s="497"/>
      <c r="BG168" s="511"/>
      <c r="BH168" s="511"/>
      <c r="BI168" s="511"/>
      <c r="BJ168" s="511"/>
      <c r="BK168" s="511"/>
      <c r="BL168" s="511"/>
      <c r="BM168" s="511" t="str">
        <f t="shared" si="87"/>
        <v/>
      </c>
      <c r="BN168" s="511"/>
      <c r="BO168" s="511"/>
      <c r="BP168" s="511"/>
      <c r="BQ168" s="511"/>
      <c r="BR168" s="511"/>
      <c r="BS168" s="511"/>
      <c r="BT168" s="511"/>
      <c r="BU168" s="511"/>
      <c r="BV168" s="511"/>
      <c r="BW168" s="511"/>
      <c r="BX168" s="511"/>
      <c r="BY168" s="511"/>
      <c r="BZ168" s="511"/>
      <c r="CA168" s="511"/>
      <c r="CB168" s="511"/>
      <c r="CC168" s="511"/>
      <c r="CD168" s="511"/>
      <c r="CE168" s="511" t="str">
        <f t="shared" si="88"/>
        <v>Semiconductors</v>
      </c>
      <c r="CF168" s="511">
        <f t="shared" si="127"/>
        <v>11</v>
      </c>
      <c r="CG168" s="511">
        <f t="shared" si="128"/>
        <v>11</v>
      </c>
      <c r="CH168" s="511">
        <f t="shared" si="129"/>
        <v>11</v>
      </c>
      <c r="CI168" s="511">
        <f t="shared" si="130"/>
        <v>11</v>
      </c>
      <c r="CJ168" s="511">
        <f t="shared" si="131"/>
        <v>11</v>
      </c>
      <c r="CK168" s="511">
        <f t="shared" si="132"/>
        <v>11</v>
      </c>
      <c r="CL168" s="511">
        <f t="shared" si="133"/>
        <v>11</v>
      </c>
      <c r="CM168" s="511">
        <f t="shared" si="134"/>
        <v>11</v>
      </c>
      <c r="CN168" s="511">
        <f t="shared" si="135"/>
        <v>11</v>
      </c>
      <c r="CO168" s="511">
        <f t="shared" si="136"/>
        <v>2</v>
      </c>
      <c r="CP168" s="511">
        <f t="shared" si="137"/>
        <v>11</v>
      </c>
      <c r="CQ168" s="511">
        <f t="shared" si="138"/>
        <v>11</v>
      </c>
      <c r="CR168" s="511">
        <f t="shared" si="139"/>
        <v>11</v>
      </c>
      <c r="CS168" s="511"/>
      <c r="CT168" s="511"/>
      <c r="CU168" s="511"/>
      <c r="CV168" s="511"/>
      <c r="CW168" s="511" t="str">
        <f t="shared" si="140"/>
        <v/>
      </c>
      <c r="CX168" s="511"/>
      <c r="CY168" s="511"/>
      <c r="CZ168" s="511"/>
      <c r="DA168" s="511"/>
      <c r="DB168" s="511"/>
      <c r="DC168" s="511"/>
      <c r="DD168" s="511"/>
      <c r="DE168" s="511"/>
      <c r="DF168" s="511"/>
      <c r="DG168" s="511"/>
      <c r="DH168" s="511"/>
      <c r="DI168" s="511"/>
      <c r="DJ168" s="511"/>
      <c r="DK168" s="773"/>
      <c r="DL168" s="773"/>
      <c r="DM168" s="773"/>
      <c r="DN168" s="475"/>
      <c r="DO168" s="475"/>
      <c r="DP168" s="475"/>
      <c r="DQ168" s="475"/>
      <c r="DR168" s="766"/>
      <c r="DS168" s="474"/>
      <c r="DT168" s="474"/>
      <c r="DU168" s="474"/>
      <c r="DV168" s="474"/>
      <c r="DW168" s="474"/>
      <c r="DX168" s="474"/>
      <c r="DY168" s="474"/>
      <c r="DZ168" s="474"/>
      <c r="EA168" s="474"/>
      <c r="EB168" s="474"/>
      <c r="EC168" s="474"/>
    </row>
    <row r="169" spans="29:133" s="473" customFormat="1">
      <c r="AC169" s="761">
        <f t="shared" si="156"/>
        <v>20</v>
      </c>
      <c r="AD169" s="497"/>
      <c r="AE169" s="497"/>
      <c r="AF169" s="497"/>
      <c r="AG169" s="497"/>
      <c r="AH169" s="497"/>
      <c r="AI169" s="497"/>
      <c r="AJ169" s="497"/>
      <c r="AK169" s="497"/>
      <c r="AL169" s="497"/>
      <c r="AM169" s="497"/>
      <c r="AN169" s="497"/>
      <c r="AO169" s="497"/>
      <c r="AP169" s="497"/>
      <c r="AQ169" s="497"/>
      <c r="AR169" s="497"/>
      <c r="AS169" s="497"/>
      <c r="AT169" s="497"/>
      <c r="AU169" s="497"/>
      <c r="AV169" s="497"/>
      <c r="AW169" s="497"/>
      <c r="AX169" s="497"/>
      <c r="AY169" s="497"/>
      <c r="AZ169" s="497"/>
      <c r="BA169" s="497"/>
      <c r="BB169" s="497"/>
      <c r="BC169" s="497"/>
      <c r="BD169" s="497"/>
      <c r="BE169" s="497"/>
      <c r="BF169" s="497"/>
      <c r="BG169" s="511"/>
      <c r="BH169" s="511"/>
      <c r="BI169" s="511"/>
      <c r="BJ169" s="511"/>
      <c r="BK169" s="511"/>
      <c r="BL169" s="511"/>
      <c r="BM169" s="511"/>
      <c r="BN169" s="511"/>
      <c r="BO169" s="511"/>
      <c r="BP169" s="511"/>
      <c r="BQ169" s="511"/>
      <c r="BR169" s="511"/>
      <c r="BS169" s="511"/>
      <c r="BT169" s="511"/>
      <c r="BU169" s="511"/>
      <c r="BV169" s="511"/>
      <c r="BW169" s="511"/>
      <c r="BX169" s="511"/>
      <c r="BY169" s="511"/>
      <c r="BZ169" s="511"/>
      <c r="CA169" s="511"/>
      <c r="CB169" s="511"/>
      <c r="CC169" s="511"/>
      <c r="CD169" s="511"/>
      <c r="CE169" s="511" t="str">
        <f t="shared" si="88"/>
        <v>Basic communication processes</v>
      </c>
      <c r="CF169" s="511">
        <f t="shared" si="127"/>
        <v>11</v>
      </c>
      <c r="CG169" s="511">
        <f t="shared" si="128"/>
        <v>11</v>
      </c>
      <c r="CH169" s="511">
        <f t="shared" si="129"/>
        <v>11</v>
      </c>
      <c r="CI169" s="511">
        <f t="shared" si="130"/>
        <v>11</v>
      </c>
      <c r="CJ169" s="511">
        <f t="shared" si="131"/>
        <v>11</v>
      </c>
      <c r="CK169" s="511">
        <f t="shared" si="132"/>
        <v>11</v>
      </c>
      <c r="CL169" s="511">
        <f t="shared" si="133"/>
        <v>11</v>
      </c>
      <c r="CM169" s="511">
        <f t="shared" si="134"/>
        <v>11</v>
      </c>
      <c r="CN169" s="511">
        <f t="shared" si="135"/>
        <v>11</v>
      </c>
      <c r="CO169" s="511">
        <f t="shared" si="136"/>
        <v>1</v>
      </c>
      <c r="CP169" s="511">
        <f t="shared" si="137"/>
        <v>11</v>
      </c>
      <c r="CQ169" s="511">
        <f t="shared" si="138"/>
        <v>11</v>
      </c>
      <c r="CR169" s="511">
        <f t="shared" si="139"/>
        <v>11</v>
      </c>
      <c r="CS169" s="511"/>
      <c r="CT169" s="511"/>
      <c r="CU169" s="511"/>
      <c r="CV169" s="511"/>
      <c r="CW169" s="511"/>
      <c r="CX169" s="511"/>
      <c r="CY169" s="511"/>
      <c r="CZ169" s="511"/>
      <c r="DA169" s="511"/>
      <c r="DB169" s="511"/>
      <c r="DC169" s="511"/>
      <c r="DD169" s="511"/>
      <c r="DE169" s="511"/>
      <c r="DF169" s="511"/>
      <c r="DG169" s="511"/>
      <c r="DH169" s="511"/>
      <c r="DI169" s="511"/>
      <c r="DJ169" s="511"/>
      <c r="DK169" s="773"/>
      <c r="DL169" s="773"/>
      <c r="DM169" s="773"/>
      <c r="DN169" s="475"/>
      <c r="DO169" s="475"/>
      <c r="DP169" s="475"/>
      <c r="DQ169" s="475"/>
      <c r="DR169" s="766"/>
      <c r="DS169" s="474"/>
      <c r="DT169" s="474"/>
      <c r="DU169" s="474"/>
      <c r="DV169" s="474"/>
      <c r="DW169" s="474"/>
      <c r="DX169" s="474"/>
      <c r="DY169" s="474"/>
      <c r="DZ169" s="474"/>
      <c r="EA169" s="474"/>
      <c r="EB169" s="474"/>
      <c r="EC169" s="474"/>
    </row>
    <row r="170" spans="29:133" s="473" customFormat="1">
      <c r="AC170" s="761">
        <f t="shared" si="156"/>
        <v>21</v>
      </c>
      <c r="AD170" s="497"/>
      <c r="AE170" s="497"/>
      <c r="AF170" s="497"/>
      <c r="AG170" s="497"/>
      <c r="AH170" s="497"/>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C170" s="497"/>
      <c r="BD170" s="497"/>
      <c r="BE170" s="497"/>
      <c r="BF170" s="497"/>
      <c r="BG170" s="511"/>
      <c r="BH170" s="511"/>
      <c r="BI170" s="511"/>
      <c r="BJ170" s="511"/>
      <c r="BK170" s="511"/>
      <c r="BL170" s="511"/>
      <c r="BM170" s="511"/>
      <c r="BN170" s="511"/>
      <c r="BO170" s="511"/>
      <c r="BP170" s="511"/>
      <c r="BQ170" s="511"/>
      <c r="BR170" s="511"/>
      <c r="BS170" s="511"/>
      <c r="BT170" s="511"/>
      <c r="BU170" s="511"/>
      <c r="BV170" s="511"/>
      <c r="BW170" s="511"/>
      <c r="BX170" s="511"/>
      <c r="BY170" s="511"/>
      <c r="BZ170" s="511"/>
      <c r="CA170" s="511"/>
      <c r="CB170" s="511"/>
      <c r="CC170" s="511"/>
      <c r="CD170" s="511"/>
      <c r="CE170" s="511" t="str">
        <f t="shared" si="88"/>
        <v/>
      </c>
      <c r="CF170" s="511"/>
      <c r="CG170" s="511"/>
      <c r="CH170" s="511"/>
      <c r="CI170" s="511"/>
      <c r="CJ170" s="511"/>
      <c r="CK170" s="511"/>
      <c r="CL170" s="511"/>
      <c r="CM170" s="511"/>
      <c r="CN170" s="511"/>
      <c r="CO170" s="511"/>
      <c r="CP170" s="511"/>
      <c r="CQ170" s="511"/>
      <c r="CR170" s="511"/>
      <c r="CS170" s="511"/>
      <c r="CT170" s="511"/>
      <c r="CU170" s="511"/>
      <c r="CV170" s="511"/>
      <c r="CW170" s="511"/>
      <c r="CX170" s="511"/>
      <c r="CY170" s="511"/>
      <c r="CZ170" s="511"/>
      <c r="DA170" s="511"/>
      <c r="DB170" s="511"/>
      <c r="DC170" s="511"/>
      <c r="DD170" s="511"/>
      <c r="DE170" s="511"/>
      <c r="DF170" s="511"/>
      <c r="DG170" s="511"/>
      <c r="DH170" s="511"/>
      <c r="DI170" s="511"/>
      <c r="DJ170" s="511"/>
      <c r="DK170" s="773"/>
      <c r="DL170" s="773"/>
      <c r="DM170" s="773"/>
      <c r="DN170" s="475"/>
      <c r="DO170" s="475"/>
      <c r="DP170" s="475"/>
      <c r="DQ170" s="475"/>
      <c r="DR170" s="766"/>
      <c r="DS170" s="474"/>
      <c r="DT170" s="474"/>
      <c r="DU170" s="474"/>
      <c r="DV170" s="474"/>
      <c r="DW170" s="474"/>
      <c r="DX170" s="474"/>
      <c r="DY170" s="474"/>
      <c r="DZ170" s="474"/>
      <c r="EA170" s="474"/>
      <c r="EB170" s="474"/>
      <c r="EC170" s="474"/>
    </row>
    <row r="171" spans="29:133" s="473" customFormat="1">
      <c r="AC171" s="761">
        <f t="shared" si="156"/>
        <v>22</v>
      </c>
      <c r="AD171" s="1347"/>
      <c r="AE171" s="1347"/>
      <c r="AF171" s="1347"/>
      <c r="AG171" s="1347"/>
      <c r="AH171" s="1347"/>
      <c r="AI171" s="1347"/>
      <c r="AJ171" s="1347"/>
      <c r="AK171" s="1347"/>
      <c r="AL171" s="1347"/>
      <c r="AM171" s="1347"/>
      <c r="AN171" s="497"/>
      <c r="AO171" s="1347"/>
      <c r="AP171" s="1347"/>
      <c r="AQ171" s="497"/>
      <c r="AR171" s="1347"/>
      <c r="AS171" s="1347"/>
      <c r="AT171" s="1347"/>
      <c r="AU171" s="1347"/>
      <c r="AV171" s="1347"/>
      <c r="AW171" s="1347"/>
      <c r="AX171" s="1347"/>
      <c r="AY171" s="1347"/>
      <c r="AZ171" s="1347"/>
      <c r="BA171" s="1347"/>
      <c r="BB171" s="1347"/>
      <c r="BC171" s="1347"/>
      <c r="BD171" s="1347"/>
      <c r="BE171" s="1347"/>
      <c r="BF171" s="1347"/>
      <c r="BG171" s="515"/>
      <c r="BH171" s="515"/>
      <c r="BI171" s="515"/>
      <c r="BJ171" s="515"/>
      <c r="BK171" s="515"/>
      <c r="BL171" s="515"/>
      <c r="BM171" s="515"/>
      <c r="BN171" s="515"/>
      <c r="BO171" s="515"/>
      <c r="BP171" s="515"/>
      <c r="BQ171" s="515"/>
      <c r="BR171" s="515"/>
      <c r="BS171" s="515"/>
      <c r="BT171" s="515"/>
      <c r="BU171" s="515"/>
      <c r="BV171" s="515"/>
      <c r="BW171" s="515"/>
      <c r="BX171" s="515"/>
      <c r="BY171" s="515"/>
      <c r="BZ171" s="515"/>
      <c r="CA171" s="515"/>
      <c r="CB171" s="515"/>
      <c r="CC171" s="515"/>
      <c r="CD171" s="515"/>
      <c r="CE171" s="511" t="str">
        <f t="shared" si="88"/>
        <v/>
      </c>
      <c r="CF171" s="511"/>
      <c r="CG171" s="511"/>
      <c r="CH171" s="511"/>
      <c r="CI171" s="511"/>
      <c r="CJ171" s="511"/>
      <c r="CK171" s="511"/>
      <c r="CL171" s="511"/>
      <c r="CM171" s="511"/>
      <c r="CN171" s="511"/>
      <c r="CO171" s="511"/>
      <c r="CP171" s="511"/>
      <c r="CQ171" s="511"/>
      <c r="CR171" s="511"/>
      <c r="CS171" s="515"/>
      <c r="CT171" s="515"/>
      <c r="CU171" s="515"/>
      <c r="CV171" s="515"/>
      <c r="CW171" s="515"/>
      <c r="CX171" s="515"/>
      <c r="CY171" s="515"/>
      <c r="CZ171" s="515"/>
      <c r="DA171" s="515"/>
      <c r="DB171" s="515"/>
      <c r="DC171" s="515"/>
      <c r="DD171" s="515"/>
      <c r="DE171" s="515"/>
      <c r="DF171" s="515"/>
      <c r="DG171" s="515"/>
      <c r="DH171" s="515"/>
      <c r="DI171" s="515"/>
      <c r="DJ171" s="515"/>
      <c r="DK171" s="475"/>
      <c r="DL171" s="475"/>
      <c r="DM171" s="475"/>
      <c r="DN171" s="475"/>
      <c r="DO171" s="475"/>
      <c r="DP171" s="475"/>
      <c r="DQ171" s="475"/>
      <c r="DR171" s="766"/>
      <c r="DS171" s="474"/>
      <c r="DT171" s="474"/>
      <c r="DU171" s="474"/>
      <c r="DV171" s="474"/>
      <c r="DW171" s="474"/>
      <c r="DX171" s="474"/>
      <c r="DY171" s="474"/>
      <c r="DZ171" s="474"/>
      <c r="EA171" s="474"/>
      <c r="EB171" s="474"/>
      <c r="EC171" s="474"/>
    </row>
    <row r="172" spans="29:133" s="473" customFormat="1">
      <c r="AC172" s="761">
        <f t="shared" si="156"/>
        <v>23</v>
      </c>
      <c r="AD172" s="1347"/>
      <c r="AE172" s="1347"/>
      <c r="AF172" s="1347"/>
      <c r="AG172" s="1347"/>
      <c r="AH172" s="1347"/>
      <c r="AI172" s="1347"/>
      <c r="AJ172" s="1347"/>
      <c r="AK172" s="1347"/>
      <c r="AL172" s="1347"/>
      <c r="AM172" s="1347"/>
      <c r="AN172" s="497"/>
      <c r="AO172" s="1347"/>
      <c r="AP172" s="1347"/>
      <c r="AQ172" s="497"/>
      <c r="AR172" s="1347"/>
      <c r="AS172" s="1347"/>
      <c r="AT172" s="1347"/>
      <c r="AU172" s="1347"/>
      <c r="AV172" s="1347"/>
      <c r="AW172" s="1347"/>
      <c r="AX172" s="1347"/>
      <c r="AY172" s="1347"/>
      <c r="AZ172" s="1347"/>
      <c r="BA172" s="1347"/>
      <c r="BB172" s="1347"/>
      <c r="BC172" s="1347"/>
      <c r="BD172" s="1347"/>
      <c r="BE172" s="1347"/>
      <c r="BF172" s="1347"/>
      <c r="BG172" s="515"/>
      <c r="BH172" s="515"/>
      <c r="BI172" s="515"/>
      <c r="BJ172" s="515"/>
      <c r="BK172" s="515"/>
      <c r="BL172" s="515"/>
      <c r="BM172" s="515"/>
      <c r="BN172" s="515"/>
      <c r="BO172" s="515"/>
      <c r="BP172" s="515"/>
      <c r="BQ172" s="515"/>
      <c r="BR172" s="515"/>
      <c r="BS172" s="515"/>
      <c r="BT172" s="515"/>
      <c r="BU172" s="515"/>
      <c r="BV172" s="515"/>
      <c r="BW172" s="515"/>
      <c r="BX172" s="515"/>
      <c r="BY172" s="515"/>
      <c r="BZ172" s="515"/>
      <c r="CA172" s="515"/>
      <c r="CB172" s="515"/>
      <c r="CC172" s="515"/>
      <c r="CD172" s="515"/>
      <c r="CE172" s="511" t="str">
        <f t="shared" si="88"/>
        <v/>
      </c>
      <c r="CF172" s="511"/>
      <c r="CG172" s="511"/>
      <c r="CH172" s="511"/>
      <c r="CI172" s="511"/>
      <c r="CJ172" s="511"/>
      <c r="CK172" s="511"/>
      <c r="CL172" s="511"/>
      <c r="CM172" s="511"/>
      <c r="CN172" s="511"/>
      <c r="CO172" s="511"/>
      <c r="CP172" s="511"/>
      <c r="CQ172" s="511"/>
      <c r="CR172" s="511"/>
      <c r="CS172" s="515"/>
      <c r="CT172" s="515"/>
      <c r="CU172" s="515"/>
      <c r="CV172" s="515"/>
      <c r="CW172" s="515"/>
      <c r="CX172" s="515"/>
      <c r="CY172" s="515"/>
      <c r="CZ172" s="515"/>
      <c r="DA172" s="515"/>
      <c r="DB172" s="515"/>
      <c r="DC172" s="515"/>
      <c r="DD172" s="515"/>
      <c r="DE172" s="515"/>
      <c r="DF172" s="515"/>
      <c r="DG172" s="515"/>
      <c r="DH172" s="515"/>
      <c r="DI172" s="515"/>
      <c r="DJ172" s="515"/>
      <c r="DK172" s="475"/>
      <c r="DL172" s="475"/>
      <c r="DM172" s="475"/>
      <c r="DN172" s="475"/>
      <c r="DO172" s="475"/>
      <c r="DP172" s="475"/>
      <c r="DQ172" s="475"/>
      <c r="DR172" s="766"/>
      <c r="DS172" s="474"/>
      <c r="DT172" s="474"/>
      <c r="DU172" s="474"/>
      <c r="DV172" s="474"/>
      <c r="DW172" s="474"/>
      <c r="DX172" s="474"/>
      <c r="DY172" s="474"/>
      <c r="DZ172" s="474"/>
      <c r="EA172" s="474"/>
      <c r="EB172" s="474"/>
      <c r="EC172" s="474"/>
    </row>
    <row r="173" spans="29:133" s="473" customFormat="1">
      <c r="AC173" s="761">
        <f t="shared" si="156"/>
        <v>24</v>
      </c>
      <c r="AD173" s="1347"/>
      <c r="AE173" s="1347"/>
      <c r="AF173" s="1347"/>
      <c r="AG173" s="1347"/>
      <c r="AH173" s="1347"/>
      <c r="AI173" s="1347"/>
      <c r="AJ173" s="1347"/>
      <c r="AK173" s="1347"/>
      <c r="AL173" s="1347"/>
      <c r="AM173" s="1347"/>
      <c r="AN173" s="497"/>
      <c r="AO173" s="1347"/>
      <c r="AP173" s="1347"/>
      <c r="AQ173" s="497"/>
      <c r="AR173" s="1347"/>
      <c r="AS173" s="1347"/>
      <c r="AT173" s="1347"/>
      <c r="AU173" s="1347"/>
      <c r="AV173" s="1347"/>
      <c r="AW173" s="1347"/>
      <c r="AX173" s="1347"/>
      <c r="AY173" s="1347"/>
      <c r="AZ173" s="1347"/>
      <c r="BA173" s="1347"/>
      <c r="BB173" s="1347"/>
      <c r="BC173" s="1347"/>
      <c r="BD173" s="1347"/>
      <c r="BE173" s="1347"/>
      <c r="BF173" s="1347"/>
      <c r="BG173" s="515"/>
      <c r="BH173" s="515"/>
      <c r="BI173" s="515"/>
      <c r="BJ173" s="515"/>
      <c r="BK173" s="515"/>
      <c r="BL173" s="515"/>
      <c r="BM173" s="515"/>
      <c r="BN173" s="515"/>
      <c r="BO173" s="515"/>
      <c r="BP173" s="515"/>
      <c r="BQ173" s="515"/>
      <c r="BR173" s="515"/>
      <c r="BS173" s="515"/>
      <c r="BT173" s="515"/>
      <c r="BU173" s="515"/>
      <c r="BV173" s="515"/>
      <c r="BW173" s="515"/>
      <c r="BX173" s="515"/>
      <c r="BY173" s="515"/>
      <c r="BZ173" s="515"/>
      <c r="CA173" s="515"/>
      <c r="CB173" s="515"/>
      <c r="CC173" s="515"/>
      <c r="CD173" s="515"/>
      <c r="CE173" s="511" t="str">
        <f t="shared" si="88"/>
        <v/>
      </c>
      <c r="CF173" s="511"/>
      <c r="CG173" s="511"/>
      <c r="CH173" s="511"/>
      <c r="CI173" s="511"/>
      <c r="CJ173" s="511"/>
      <c r="CK173" s="511"/>
      <c r="CL173" s="511"/>
      <c r="CM173" s="511"/>
      <c r="CN173" s="511"/>
      <c r="CO173" s="511"/>
      <c r="CP173" s="511"/>
      <c r="CQ173" s="511"/>
      <c r="CR173" s="511"/>
      <c r="CS173" s="515"/>
      <c r="CT173" s="515"/>
      <c r="CU173" s="515"/>
      <c r="CV173" s="515"/>
      <c r="CW173" s="515"/>
      <c r="CX173" s="515"/>
      <c r="CY173" s="515"/>
      <c r="CZ173" s="515"/>
      <c r="DA173" s="515"/>
      <c r="DB173" s="515"/>
      <c r="DC173" s="515"/>
      <c r="DD173" s="515"/>
      <c r="DE173" s="515"/>
      <c r="DF173" s="515"/>
      <c r="DG173" s="515"/>
      <c r="DH173" s="515"/>
      <c r="DI173" s="515"/>
      <c r="DJ173" s="515"/>
      <c r="DK173" s="475"/>
      <c r="DL173" s="475"/>
      <c r="DM173" s="475"/>
      <c r="DN173" s="475"/>
      <c r="DO173" s="475"/>
      <c r="DP173" s="475"/>
      <c r="DQ173" s="475"/>
      <c r="DR173" s="766"/>
      <c r="DS173" s="474"/>
      <c r="DT173" s="474"/>
      <c r="DU173" s="474"/>
      <c r="DV173" s="474"/>
      <c r="DW173" s="474"/>
      <c r="DX173" s="474"/>
      <c r="DY173" s="474"/>
      <c r="DZ173" s="474"/>
      <c r="EA173" s="474"/>
      <c r="EB173" s="474"/>
      <c r="EC173" s="474"/>
    </row>
    <row r="174" spans="29:133" s="473" customFormat="1">
      <c r="AC174" s="761">
        <f t="shared" si="156"/>
        <v>25</v>
      </c>
      <c r="AD174" s="1347"/>
      <c r="AE174" s="1347"/>
      <c r="AF174" s="1347"/>
      <c r="AG174" s="1347"/>
      <c r="AH174" s="1347"/>
      <c r="AI174" s="1347"/>
      <c r="AJ174" s="1347"/>
      <c r="AK174" s="1347"/>
      <c r="AL174" s="1347"/>
      <c r="AM174" s="1347"/>
      <c r="AN174" s="497"/>
      <c r="AO174" s="1347"/>
      <c r="AP174" s="1347"/>
      <c r="AQ174" s="497"/>
      <c r="AR174" s="1347"/>
      <c r="AS174" s="1347"/>
      <c r="AT174" s="1347"/>
      <c r="AU174" s="1347"/>
      <c r="AV174" s="1347"/>
      <c r="AW174" s="1347"/>
      <c r="AX174" s="1347"/>
      <c r="AY174" s="1347"/>
      <c r="AZ174" s="1347"/>
      <c r="BA174" s="1347"/>
      <c r="BB174" s="1347"/>
      <c r="BC174" s="1347"/>
      <c r="BD174" s="1347"/>
      <c r="BE174" s="1347"/>
      <c r="BF174" s="1347"/>
      <c r="BG174" s="515"/>
      <c r="BH174" s="515"/>
      <c r="BI174" s="515"/>
      <c r="BJ174" s="515"/>
      <c r="BK174" s="515"/>
      <c r="BL174" s="515"/>
      <c r="BM174" s="515"/>
      <c r="BN174" s="515"/>
      <c r="BO174" s="515"/>
      <c r="BP174" s="515"/>
      <c r="BQ174" s="515"/>
      <c r="BR174" s="515"/>
      <c r="BS174" s="515"/>
      <c r="BT174" s="515"/>
      <c r="BU174" s="515"/>
      <c r="BV174" s="515"/>
      <c r="BW174" s="515"/>
      <c r="BX174" s="515"/>
      <c r="BY174" s="515"/>
      <c r="BZ174" s="515"/>
      <c r="CA174" s="515"/>
      <c r="CB174" s="515"/>
      <c r="CC174" s="515"/>
      <c r="CD174" s="515"/>
      <c r="CE174" s="515"/>
      <c r="CF174" s="515"/>
      <c r="CG174" s="515"/>
      <c r="CH174" s="515"/>
      <c r="CI174" s="515"/>
      <c r="CJ174" s="515"/>
      <c r="CK174" s="515"/>
      <c r="CL174" s="515"/>
      <c r="CM174" s="515"/>
      <c r="CN174" s="515"/>
      <c r="CO174" s="515"/>
      <c r="CP174" s="515"/>
      <c r="CQ174" s="515"/>
      <c r="CR174" s="515"/>
      <c r="CS174" s="515"/>
      <c r="CT174" s="515"/>
      <c r="CU174" s="515"/>
      <c r="CV174" s="515"/>
      <c r="CW174" s="515"/>
      <c r="CX174" s="515"/>
      <c r="CY174" s="515"/>
      <c r="CZ174" s="515"/>
      <c r="DA174" s="515"/>
      <c r="DB174" s="515"/>
      <c r="DC174" s="515"/>
      <c r="DD174" s="515"/>
      <c r="DE174" s="515"/>
      <c r="DF174" s="515"/>
      <c r="DG174" s="515"/>
      <c r="DH174" s="515"/>
      <c r="DI174" s="515"/>
      <c r="DJ174" s="515"/>
      <c r="DK174" s="475"/>
      <c r="DL174" s="475"/>
      <c r="DM174" s="475"/>
      <c r="DN174" s="475"/>
      <c r="DO174" s="475"/>
      <c r="DP174" s="475"/>
      <c r="DQ174" s="475"/>
      <c r="DR174" s="766"/>
      <c r="DS174" s="474"/>
      <c r="DT174" s="474"/>
      <c r="DU174" s="474"/>
      <c r="DV174" s="474"/>
      <c r="DW174" s="474"/>
      <c r="DX174" s="474"/>
      <c r="DY174" s="474"/>
      <c r="DZ174" s="474"/>
      <c r="EA174" s="474"/>
      <c r="EB174" s="474"/>
      <c r="EC174" s="474"/>
    </row>
    <row r="175" spans="29:133" s="473" customFormat="1">
      <c r="AC175" s="761">
        <f t="shared" si="156"/>
        <v>26</v>
      </c>
      <c r="AD175" s="1347"/>
      <c r="AE175" s="1347"/>
      <c r="AF175" s="1347"/>
      <c r="AG175" s="1347"/>
      <c r="AH175" s="1347"/>
      <c r="AI175" s="1347"/>
      <c r="AJ175" s="1347"/>
      <c r="AK175" s="1347"/>
      <c r="AL175" s="1347"/>
      <c r="AM175" s="1347"/>
      <c r="AN175" s="497"/>
      <c r="AO175" s="1347"/>
      <c r="AP175" s="1347"/>
      <c r="AQ175" s="497"/>
      <c r="AR175" s="1347"/>
      <c r="AS175" s="1347"/>
      <c r="AT175" s="1347"/>
      <c r="AU175" s="1347"/>
      <c r="AV175" s="1347"/>
      <c r="AW175" s="1347"/>
      <c r="AX175" s="1347"/>
      <c r="AY175" s="1347"/>
      <c r="AZ175" s="1347"/>
      <c r="BA175" s="1347"/>
      <c r="BB175" s="1347"/>
      <c r="BC175" s="1347"/>
      <c r="BD175" s="1347"/>
      <c r="BE175" s="1347"/>
      <c r="BF175" s="1347"/>
      <c r="BG175" s="475"/>
      <c r="BH175" s="475"/>
      <c r="BI175" s="475"/>
      <c r="BJ175" s="475"/>
      <c r="BK175" s="475"/>
      <c r="BL175" s="475"/>
      <c r="BM175" s="475"/>
      <c r="BN175" s="475"/>
      <c r="BO175" s="475"/>
      <c r="BP175" s="475"/>
      <c r="BQ175" s="475"/>
      <c r="BR175" s="475"/>
      <c r="BS175" s="475"/>
      <c r="BT175" s="475"/>
      <c r="BU175" s="475"/>
      <c r="BV175" s="475"/>
      <c r="BW175" s="475"/>
      <c r="BX175" s="475"/>
      <c r="BY175" s="475"/>
      <c r="BZ175" s="475"/>
      <c r="CA175" s="475"/>
      <c r="CB175" s="475"/>
      <c r="CC175" s="475"/>
      <c r="CD175" s="475"/>
      <c r="CE175" s="475"/>
      <c r="CF175" s="475"/>
      <c r="CG175" s="475"/>
      <c r="CH175" s="475"/>
      <c r="CI175" s="475"/>
      <c r="CJ175" s="475"/>
      <c r="CK175" s="475"/>
      <c r="CL175" s="475"/>
      <c r="CM175" s="475"/>
      <c r="CN175" s="475"/>
      <c r="CO175" s="475"/>
      <c r="CP175" s="475"/>
      <c r="CQ175" s="475"/>
      <c r="CR175" s="475"/>
      <c r="CS175" s="475"/>
      <c r="CT175" s="475"/>
      <c r="CU175" s="475"/>
      <c r="CV175" s="475"/>
      <c r="CW175" s="475"/>
      <c r="CX175" s="475"/>
      <c r="CY175" s="475"/>
      <c r="CZ175" s="475"/>
      <c r="DA175" s="475"/>
      <c r="DB175" s="475"/>
      <c r="DC175" s="475"/>
      <c r="DD175" s="475"/>
      <c r="DE175" s="475"/>
      <c r="DF175" s="475"/>
      <c r="DG175" s="475"/>
      <c r="DH175" s="475"/>
      <c r="DI175" s="475"/>
      <c r="DJ175" s="475"/>
      <c r="DK175" s="475"/>
      <c r="DL175" s="475"/>
      <c r="DM175" s="475"/>
      <c r="DN175" s="475"/>
      <c r="DO175" s="475"/>
      <c r="DP175" s="475"/>
      <c r="DQ175" s="475"/>
      <c r="DR175" s="766"/>
      <c r="DS175" s="474"/>
      <c r="DT175" s="474"/>
      <c r="DU175" s="474"/>
      <c r="DV175" s="474"/>
      <c r="DW175" s="474"/>
      <c r="DX175" s="474"/>
      <c r="DY175" s="474"/>
      <c r="DZ175" s="474"/>
      <c r="EA175" s="474"/>
      <c r="EB175" s="474"/>
      <c r="EC175" s="474"/>
    </row>
    <row r="176" spans="29:133" s="473" customFormat="1">
      <c r="AC176" s="761">
        <f t="shared" si="156"/>
        <v>27</v>
      </c>
      <c r="AD176" s="1347"/>
      <c r="AE176" s="1347"/>
      <c r="AF176" s="1347"/>
      <c r="AG176" s="1347"/>
      <c r="AH176" s="1347"/>
      <c r="AI176" s="1347"/>
      <c r="AJ176" s="1347"/>
      <c r="AK176" s="1347"/>
      <c r="AL176" s="1347"/>
      <c r="AM176" s="1347"/>
      <c r="AN176" s="1347"/>
      <c r="AO176" s="1347"/>
      <c r="AP176" s="1347"/>
      <c r="AQ176" s="497"/>
      <c r="AR176" s="1347"/>
      <c r="AS176" s="1347"/>
      <c r="AT176" s="1347"/>
      <c r="AU176" s="1347"/>
      <c r="AV176" s="1347"/>
      <c r="AW176" s="1347"/>
      <c r="AX176" s="1347"/>
      <c r="AY176" s="1347"/>
      <c r="AZ176" s="1347"/>
      <c r="BA176" s="1347"/>
      <c r="BB176" s="1347"/>
      <c r="BC176" s="1347"/>
      <c r="BD176" s="1347"/>
      <c r="BE176" s="1347"/>
      <c r="BF176" s="1347"/>
      <c r="BG176" s="475"/>
      <c r="BH176" s="475"/>
      <c r="BI176" s="475"/>
      <c r="BJ176" s="475"/>
      <c r="BK176" s="475"/>
      <c r="BL176" s="475"/>
      <c r="BM176" s="475"/>
      <c r="BN176" s="475"/>
      <c r="BO176" s="475"/>
      <c r="BP176" s="475"/>
      <c r="BQ176" s="475"/>
      <c r="BR176" s="475"/>
      <c r="BS176" s="475"/>
      <c r="BT176" s="475"/>
      <c r="BU176" s="475"/>
      <c r="BV176" s="475"/>
      <c r="BW176" s="475"/>
      <c r="BX176" s="475"/>
      <c r="BY176" s="475"/>
      <c r="BZ176" s="475"/>
      <c r="CA176" s="475"/>
      <c r="CB176" s="475"/>
      <c r="CC176" s="475"/>
      <c r="CD176" s="475"/>
      <c r="CE176" s="475"/>
      <c r="CF176" s="475"/>
      <c r="CG176" s="475"/>
      <c r="CH176" s="475"/>
      <c r="CI176" s="475"/>
      <c r="CJ176" s="475"/>
      <c r="CK176" s="475"/>
      <c r="CL176" s="475"/>
      <c r="CM176" s="475"/>
      <c r="CN176" s="475"/>
      <c r="CO176" s="475"/>
      <c r="CP176" s="475"/>
      <c r="CQ176" s="475"/>
      <c r="CR176" s="475"/>
      <c r="CS176" s="475"/>
      <c r="CT176" s="475"/>
      <c r="CU176" s="475"/>
      <c r="CV176" s="475"/>
      <c r="CW176" s="475"/>
      <c r="CX176" s="475"/>
      <c r="CY176" s="475"/>
      <c r="CZ176" s="475"/>
      <c r="DA176" s="475"/>
      <c r="DB176" s="475"/>
      <c r="DC176" s="475"/>
      <c r="DD176" s="475"/>
      <c r="DE176" s="475"/>
      <c r="DF176" s="475"/>
      <c r="DG176" s="475"/>
      <c r="DH176" s="475"/>
      <c r="DI176" s="475"/>
      <c r="DJ176" s="475"/>
      <c r="DK176" s="475"/>
      <c r="DL176" s="475"/>
      <c r="DM176" s="475"/>
      <c r="DN176" s="475"/>
      <c r="DO176" s="475"/>
      <c r="DP176" s="475"/>
      <c r="DQ176" s="475"/>
      <c r="DR176" s="766"/>
      <c r="DS176" s="474"/>
      <c r="DT176" s="474"/>
      <c r="DU176" s="474"/>
      <c r="DV176" s="474"/>
      <c r="DW176" s="474"/>
      <c r="DX176" s="474"/>
      <c r="DY176" s="474"/>
      <c r="DZ176" s="474"/>
      <c r="EA176" s="474"/>
      <c r="EB176" s="474"/>
      <c r="EC176" s="474"/>
    </row>
    <row r="177" spans="29:133" s="473" customFormat="1">
      <c r="AC177" s="484"/>
      <c r="AD177" s="1347"/>
      <c r="AE177" s="1347"/>
      <c r="AF177" s="1347"/>
      <c r="AG177" s="1347"/>
      <c r="AH177" s="1347"/>
      <c r="AI177" s="1347"/>
      <c r="AJ177" s="1347"/>
      <c r="AK177" s="1347"/>
      <c r="AL177" s="1347"/>
      <c r="AM177" s="1347"/>
      <c r="AN177" s="1347"/>
      <c r="AO177" s="1347"/>
      <c r="AP177" s="1347"/>
      <c r="AQ177" s="1347"/>
      <c r="AR177" s="1347"/>
      <c r="AS177" s="1347"/>
      <c r="AT177" s="1347"/>
      <c r="AU177" s="1347"/>
      <c r="AV177" s="1347"/>
      <c r="AW177" s="1347"/>
      <c r="AX177" s="1347"/>
      <c r="AY177" s="1347"/>
      <c r="AZ177" s="1347"/>
      <c r="BA177" s="1347"/>
      <c r="BB177" s="1347"/>
      <c r="BC177" s="1347"/>
      <c r="BD177" s="1347"/>
      <c r="BE177" s="1347"/>
      <c r="BF177" s="1347"/>
      <c r="BG177" s="475"/>
      <c r="BH177" s="475"/>
      <c r="BI177" s="475"/>
      <c r="BJ177" s="475"/>
      <c r="BK177" s="475"/>
      <c r="BL177" s="475"/>
      <c r="BM177" s="475"/>
      <c r="BN177" s="475"/>
      <c r="BO177" s="475"/>
      <c r="BP177" s="475"/>
      <c r="BQ177" s="475"/>
      <c r="BR177" s="475"/>
      <c r="BS177" s="475"/>
      <c r="BT177" s="475"/>
      <c r="BU177" s="475"/>
      <c r="BV177" s="475"/>
      <c r="BW177" s="475"/>
      <c r="BX177" s="475"/>
      <c r="BY177" s="475"/>
      <c r="BZ177" s="475"/>
      <c r="CA177" s="475"/>
      <c r="CB177" s="475"/>
      <c r="CC177" s="475"/>
      <c r="CD177" s="475"/>
      <c r="CE177" s="475"/>
      <c r="CF177" s="475"/>
      <c r="CG177" s="475"/>
      <c r="CH177" s="475"/>
      <c r="CI177" s="475"/>
      <c r="CJ177" s="475"/>
      <c r="CK177" s="475"/>
      <c r="CL177" s="475"/>
      <c r="CM177" s="475"/>
      <c r="CN177" s="475"/>
      <c r="CO177" s="475"/>
      <c r="CP177" s="475"/>
      <c r="CQ177" s="475"/>
      <c r="CR177" s="475"/>
      <c r="CS177" s="475"/>
      <c r="CT177" s="475"/>
      <c r="CU177" s="475"/>
      <c r="CV177" s="475"/>
      <c r="CW177" s="475"/>
      <c r="CX177" s="475"/>
      <c r="CY177" s="475"/>
      <c r="CZ177" s="475"/>
      <c r="DA177" s="475"/>
      <c r="DB177" s="475"/>
      <c r="DC177" s="475"/>
      <c r="DD177" s="475"/>
      <c r="DE177" s="475"/>
      <c r="DF177" s="475"/>
      <c r="DG177" s="475"/>
      <c r="DH177" s="475"/>
      <c r="DI177" s="475"/>
      <c r="DJ177" s="475"/>
      <c r="DK177" s="475"/>
      <c r="DL177" s="475"/>
      <c r="DM177" s="475"/>
      <c r="DN177" s="475"/>
      <c r="DO177" s="475"/>
      <c r="DP177" s="475"/>
      <c r="DQ177" s="475"/>
      <c r="DR177" s="766"/>
      <c r="DS177" s="474"/>
      <c r="DT177" s="474"/>
      <c r="DU177" s="474"/>
      <c r="DV177" s="474"/>
      <c r="DW177" s="474"/>
      <c r="DX177" s="474"/>
      <c r="DY177" s="474"/>
      <c r="DZ177" s="474"/>
      <c r="EA177" s="474"/>
      <c r="EB177" s="474"/>
      <c r="EC177" s="474"/>
    </row>
    <row r="178" spans="29:133" s="473" customFormat="1">
      <c r="AC178" s="484"/>
      <c r="AD178" s="1347"/>
      <c r="AE178" s="1347"/>
      <c r="AF178" s="1347"/>
      <c r="AG178" s="1347"/>
      <c r="AH178" s="1347"/>
      <c r="AI178" s="1347"/>
      <c r="AJ178" s="1347"/>
      <c r="AK178" s="1347"/>
      <c r="AL178" s="1347"/>
      <c r="AM178" s="1347"/>
      <c r="AN178" s="1347"/>
      <c r="AO178" s="1347"/>
      <c r="AP178" s="1347"/>
      <c r="AQ178" s="1347"/>
      <c r="AR178" s="1347"/>
      <c r="AS178" s="1347"/>
      <c r="AT178" s="1347"/>
      <c r="AU178" s="1347"/>
      <c r="AV178" s="1347"/>
      <c r="AW178" s="1347"/>
      <c r="AX178" s="1347"/>
      <c r="AY178" s="1347"/>
      <c r="AZ178" s="1347"/>
      <c r="BA178" s="1347"/>
      <c r="BB178" s="1347"/>
      <c r="BC178" s="1347"/>
      <c r="BD178" s="1347"/>
      <c r="BE178" s="1347"/>
      <c r="BF178" s="1347"/>
      <c r="BG178" s="475"/>
      <c r="BH178" s="475"/>
      <c r="BI178" s="475"/>
      <c r="BJ178" s="475"/>
      <c r="BK178" s="475"/>
      <c r="BL178" s="475"/>
      <c r="BM178" s="475"/>
      <c r="BN178" s="475"/>
      <c r="BO178" s="475"/>
      <c r="BP178" s="475"/>
      <c r="BQ178" s="475"/>
      <c r="BR178" s="475"/>
      <c r="BS178" s="475"/>
      <c r="BT178" s="475"/>
      <c r="BU178" s="475"/>
      <c r="BV178" s="475"/>
      <c r="BW178" s="475"/>
      <c r="BX178" s="475"/>
      <c r="BY178" s="475"/>
      <c r="BZ178" s="475"/>
      <c r="CA178" s="475"/>
      <c r="CB178" s="475"/>
      <c r="CC178" s="475"/>
      <c r="CD178" s="475"/>
      <c r="CE178" s="475"/>
      <c r="CF178" s="475"/>
      <c r="CG178" s="475"/>
      <c r="CH178" s="475"/>
      <c r="CI178" s="475"/>
      <c r="CJ178" s="475"/>
      <c r="CK178" s="475"/>
      <c r="CL178" s="475"/>
      <c r="CM178" s="475"/>
      <c r="CN178" s="475"/>
      <c r="CO178" s="475"/>
      <c r="CP178" s="475"/>
      <c r="CQ178" s="475"/>
      <c r="CR178" s="475"/>
      <c r="CS178" s="475"/>
      <c r="CT178" s="475"/>
      <c r="CU178" s="475"/>
      <c r="CV178" s="475"/>
      <c r="CW178" s="475"/>
      <c r="CX178" s="475"/>
      <c r="CY178" s="475"/>
      <c r="CZ178" s="475"/>
      <c r="DA178" s="475"/>
      <c r="DB178" s="475"/>
      <c r="DC178" s="475"/>
      <c r="DD178" s="475"/>
      <c r="DE178" s="475"/>
      <c r="DF178" s="475"/>
      <c r="DG178" s="475"/>
      <c r="DH178" s="475"/>
      <c r="DI178" s="475"/>
      <c r="DJ178" s="475"/>
      <c r="DK178" s="475"/>
      <c r="DL178" s="475"/>
      <c r="DM178" s="475"/>
      <c r="DN178" s="475"/>
      <c r="DO178" s="475"/>
      <c r="DP178" s="475"/>
      <c r="DQ178" s="475"/>
      <c r="DR178" s="766"/>
      <c r="DS178" s="474"/>
      <c r="DT178" s="474"/>
      <c r="DU178" s="474"/>
      <c r="DV178" s="474"/>
      <c r="DW178" s="474"/>
      <c r="DX178" s="474"/>
      <c r="DY178" s="474"/>
      <c r="DZ178" s="474"/>
      <c r="EA178" s="474"/>
      <c r="EB178" s="474"/>
      <c r="EC178" s="474"/>
    </row>
    <row r="179" spans="29:133" s="473" customFormat="1">
      <c r="AC179" s="484"/>
      <c r="AD179" s="1347"/>
      <c r="AE179" s="1347"/>
      <c r="AF179" s="1347"/>
      <c r="AG179" s="1347"/>
      <c r="AH179" s="1347"/>
      <c r="AI179" s="1347"/>
      <c r="AJ179" s="1347"/>
      <c r="AK179" s="1347"/>
      <c r="AL179" s="1347"/>
      <c r="AM179" s="1347"/>
      <c r="AN179" s="1347"/>
      <c r="AO179" s="1347"/>
      <c r="AP179" s="1347"/>
      <c r="AQ179" s="1347"/>
      <c r="AR179" s="1347"/>
      <c r="AS179" s="1347"/>
      <c r="AT179" s="1347"/>
      <c r="AU179" s="1347"/>
      <c r="AV179" s="1347"/>
      <c r="AW179" s="1347"/>
      <c r="AX179" s="1347"/>
      <c r="AY179" s="1347"/>
      <c r="AZ179" s="1347"/>
      <c r="BA179" s="1347"/>
      <c r="BB179" s="1347"/>
      <c r="BC179" s="1347"/>
      <c r="BD179" s="1347"/>
      <c r="BE179" s="1347"/>
      <c r="BF179" s="1347"/>
      <c r="BG179" s="475"/>
      <c r="BH179" s="475"/>
      <c r="BI179" s="475"/>
      <c r="BJ179" s="475"/>
      <c r="BK179" s="475"/>
      <c r="BL179" s="475"/>
      <c r="BM179" s="475"/>
      <c r="BN179" s="475"/>
      <c r="BO179" s="475"/>
      <c r="BP179" s="475"/>
      <c r="BQ179" s="475"/>
      <c r="BR179" s="475"/>
      <c r="BS179" s="475"/>
      <c r="BT179" s="475"/>
      <c r="BU179" s="475"/>
      <c r="BV179" s="475"/>
      <c r="BW179" s="475"/>
      <c r="BX179" s="475"/>
      <c r="BY179" s="475"/>
      <c r="BZ179" s="475"/>
      <c r="CA179" s="475"/>
      <c r="CB179" s="475"/>
      <c r="CC179" s="475"/>
      <c r="CD179" s="475"/>
      <c r="CE179" s="475"/>
      <c r="CF179" s="475"/>
      <c r="CG179" s="475"/>
      <c r="CH179" s="475"/>
      <c r="CI179" s="475"/>
      <c r="CJ179" s="475"/>
      <c r="CK179" s="475"/>
      <c r="CL179" s="475"/>
      <c r="CM179" s="475"/>
      <c r="CN179" s="475"/>
      <c r="CO179" s="475"/>
      <c r="CP179" s="475"/>
      <c r="CQ179" s="475"/>
      <c r="CR179" s="475"/>
      <c r="CS179" s="475"/>
      <c r="CT179" s="475"/>
      <c r="CU179" s="475"/>
      <c r="CV179" s="475"/>
      <c r="CW179" s="475"/>
      <c r="CX179" s="475"/>
      <c r="CY179" s="475"/>
      <c r="CZ179" s="475"/>
      <c r="DA179" s="475"/>
      <c r="DB179" s="475"/>
      <c r="DC179" s="475"/>
      <c r="DD179" s="475"/>
      <c r="DE179" s="475"/>
      <c r="DF179" s="475"/>
      <c r="DG179" s="475"/>
      <c r="DH179" s="475"/>
      <c r="DI179" s="475"/>
      <c r="DJ179" s="475"/>
      <c r="DK179" s="475"/>
      <c r="DL179" s="475"/>
      <c r="DM179" s="475"/>
      <c r="DN179" s="475"/>
      <c r="DO179" s="475"/>
      <c r="DP179" s="475"/>
      <c r="DQ179" s="475"/>
      <c r="DR179" s="766"/>
      <c r="DS179" s="474"/>
      <c r="DT179" s="474"/>
      <c r="DU179" s="474"/>
      <c r="DV179" s="474"/>
      <c r="DW179" s="474"/>
      <c r="DX179" s="474"/>
      <c r="DY179" s="474"/>
      <c r="DZ179" s="474"/>
      <c r="EA179" s="474"/>
      <c r="EB179" s="474"/>
      <c r="EC179" s="474"/>
    </row>
    <row r="180" spans="29:133" s="473" customFormat="1">
      <c r="AC180" s="484"/>
      <c r="AD180" s="1347"/>
      <c r="AE180" s="1347"/>
      <c r="AF180" s="1347"/>
      <c r="AG180" s="1347"/>
      <c r="AH180" s="1347"/>
      <c r="AI180" s="1347"/>
      <c r="AJ180" s="1347"/>
      <c r="AK180" s="1347"/>
      <c r="AL180" s="1347"/>
      <c r="AM180" s="1347"/>
      <c r="AN180" s="1347"/>
      <c r="AO180" s="1347"/>
      <c r="AP180" s="1347"/>
      <c r="AQ180" s="1347"/>
      <c r="AR180" s="1347"/>
      <c r="AS180" s="1347"/>
      <c r="AT180" s="1347"/>
      <c r="AU180" s="1347"/>
      <c r="AV180" s="1347"/>
      <c r="AW180" s="1347"/>
      <c r="AX180" s="1347"/>
      <c r="AY180" s="1347"/>
      <c r="AZ180" s="1347"/>
      <c r="BA180" s="1347"/>
      <c r="BB180" s="1347"/>
      <c r="BC180" s="1347"/>
      <c r="BD180" s="1347"/>
      <c r="BE180" s="1347"/>
      <c r="BF180" s="1347"/>
      <c r="BG180" s="475"/>
      <c r="BH180" s="475"/>
      <c r="BI180" s="475"/>
      <c r="BJ180" s="475"/>
      <c r="BK180" s="475"/>
      <c r="BL180" s="475"/>
      <c r="BM180" s="475"/>
      <c r="BN180" s="475"/>
      <c r="BO180" s="475"/>
      <c r="BP180" s="475"/>
      <c r="BQ180" s="475"/>
      <c r="BR180" s="475"/>
      <c r="BS180" s="475"/>
      <c r="BT180" s="475"/>
      <c r="BU180" s="475"/>
      <c r="BV180" s="475"/>
      <c r="BW180" s="475"/>
      <c r="BX180" s="475"/>
      <c r="BY180" s="475"/>
      <c r="BZ180" s="475"/>
      <c r="CA180" s="475"/>
      <c r="CB180" s="475"/>
      <c r="CC180" s="475"/>
      <c r="CD180" s="475"/>
      <c r="CE180" s="475"/>
      <c r="CF180" s="475"/>
      <c r="CG180" s="475"/>
      <c r="CH180" s="475"/>
      <c r="CI180" s="475"/>
      <c r="CJ180" s="475"/>
      <c r="CK180" s="475"/>
      <c r="CL180" s="475"/>
      <c r="CM180" s="475"/>
      <c r="CN180" s="475"/>
      <c r="CO180" s="475"/>
      <c r="CP180" s="475"/>
      <c r="CQ180" s="475"/>
      <c r="CR180" s="475"/>
      <c r="CS180" s="475"/>
      <c r="CT180" s="475"/>
      <c r="CU180" s="475"/>
      <c r="CV180" s="475"/>
      <c r="CW180" s="475"/>
      <c r="CX180" s="475"/>
      <c r="CY180" s="475"/>
      <c r="CZ180" s="475"/>
      <c r="DA180" s="475"/>
      <c r="DB180" s="475"/>
      <c r="DC180" s="475"/>
      <c r="DD180" s="475"/>
      <c r="DE180" s="475"/>
      <c r="DF180" s="475"/>
      <c r="DG180" s="475"/>
      <c r="DH180" s="475"/>
      <c r="DI180" s="475"/>
      <c r="DJ180" s="475"/>
      <c r="DK180" s="475"/>
      <c r="DL180" s="475"/>
      <c r="DM180" s="475"/>
      <c r="DN180" s="475"/>
      <c r="DO180" s="475"/>
      <c r="DP180" s="475"/>
      <c r="DQ180" s="475"/>
      <c r="DR180" s="766"/>
      <c r="DS180" s="474"/>
      <c r="DT180" s="474"/>
      <c r="DU180" s="474"/>
      <c r="DV180" s="474"/>
      <c r="DW180" s="474"/>
      <c r="DX180" s="474"/>
      <c r="DY180" s="474"/>
      <c r="DZ180" s="474"/>
      <c r="EA180" s="474"/>
      <c r="EB180" s="474"/>
      <c r="EC180" s="474"/>
    </row>
    <row r="181" spans="29:133" s="473" customFormat="1">
      <c r="AC181" s="484"/>
      <c r="AD181" s="1347"/>
      <c r="AE181" s="1347"/>
      <c r="AF181" s="1347"/>
      <c r="AG181" s="1347"/>
      <c r="AH181" s="1347"/>
      <c r="AI181" s="1347"/>
      <c r="AJ181" s="1347"/>
      <c r="AK181" s="1347"/>
      <c r="AL181" s="1347"/>
      <c r="AM181" s="1347"/>
      <c r="AN181" s="1347"/>
      <c r="AO181" s="1347"/>
      <c r="AP181" s="1347"/>
      <c r="AQ181" s="1347"/>
      <c r="AR181" s="1347"/>
      <c r="AS181" s="1347"/>
      <c r="AT181" s="1347"/>
      <c r="AU181" s="1347"/>
      <c r="AV181" s="1347"/>
      <c r="AW181" s="1347"/>
      <c r="AX181" s="1347"/>
      <c r="AY181" s="1347"/>
      <c r="AZ181" s="1347"/>
      <c r="BA181" s="1347"/>
      <c r="BB181" s="1347"/>
      <c r="BC181" s="1347"/>
      <c r="BD181" s="1347"/>
      <c r="BE181" s="1347"/>
      <c r="BF181" s="1347"/>
      <c r="BG181" s="475"/>
      <c r="BH181" s="475"/>
      <c r="BI181" s="475"/>
      <c r="BJ181" s="475"/>
      <c r="BK181" s="475"/>
      <c r="BL181" s="475"/>
      <c r="BM181" s="475"/>
      <c r="BN181" s="475"/>
      <c r="BO181" s="475"/>
      <c r="BP181" s="475"/>
      <c r="BQ181" s="475"/>
      <c r="BR181" s="475"/>
      <c r="BS181" s="475"/>
      <c r="BT181" s="475"/>
      <c r="BU181" s="475"/>
      <c r="BV181" s="475"/>
      <c r="BW181" s="475"/>
      <c r="BX181" s="475"/>
      <c r="BY181" s="475"/>
      <c r="BZ181" s="475"/>
      <c r="CA181" s="475"/>
      <c r="CB181" s="475"/>
      <c r="CC181" s="475"/>
      <c r="CD181" s="475"/>
      <c r="CE181" s="475"/>
      <c r="CF181" s="475"/>
      <c r="CG181" s="475"/>
      <c r="CH181" s="475"/>
      <c r="CI181" s="475"/>
      <c r="CJ181" s="475"/>
      <c r="CK181" s="475"/>
      <c r="CL181" s="475"/>
      <c r="CM181" s="475"/>
      <c r="CN181" s="475"/>
      <c r="CO181" s="475"/>
      <c r="CP181" s="475"/>
      <c r="CQ181" s="475"/>
      <c r="CR181" s="475"/>
      <c r="CS181" s="475"/>
      <c r="CT181" s="475"/>
      <c r="CU181" s="475"/>
      <c r="CV181" s="475"/>
      <c r="CW181" s="475"/>
      <c r="CX181" s="475"/>
      <c r="CY181" s="475"/>
      <c r="CZ181" s="475"/>
      <c r="DA181" s="475"/>
      <c r="DB181" s="475"/>
      <c r="DC181" s="475"/>
      <c r="DD181" s="475"/>
      <c r="DE181" s="475"/>
      <c r="DF181" s="475"/>
      <c r="DG181" s="475"/>
      <c r="DH181" s="475"/>
      <c r="DI181" s="475"/>
      <c r="DJ181" s="475"/>
      <c r="DK181" s="475"/>
      <c r="DL181" s="475"/>
      <c r="DM181" s="475"/>
      <c r="DN181" s="475"/>
      <c r="DO181" s="475"/>
      <c r="DP181" s="475"/>
      <c r="DQ181" s="475"/>
      <c r="DR181" s="766"/>
      <c r="DS181" s="474"/>
      <c r="DT181" s="474"/>
      <c r="DU181" s="474"/>
      <c r="DV181" s="474"/>
      <c r="DW181" s="474"/>
      <c r="DX181" s="474"/>
      <c r="DY181" s="474"/>
      <c r="DZ181" s="474"/>
      <c r="EA181" s="474"/>
      <c r="EB181" s="474"/>
      <c r="EC181" s="474"/>
    </row>
    <row r="182" spans="29:133" s="473" customFormat="1">
      <c r="AC182" s="484"/>
      <c r="AD182" s="1347"/>
      <c r="AE182" s="1347"/>
      <c r="AF182" s="1347"/>
      <c r="AG182" s="1347"/>
      <c r="AH182" s="1347"/>
      <c r="AI182" s="1347"/>
      <c r="AJ182" s="1347"/>
      <c r="AK182" s="1347"/>
      <c r="AL182" s="1347"/>
      <c r="AM182" s="1347"/>
      <c r="AN182" s="1347"/>
      <c r="AO182" s="1347"/>
      <c r="AP182" s="1347"/>
      <c r="AQ182" s="1347"/>
      <c r="AR182" s="1347"/>
      <c r="AS182" s="1347"/>
      <c r="AT182" s="1347"/>
      <c r="AU182" s="1347"/>
      <c r="AV182" s="1347"/>
      <c r="AW182" s="1347"/>
      <c r="AX182" s="1347"/>
      <c r="AY182" s="1347"/>
      <c r="AZ182" s="1347"/>
      <c r="BA182" s="1347"/>
      <c r="BB182" s="1347"/>
      <c r="BC182" s="1347"/>
      <c r="BD182" s="1347"/>
      <c r="BE182" s="1347"/>
      <c r="BF182" s="1347"/>
      <c r="BG182" s="475"/>
      <c r="BH182" s="475"/>
      <c r="BI182" s="475"/>
      <c r="BJ182" s="475"/>
      <c r="BK182" s="475"/>
      <c r="BL182" s="475"/>
      <c r="BM182" s="475"/>
      <c r="BN182" s="475"/>
      <c r="BO182" s="475"/>
      <c r="BP182" s="475"/>
      <c r="BQ182" s="475"/>
      <c r="BR182" s="475"/>
      <c r="BS182" s="475"/>
      <c r="BT182" s="475"/>
      <c r="BU182" s="475"/>
      <c r="BV182" s="475"/>
      <c r="BW182" s="475"/>
      <c r="BX182" s="475"/>
      <c r="BY182" s="475"/>
      <c r="BZ182" s="475"/>
      <c r="CA182" s="475"/>
      <c r="CB182" s="475"/>
      <c r="CC182" s="475"/>
      <c r="CD182" s="475"/>
      <c r="CE182" s="475"/>
      <c r="CF182" s="475"/>
      <c r="CG182" s="475"/>
      <c r="CH182" s="475"/>
      <c r="CI182" s="475"/>
      <c r="CJ182" s="475"/>
      <c r="CK182" s="475"/>
      <c r="CL182" s="475"/>
      <c r="CM182" s="475"/>
      <c r="CN182" s="475"/>
      <c r="CO182" s="475"/>
      <c r="CP182" s="475"/>
      <c r="CQ182" s="475"/>
      <c r="CR182" s="475"/>
      <c r="CS182" s="475"/>
      <c r="CT182" s="475"/>
      <c r="CU182" s="475"/>
      <c r="CV182" s="475"/>
      <c r="CW182" s="475"/>
      <c r="CX182" s="475"/>
      <c r="CY182" s="475"/>
      <c r="CZ182" s="475"/>
      <c r="DA182" s="475"/>
      <c r="DB182" s="475"/>
      <c r="DC182" s="475"/>
      <c r="DD182" s="475"/>
      <c r="DE182" s="475"/>
      <c r="DF182" s="475"/>
      <c r="DG182" s="475"/>
      <c r="DH182" s="475"/>
      <c r="DI182" s="475"/>
      <c r="DJ182" s="475"/>
      <c r="DK182" s="475"/>
      <c r="DL182" s="475"/>
      <c r="DM182" s="475"/>
      <c r="DN182" s="475"/>
      <c r="DO182" s="475"/>
      <c r="DP182" s="475"/>
      <c r="DQ182" s="475"/>
      <c r="DR182" s="766"/>
      <c r="DS182" s="474"/>
      <c r="DT182" s="474"/>
      <c r="DU182" s="474"/>
      <c r="DV182" s="474"/>
      <c r="DW182" s="474"/>
      <c r="DX182" s="474"/>
      <c r="DY182" s="474"/>
      <c r="DZ182" s="474"/>
      <c r="EA182" s="474"/>
      <c r="EB182" s="474"/>
      <c r="EC182" s="474"/>
    </row>
    <row r="183" spans="29:133" s="473" customFormat="1">
      <c r="AC183" s="484"/>
      <c r="AD183" s="1347"/>
      <c r="AE183" s="1347"/>
      <c r="AF183" s="1347"/>
      <c r="AG183" s="1347"/>
      <c r="AH183" s="1347"/>
      <c r="AI183" s="1347"/>
      <c r="AJ183" s="1347"/>
      <c r="AK183" s="1347"/>
      <c r="AL183" s="1347"/>
      <c r="AM183" s="1347"/>
      <c r="AN183" s="1347"/>
      <c r="AO183" s="1347"/>
      <c r="AP183" s="1347"/>
      <c r="AQ183" s="1347"/>
      <c r="AR183" s="1347"/>
      <c r="AS183" s="1347"/>
      <c r="AT183" s="1347"/>
      <c r="AU183" s="1347"/>
      <c r="AV183" s="1347"/>
      <c r="AW183" s="1347"/>
      <c r="AX183" s="1347"/>
      <c r="AY183" s="1347"/>
      <c r="AZ183" s="1347"/>
      <c r="BA183" s="1347"/>
      <c r="BB183" s="1347"/>
      <c r="BC183" s="1347"/>
      <c r="BD183" s="1347"/>
      <c r="BE183" s="1347"/>
      <c r="BF183" s="1347"/>
      <c r="BG183" s="475"/>
      <c r="BH183" s="475"/>
      <c r="BI183" s="475"/>
      <c r="BJ183" s="475"/>
      <c r="BK183" s="475"/>
      <c r="BL183" s="475"/>
      <c r="BM183" s="475"/>
      <c r="BN183" s="475"/>
      <c r="BO183" s="475"/>
      <c r="BP183" s="475"/>
      <c r="BQ183" s="475"/>
      <c r="BR183" s="475"/>
      <c r="BS183" s="475"/>
      <c r="BT183" s="475"/>
      <c r="BU183" s="475"/>
      <c r="BV183" s="475"/>
      <c r="BW183" s="475"/>
      <c r="BX183" s="475"/>
      <c r="BY183" s="475"/>
      <c r="BZ183" s="475"/>
      <c r="CA183" s="475"/>
      <c r="CB183" s="475"/>
      <c r="CC183" s="475"/>
      <c r="CD183" s="475"/>
      <c r="CE183" s="475"/>
      <c r="CF183" s="475"/>
      <c r="CG183" s="475"/>
      <c r="CH183" s="475"/>
      <c r="CI183" s="475"/>
      <c r="CJ183" s="475"/>
      <c r="CK183" s="475"/>
      <c r="CL183" s="475"/>
      <c r="CM183" s="475"/>
      <c r="CN183" s="475"/>
      <c r="CO183" s="475"/>
      <c r="CP183" s="475"/>
      <c r="CQ183" s="475"/>
      <c r="CR183" s="475"/>
      <c r="CS183" s="475"/>
      <c r="CT183" s="475"/>
      <c r="CU183" s="475"/>
      <c r="CV183" s="475"/>
      <c r="CW183" s="475"/>
      <c r="CX183" s="475"/>
      <c r="CY183" s="475"/>
      <c r="CZ183" s="475"/>
      <c r="DA183" s="475"/>
      <c r="DB183" s="475"/>
      <c r="DC183" s="475"/>
      <c r="DD183" s="475"/>
      <c r="DE183" s="475"/>
      <c r="DF183" s="475"/>
      <c r="DG183" s="475"/>
      <c r="DH183" s="475"/>
      <c r="DI183" s="475"/>
      <c r="DJ183" s="475"/>
      <c r="DK183" s="475"/>
      <c r="DL183" s="475"/>
      <c r="DM183" s="475"/>
      <c r="DN183" s="475"/>
      <c r="DO183" s="475"/>
      <c r="DP183" s="475"/>
      <c r="DQ183" s="475"/>
      <c r="DR183" s="766"/>
      <c r="DS183" s="474"/>
      <c r="DT183" s="474"/>
      <c r="DU183" s="474"/>
      <c r="DV183" s="474"/>
      <c r="DW183" s="474"/>
      <c r="DX183" s="474"/>
      <c r="DY183" s="474"/>
      <c r="DZ183" s="474"/>
      <c r="EA183" s="474"/>
      <c r="EB183" s="474"/>
      <c r="EC183" s="474"/>
    </row>
    <row r="184" spans="29:133" s="473" customFormat="1">
      <c r="AC184" s="519"/>
      <c r="AD184" s="1349"/>
      <c r="AE184" s="1349"/>
      <c r="AF184" s="1349"/>
      <c r="AG184" s="1349"/>
      <c r="AH184" s="1349"/>
      <c r="AI184" s="1349"/>
      <c r="AJ184" s="1349"/>
      <c r="AK184" s="1349"/>
      <c r="AL184" s="1349"/>
      <c r="AM184" s="1349"/>
      <c r="AN184" s="1349"/>
      <c r="AO184" s="1349"/>
      <c r="AP184" s="1349"/>
      <c r="AQ184" s="1349"/>
      <c r="AR184" s="1349"/>
      <c r="AS184" s="1349"/>
      <c r="AT184" s="1349"/>
      <c r="AU184" s="1349"/>
      <c r="AV184" s="1349"/>
      <c r="AW184" s="1349"/>
      <c r="AX184" s="1349"/>
      <c r="AY184" s="1349"/>
      <c r="AZ184" s="1349"/>
      <c r="BA184" s="1349"/>
      <c r="BB184" s="1349"/>
      <c r="BC184" s="1349"/>
      <c r="BD184" s="1349"/>
      <c r="BE184" s="1349"/>
      <c r="BF184" s="1349"/>
      <c r="BG184" s="520"/>
      <c r="BH184" s="520"/>
      <c r="BI184" s="520"/>
      <c r="BJ184" s="520"/>
      <c r="BK184" s="520"/>
      <c r="BL184" s="520"/>
      <c r="BM184" s="520"/>
      <c r="BN184" s="520"/>
      <c r="BO184" s="520"/>
      <c r="BP184" s="520"/>
      <c r="BQ184" s="520"/>
      <c r="BR184" s="520"/>
      <c r="BS184" s="520"/>
      <c r="BT184" s="520"/>
      <c r="BU184" s="520"/>
      <c r="BV184" s="520"/>
      <c r="BW184" s="520"/>
      <c r="BX184" s="520"/>
      <c r="BY184" s="520"/>
      <c r="BZ184" s="520"/>
      <c r="CA184" s="520"/>
      <c r="CB184" s="520"/>
      <c r="CC184" s="520"/>
      <c r="CD184" s="520"/>
      <c r="CE184" s="520"/>
      <c r="CF184" s="520"/>
      <c r="CG184" s="520"/>
      <c r="CH184" s="520"/>
      <c r="CI184" s="520"/>
      <c r="CJ184" s="520"/>
      <c r="CK184" s="520"/>
      <c r="CL184" s="520"/>
      <c r="CM184" s="520"/>
      <c r="CN184" s="520"/>
      <c r="CO184" s="520"/>
      <c r="CP184" s="520"/>
      <c r="CQ184" s="520"/>
      <c r="CR184" s="520"/>
      <c r="CS184" s="520"/>
      <c r="CT184" s="520"/>
      <c r="CU184" s="520"/>
      <c r="CV184" s="520"/>
      <c r="CW184" s="520"/>
      <c r="CX184" s="520"/>
      <c r="CY184" s="520"/>
      <c r="CZ184" s="520"/>
      <c r="DA184" s="520"/>
      <c r="DB184" s="520"/>
      <c r="DC184" s="520"/>
      <c r="DD184" s="520"/>
      <c r="DE184" s="520"/>
      <c r="DF184" s="520"/>
      <c r="DG184" s="520"/>
      <c r="DH184" s="520"/>
      <c r="DI184" s="520"/>
      <c r="DJ184" s="520"/>
      <c r="DK184" s="520"/>
      <c r="DL184" s="520"/>
      <c r="DM184" s="520"/>
      <c r="DN184" s="520"/>
      <c r="DO184" s="520"/>
      <c r="DP184" s="520"/>
      <c r="DQ184" s="520"/>
      <c r="DR184" s="526"/>
      <c r="DS184" s="474"/>
      <c r="DT184" s="474"/>
      <c r="DU184" s="474"/>
      <c r="DV184" s="474"/>
      <c r="DW184" s="474"/>
      <c r="DX184" s="474"/>
      <c r="DY184" s="474"/>
      <c r="DZ184" s="474"/>
      <c r="EA184" s="474"/>
      <c r="EB184" s="474"/>
      <c r="EC184" s="474"/>
    </row>
  </sheetData>
  <mergeCells count="13">
    <mergeCell ref="W45:X45"/>
    <mergeCell ref="Y45:Z45"/>
    <mergeCell ref="AA45:AB45"/>
    <mergeCell ref="M45:N45"/>
    <mergeCell ref="O45:P45"/>
    <mergeCell ref="Q45:R45"/>
    <mergeCell ref="S45:T45"/>
    <mergeCell ref="U45:V45"/>
    <mergeCell ref="C45:D45"/>
    <mergeCell ref="E45:F45"/>
    <mergeCell ref="G45:H45"/>
    <mergeCell ref="I45:J45"/>
    <mergeCell ref="K45:L45"/>
  </mergeCells>
  <phoneticPr fontId="93" type="noConversion"/>
  <hyperlinks>
    <hyperlink ref="N1" location="Content!A1" display="content" xr:uid="{00000000-0004-0000-0F00-000000000000}"/>
  </hyperlinks>
  <pageMargins left="0.7" right="0.7" top="0.75" bottom="0.75" header="0.3" footer="0.3"/>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DF161"/>
  <sheetViews>
    <sheetView zoomScaleNormal="100" workbookViewId="0">
      <pane xSplit="2" ySplit="6" topLeftCell="BE37" activePane="bottomRight" state="frozenSplit"/>
      <selection pane="topRight"/>
      <selection pane="bottomLeft"/>
      <selection pane="bottomRight" activeCell="BN78" sqref="BN78"/>
    </sheetView>
  </sheetViews>
  <sheetFormatPr defaultColWidth="9" defaultRowHeight="14.4"/>
  <cols>
    <col min="2" max="15" width="9.5546875" customWidth="1"/>
    <col min="16" max="16" width="9.5546875" style="123" customWidth="1"/>
    <col min="17" max="26" width="9.5546875" customWidth="1"/>
    <col min="27" max="27" width="10" customWidth="1"/>
    <col min="28" max="28" width="9" style="571" customWidth="1"/>
    <col min="29" max="29" width="9.5546875" customWidth="1"/>
    <col min="30" max="30" width="10" customWidth="1"/>
    <col min="32" max="32" width="8.77734375" customWidth="1"/>
  </cols>
  <sheetData>
    <row r="1" spans="1:97" ht="18">
      <c r="A1" s="3" t="s">
        <v>47</v>
      </c>
      <c r="B1" s="2"/>
      <c r="C1" s="2"/>
      <c r="D1" s="2"/>
      <c r="E1" s="2"/>
      <c r="F1" s="2"/>
      <c r="G1" s="2"/>
      <c r="H1" s="2"/>
      <c r="I1" s="2"/>
      <c r="J1" s="2"/>
      <c r="K1" s="2"/>
      <c r="L1" s="2"/>
      <c r="M1" s="2"/>
      <c r="N1" s="2"/>
      <c r="O1" s="2"/>
      <c r="P1" s="2"/>
      <c r="Q1" s="1"/>
      <c r="R1" s="1"/>
      <c r="S1" s="2"/>
      <c r="T1" s="2"/>
      <c r="U1" s="2"/>
      <c r="V1" s="2"/>
      <c r="W1" s="2"/>
      <c r="X1" s="2"/>
      <c r="Y1" s="2"/>
      <c r="Z1" s="2"/>
      <c r="AA1" s="2"/>
      <c r="AB1" s="670" t="s">
        <v>48</v>
      </c>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row>
    <row r="2" spans="1:97">
      <c r="A2" s="2" t="s">
        <v>417</v>
      </c>
      <c r="B2" s="2"/>
      <c r="C2" s="2"/>
      <c r="D2" s="2"/>
      <c r="E2" s="2"/>
      <c r="F2" s="2"/>
      <c r="G2" s="2"/>
      <c r="H2" s="2"/>
      <c r="I2" s="2"/>
      <c r="J2" s="2"/>
      <c r="K2" s="2"/>
      <c r="L2" s="2"/>
      <c r="M2" s="2"/>
      <c r="N2" s="2"/>
      <c r="O2" s="2"/>
      <c r="P2" s="2"/>
      <c r="Q2" s="1"/>
      <c r="R2" s="1"/>
      <c r="S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row>
    <row r="3" spans="1:97">
      <c r="A3" s="4" t="s">
        <v>418</v>
      </c>
      <c r="B3" s="2"/>
      <c r="C3" s="2"/>
      <c r="D3" s="2"/>
      <c r="E3" s="2"/>
      <c r="F3" s="2"/>
      <c r="G3" s="2"/>
      <c r="H3" s="2"/>
      <c r="I3" s="2"/>
      <c r="J3" s="2"/>
      <c r="K3" s="2"/>
      <c r="L3" s="2"/>
      <c r="M3" s="2"/>
      <c r="N3" s="2"/>
      <c r="O3" s="2"/>
      <c r="P3" s="2"/>
      <c r="Q3" s="1"/>
      <c r="R3" s="1"/>
      <c r="S3" s="2"/>
      <c r="T3" s="2"/>
      <c r="U3" s="2"/>
      <c r="V3" s="2"/>
      <c r="W3" s="2"/>
      <c r="X3" s="2"/>
      <c r="Y3" s="2"/>
      <c r="Z3" s="2"/>
      <c r="AA3" s="2"/>
      <c r="AB3" s="4"/>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row>
    <row r="4" spans="1:97">
      <c r="A4" s="4" t="s">
        <v>419</v>
      </c>
      <c r="B4" s="4" t="s">
        <v>420</v>
      </c>
      <c r="C4" s="4" t="s">
        <v>421</v>
      </c>
      <c r="D4" s="2"/>
      <c r="E4" s="2"/>
      <c r="F4" s="2"/>
      <c r="G4" s="2"/>
      <c r="H4" s="2"/>
      <c r="I4" s="2"/>
      <c r="J4" s="2"/>
      <c r="K4" s="2"/>
      <c r="L4" s="2"/>
      <c r="M4" s="2"/>
      <c r="N4" s="2"/>
      <c r="O4" s="2"/>
      <c r="P4" s="2"/>
      <c r="Q4" s="1"/>
      <c r="R4" s="1"/>
      <c r="S4" s="2"/>
      <c r="T4" s="2"/>
      <c r="U4" s="2"/>
      <c r="V4" s="2"/>
      <c r="W4" s="2"/>
      <c r="X4" s="2"/>
      <c r="Y4" s="2"/>
      <c r="Z4" s="2"/>
      <c r="AA4" s="2"/>
      <c r="AB4" s="4"/>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row>
    <row r="5" spans="1:97">
      <c r="A5" s="4"/>
      <c r="B5" s="2"/>
      <c r="C5" s="2"/>
      <c r="D5" s="2"/>
      <c r="E5" s="2"/>
      <c r="F5" s="2"/>
      <c r="G5" s="2"/>
      <c r="H5" s="2"/>
      <c r="I5" s="2"/>
      <c r="J5" s="2"/>
      <c r="K5" s="2"/>
      <c r="L5" s="2"/>
      <c r="M5" s="2"/>
      <c r="N5" s="2"/>
      <c r="O5" s="2"/>
      <c r="P5" s="2"/>
      <c r="Q5" s="1"/>
      <c r="R5" s="1"/>
      <c r="S5" s="2"/>
      <c r="T5" s="2"/>
      <c r="U5" s="2"/>
      <c r="V5" s="2"/>
      <c r="W5" s="2"/>
      <c r="X5" s="2"/>
      <c r="Y5" s="2"/>
      <c r="Z5" s="2"/>
      <c r="AA5" s="2"/>
      <c r="AB5" s="4"/>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row>
    <row r="6" spans="1:97">
      <c r="A6" s="572" t="s">
        <v>94</v>
      </c>
      <c r="B6" s="572" t="s">
        <v>422</v>
      </c>
      <c r="C6" s="9">
        <v>1997</v>
      </c>
      <c r="D6" s="9">
        <v>1998</v>
      </c>
      <c r="E6" s="9">
        <v>1999</v>
      </c>
      <c r="F6" s="9">
        <v>2000</v>
      </c>
      <c r="G6" s="9">
        <v>2001</v>
      </c>
      <c r="H6" s="9">
        <v>2002</v>
      </c>
      <c r="I6" s="9">
        <v>2003</v>
      </c>
      <c r="J6" s="8">
        <v>2004</v>
      </c>
      <c r="K6" s="40">
        <v>2005</v>
      </c>
      <c r="L6" s="601">
        <v>2006</v>
      </c>
      <c r="M6" s="602">
        <v>2007</v>
      </c>
      <c r="N6" s="602">
        <v>2008</v>
      </c>
      <c r="O6" s="602">
        <v>2009</v>
      </c>
      <c r="P6" s="602">
        <v>2010</v>
      </c>
      <c r="Q6" s="602">
        <v>2011</v>
      </c>
      <c r="R6" s="602">
        <v>2012</v>
      </c>
      <c r="S6" s="602">
        <v>2013</v>
      </c>
      <c r="T6" s="602">
        <v>2014</v>
      </c>
      <c r="U6" s="648">
        <v>2015</v>
      </c>
      <c r="V6" s="9">
        <v>2016</v>
      </c>
      <c r="W6" s="649">
        <v>2017</v>
      </c>
      <c r="X6" s="8">
        <v>2018</v>
      </c>
      <c r="Y6" s="9">
        <v>2019</v>
      </c>
      <c r="Z6" s="9">
        <v>2020</v>
      </c>
      <c r="AA6" s="9">
        <v>2021</v>
      </c>
      <c r="AB6" s="9">
        <v>2022</v>
      </c>
      <c r="AC6" s="9">
        <v>2023</v>
      </c>
      <c r="AD6" s="9">
        <v>2024</v>
      </c>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row>
    <row r="7" spans="1:97">
      <c r="A7" s="1400" t="s">
        <v>186</v>
      </c>
      <c r="B7" s="14" t="s">
        <v>66</v>
      </c>
      <c r="C7" s="573">
        <v>19430</v>
      </c>
      <c r="D7" s="573">
        <v>18376</v>
      </c>
      <c r="E7" s="573">
        <v>17877</v>
      </c>
      <c r="F7" s="573">
        <v>13536</v>
      </c>
      <c r="G7" s="573">
        <v>18330</v>
      </c>
      <c r="H7" s="574">
        <v>25495</v>
      </c>
      <c r="I7" s="574">
        <v>32091</v>
      </c>
      <c r="J7" s="603">
        <v>31449</v>
      </c>
      <c r="K7" s="604">
        <v>28028</v>
      </c>
      <c r="L7" s="605">
        <v>32487</v>
      </c>
      <c r="M7" s="606">
        <v>28408</v>
      </c>
      <c r="N7" s="606">
        <v>32249</v>
      </c>
      <c r="O7" s="606">
        <v>27843</v>
      </c>
      <c r="P7" s="606">
        <v>30702</v>
      </c>
      <c r="Q7" s="606">
        <v>32582</v>
      </c>
      <c r="R7" s="606">
        <v>32634</v>
      </c>
      <c r="S7" s="606">
        <v>33608</v>
      </c>
      <c r="T7" s="606">
        <v>33042</v>
      </c>
      <c r="U7" s="650">
        <v>36560</v>
      </c>
      <c r="V7" s="574">
        <v>48727</v>
      </c>
      <c r="W7" s="651">
        <v>50680</v>
      </c>
      <c r="X7" s="603">
        <v>57906</v>
      </c>
      <c r="Y7" s="574">
        <v>60570</v>
      </c>
      <c r="Z7" s="574">
        <v>58656</v>
      </c>
      <c r="AA7" s="574">
        <v>47714</v>
      </c>
      <c r="AB7" s="671">
        <v>36626</v>
      </c>
      <c r="AC7" s="574">
        <v>46611</v>
      </c>
      <c r="AD7" s="574">
        <v>48550</v>
      </c>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row>
    <row r="8" spans="1:97">
      <c r="A8" s="1401"/>
      <c r="B8" s="17" t="s">
        <v>55</v>
      </c>
      <c r="C8" s="87">
        <v>8980</v>
      </c>
      <c r="D8" s="87">
        <v>7702</v>
      </c>
      <c r="E8" s="87">
        <v>7141</v>
      </c>
      <c r="F8" s="87">
        <v>5498</v>
      </c>
      <c r="G8" s="87">
        <v>6580</v>
      </c>
      <c r="H8" s="88">
        <v>8250</v>
      </c>
      <c r="I8" s="88">
        <v>10293</v>
      </c>
      <c r="J8" s="106">
        <v>10440</v>
      </c>
      <c r="K8" s="107">
        <v>9548</v>
      </c>
      <c r="L8" s="607">
        <v>12044</v>
      </c>
      <c r="M8" s="608">
        <v>10650</v>
      </c>
      <c r="N8" s="608">
        <v>10917</v>
      </c>
      <c r="O8" s="608">
        <v>9540</v>
      </c>
      <c r="P8" s="608">
        <v>10580</v>
      </c>
      <c r="Q8" s="608">
        <v>11649</v>
      </c>
      <c r="R8" s="608">
        <v>12852</v>
      </c>
      <c r="S8" s="608">
        <v>12135</v>
      </c>
      <c r="T8" s="608">
        <v>11120</v>
      </c>
      <c r="U8" s="652">
        <v>10585</v>
      </c>
      <c r="V8" s="88">
        <v>15395</v>
      </c>
      <c r="W8" s="108">
        <v>17660</v>
      </c>
      <c r="X8" s="106">
        <v>21343</v>
      </c>
      <c r="Y8" s="88">
        <v>22423</v>
      </c>
      <c r="Z8" s="88">
        <v>20230</v>
      </c>
      <c r="AA8" s="88">
        <v>15395</v>
      </c>
      <c r="AB8" s="672">
        <v>10932</v>
      </c>
      <c r="AC8" s="88">
        <v>13416</v>
      </c>
      <c r="AD8" s="88">
        <v>13444</v>
      </c>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row>
    <row r="9" spans="1:97">
      <c r="A9" s="1401"/>
      <c r="B9" s="17" t="s">
        <v>56</v>
      </c>
      <c r="C9" s="575">
        <v>120</v>
      </c>
      <c r="D9" s="575">
        <v>137</v>
      </c>
      <c r="E9" s="575">
        <v>178</v>
      </c>
      <c r="F9" s="575">
        <v>164</v>
      </c>
      <c r="G9" s="575">
        <v>171</v>
      </c>
      <c r="H9" s="575">
        <v>250</v>
      </c>
      <c r="I9" s="575">
        <v>250</v>
      </c>
      <c r="J9" s="609">
        <v>459</v>
      </c>
      <c r="K9" s="610">
        <v>486</v>
      </c>
      <c r="L9" s="611">
        <v>787</v>
      </c>
      <c r="M9" s="608">
        <v>858</v>
      </c>
      <c r="N9" s="608">
        <v>1201</v>
      </c>
      <c r="O9" s="608">
        <v>1120</v>
      </c>
      <c r="P9" s="608">
        <v>1392</v>
      </c>
      <c r="Q9" s="608">
        <v>1427</v>
      </c>
      <c r="R9" s="608">
        <v>1788</v>
      </c>
      <c r="S9" s="608">
        <v>1989</v>
      </c>
      <c r="T9" s="608">
        <v>1891</v>
      </c>
      <c r="U9" s="652">
        <v>1987</v>
      </c>
      <c r="V9" s="88">
        <v>3210</v>
      </c>
      <c r="W9" s="108">
        <v>4435</v>
      </c>
      <c r="X9" s="106">
        <v>6262</v>
      </c>
      <c r="Y9" s="88">
        <v>7247</v>
      </c>
      <c r="Z9" s="88">
        <v>7049</v>
      </c>
      <c r="AA9" s="88">
        <v>5806</v>
      </c>
      <c r="AB9" s="672">
        <v>4383</v>
      </c>
      <c r="AC9" s="88">
        <v>5581</v>
      </c>
      <c r="AD9" s="88">
        <v>6094</v>
      </c>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row>
    <row r="10" spans="1:97">
      <c r="A10" s="1401"/>
      <c r="B10" s="28" t="s">
        <v>57</v>
      </c>
      <c r="C10" s="576">
        <v>3</v>
      </c>
      <c r="D10" s="576">
        <v>7</v>
      </c>
      <c r="E10" s="576">
        <v>7</v>
      </c>
      <c r="F10" s="576">
        <v>11</v>
      </c>
      <c r="G10" s="576">
        <v>10</v>
      </c>
      <c r="H10" s="576">
        <v>26</v>
      </c>
      <c r="I10" s="576">
        <v>25</v>
      </c>
      <c r="J10" s="612">
        <v>69</v>
      </c>
      <c r="K10" s="613">
        <v>82</v>
      </c>
      <c r="L10" s="614">
        <v>113</v>
      </c>
      <c r="M10" s="615">
        <v>138</v>
      </c>
      <c r="N10" s="615">
        <v>277</v>
      </c>
      <c r="O10" s="615">
        <v>351</v>
      </c>
      <c r="P10" s="616">
        <v>433</v>
      </c>
      <c r="Q10" s="616">
        <v>515</v>
      </c>
      <c r="R10" s="616">
        <v>793</v>
      </c>
      <c r="S10" s="616">
        <v>941</v>
      </c>
      <c r="T10" s="616">
        <v>1186</v>
      </c>
      <c r="U10" s="653">
        <v>1407</v>
      </c>
      <c r="V10" s="654">
        <v>2513</v>
      </c>
      <c r="W10" s="655">
        <v>3180</v>
      </c>
      <c r="X10" s="656">
        <v>4831</v>
      </c>
      <c r="Y10" s="654">
        <v>6229</v>
      </c>
      <c r="Z10" s="654">
        <v>6863</v>
      </c>
      <c r="AA10" s="654">
        <v>6864</v>
      </c>
      <c r="AB10" s="672">
        <v>5846</v>
      </c>
      <c r="AC10" s="654">
        <v>8821</v>
      </c>
      <c r="AD10" s="654">
        <v>8716</v>
      </c>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row>
    <row r="11" spans="1:97">
      <c r="A11" s="1401"/>
      <c r="B11" s="17" t="s">
        <v>58</v>
      </c>
      <c r="C11" s="87">
        <v>9981</v>
      </c>
      <c r="D11" s="87">
        <v>9380</v>
      </c>
      <c r="E11" s="87">
        <v>9156</v>
      </c>
      <c r="F11" s="87">
        <v>7428</v>
      </c>
      <c r="G11" s="87">
        <v>8583</v>
      </c>
      <c r="H11" s="88">
        <v>11842</v>
      </c>
      <c r="I11" s="88">
        <v>15090</v>
      </c>
      <c r="J11" s="106">
        <v>14205</v>
      </c>
      <c r="K11" s="43">
        <v>13007</v>
      </c>
      <c r="L11" s="607">
        <v>14835</v>
      </c>
      <c r="M11" s="608">
        <v>12506</v>
      </c>
      <c r="N11" s="608">
        <v>12733</v>
      </c>
      <c r="O11" s="608">
        <v>11439</v>
      </c>
      <c r="P11" s="608">
        <v>12506</v>
      </c>
      <c r="Q11" s="608">
        <v>13382</v>
      </c>
      <c r="R11" s="608">
        <v>14699</v>
      </c>
      <c r="S11" s="608">
        <v>14880</v>
      </c>
      <c r="T11" s="608">
        <v>14384</v>
      </c>
      <c r="U11" s="652">
        <v>14950</v>
      </c>
      <c r="V11" s="88">
        <v>21939</v>
      </c>
      <c r="W11" s="108">
        <v>24960</v>
      </c>
      <c r="X11" s="106">
        <v>31136</v>
      </c>
      <c r="Y11" s="88">
        <v>34614</v>
      </c>
      <c r="Z11" s="88">
        <v>34162</v>
      </c>
      <c r="AA11" s="88">
        <v>27424</v>
      </c>
      <c r="AB11" s="672">
        <v>19965</v>
      </c>
      <c r="AC11" s="88">
        <v>24974</v>
      </c>
      <c r="AD11" s="88">
        <v>26868</v>
      </c>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row>
    <row r="12" spans="1:97">
      <c r="A12" s="1401"/>
      <c r="B12" s="25" t="s">
        <v>59</v>
      </c>
      <c r="C12" s="577">
        <v>11113</v>
      </c>
      <c r="D12" s="577">
        <v>10496</v>
      </c>
      <c r="E12" s="577">
        <v>10154</v>
      </c>
      <c r="F12" s="577">
        <v>8314</v>
      </c>
      <c r="G12" s="577">
        <v>9611</v>
      </c>
      <c r="H12" s="577">
        <v>13360</v>
      </c>
      <c r="I12" s="577">
        <v>17330</v>
      </c>
      <c r="J12" s="577">
        <v>16310</v>
      </c>
      <c r="K12" s="577">
        <v>15111</v>
      </c>
      <c r="L12" s="577">
        <v>17346</v>
      </c>
      <c r="M12" s="577">
        <v>14646</v>
      </c>
      <c r="N12" s="577">
        <v>15175</v>
      </c>
      <c r="O12" s="577">
        <v>13592</v>
      </c>
      <c r="P12" s="617">
        <v>2495</v>
      </c>
      <c r="Q12" s="617">
        <v>2557</v>
      </c>
      <c r="R12" s="617">
        <v>2921</v>
      </c>
      <c r="S12" s="617">
        <v>3159</v>
      </c>
      <c r="T12" s="617">
        <v>2990</v>
      </c>
      <c r="U12" s="657">
        <v>2932</v>
      </c>
      <c r="V12" s="658">
        <v>4156</v>
      </c>
      <c r="W12" s="659">
        <v>4720</v>
      </c>
      <c r="X12" s="660">
        <v>6147</v>
      </c>
      <c r="Y12" s="658">
        <v>6701</v>
      </c>
      <c r="Z12" s="658">
        <v>6755</v>
      </c>
      <c r="AA12" s="658">
        <v>5596</v>
      </c>
      <c r="AB12" s="672">
        <v>4002</v>
      </c>
      <c r="AC12" s="658">
        <v>5206</v>
      </c>
      <c r="AD12" s="658">
        <v>5852</v>
      </c>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row>
    <row r="13" spans="1:97">
      <c r="A13" s="1402"/>
      <c r="B13" s="20" t="s">
        <v>62</v>
      </c>
      <c r="C13" s="90">
        <v>39646</v>
      </c>
      <c r="D13" s="90">
        <v>36718</v>
      </c>
      <c r="E13" s="90">
        <v>35357</v>
      </c>
      <c r="F13" s="90">
        <v>27523</v>
      </c>
      <c r="G13" s="90">
        <v>34702</v>
      </c>
      <c r="H13" s="91">
        <v>47381</v>
      </c>
      <c r="I13" s="91">
        <v>59989</v>
      </c>
      <c r="J13" s="110">
        <v>58727</v>
      </c>
      <c r="K13" s="111">
        <v>53255</v>
      </c>
      <c r="L13" s="618">
        <v>62777</v>
      </c>
      <c r="M13" s="619">
        <v>54700</v>
      </c>
      <c r="N13" s="619">
        <v>59819</v>
      </c>
      <c r="O13" s="619">
        <v>52446</v>
      </c>
      <c r="P13" s="619">
        <v>58108</v>
      </c>
      <c r="Q13" s="619">
        <v>62112</v>
      </c>
      <c r="R13" s="619">
        <v>65687</v>
      </c>
      <c r="S13" s="619">
        <v>66712</v>
      </c>
      <c r="T13" s="619">
        <v>64613</v>
      </c>
      <c r="U13" s="661">
        <v>68421</v>
      </c>
      <c r="V13" s="91">
        <v>95940</v>
      </c>
      <c r="W13" s="662">
        <v>105635</v>
      </c>
      <c r="X13" s="110">
        <v>127625</v>
      </c>
      <c r="Y13" s="91">
        <v>137784</v>
      </c>
      <c r="Z13" s="91">
        <v>133715</v>
      </c>
      <c r="AA13" s="91">
        <f>SUM(AA7:AA12)</f>
        <v>108799</v>
      </c>
      <c r="AB13" s="673">
        <f>SUM(AB7:AB12)</f>
        <v>81754</v>
      </c>
      <c r="AC13" s="91">
        <f>SUM(AC7:AC12)</f>
        <v>104609</v>
      </c>
      <c r="AD13" s="91">
        <f>SUM(AD7:AD12)</f>
        <v>109524</v>
      </c>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row>
    <row r="14" spans="1:97">
      <c r="A14" s="1400" t="s">
        <v>129</v>
      </c>
      <c r="B14" s="14" t="s">
        <v>66</v>
      </c>
      <c r="C14" s="578">
        <v>7422</v>
      </c>
      <c r="D14" s="578">
        <v>6843</v>
      </c>
      <c r="E14" s="578">
        <v>6843</v>
      </c>
      <c r="F14" s="578">
        <v>5229</v>
      </c>
      <c r="G14" s="578">
        <v>5067</v>
      </c>
      <c r="H14" s="579">
        <v>4732</v>
      </c>
      <c r="I14" s="579">
        <v>4729</v>
      </c>
      <c r="J14" s="620">
        <v>4679</v>
      </c>
      <c r="K14" s="621">
        <v>4554</v>
      </c>
      <c r="L14" s="622">
        <v>5741</v>
      </c>
      <c r="M14" s="623">
        <v>8189</v>
      </c>
      <c r="N14" s="623">
        <v>11244</v>
      </c>
      <c r="O14" s="623">
        <v>13177</v>
      </c>
      <c r="P14" s="623">
        <v>15626</v>
      </c>
      <c r="Q14" s="623">
        <v>17292</v>
      </c>
      <c r="R14" s="623">
        <v>20329</v>
      </c>
      <c r="S14" s="623">
        <v>20679</v>
      </c>
      <c r="T14" s="623">
        <v>19917</v>
      </c>
      <c r="U14" s="663">
        <v>16321</v>
      </c>
      <c r="V14" s="579">
        <v>16086</v>
      </c>
      <c r="W14" s="664">
        <v>15584</v>
      </c>
      <c r="X14" s="620">
        <v>14653</v>
      </c>
      <c r="Y14" s="579">
        <v>13485</v>
      </c>
      <c r="Z14" s="579">
        <v>13266</v>
      </c>
      <c r="AA14" s="579">
        <v>14297</v>
      </c>
      <c r="AB14" s="672">
        <v>14806</v>
      </c>
      <c r="AC14" s="579">
        <v>15322</v>
      </c>
      <c r="AD14" s="579">
        <v>16191</v>
      </c>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row>
    <row r="15" spans="1:97">
      <c r="A15" s="1401"/>
      <c r="B15" s="17" t="s">
        <v>55</v>
      </c>
      <c r="C15" s="578">
        <v>129937</v>
      </c>
      <c r="D15" s="578">
        <v>125704</v>
      </c>
      <c r="E15" s="578">
        <v>125704</v>
      </c>
      <c r="F15" s="578">
        <v>112269</v>
      </c>
      <c r="G15" s="578">
        <v>109375</v>
      </c>
      <c r="H15" s="579">
        <v>108515</v>
      </c>
      <c r="I15" s="579">
        <v>110835</v>
      </c>
      <c r="J15" s="620">
        <v>112527</v>
      </c>
      <c r="K15" s="621">
        <v>111088</v>
      </c>
      <c r="L15" s="622">
        <v>126804</v>
      </c>
      <c r="M15" s="623">
        <v>145040</v>
      </c>
      <c r="N15" s="623">
        <v>151765</v>
      </c>
      <c r="O15" s="623">
        <v>164459</v>
      </c>
      <c r="P15" s="623">
        <v>187237</v>
      </c>
      <c r="Q15" s="623">
        <v>197594</v>
      </c>
      <c r="R15" s="623">
        <v>224917</v>
      </c>
      <c r="S15" s="623">
        <v>225571</v>
      </c>
      <c r="T15" s="623">
        <v>177750</v>
      </c>
      <c r="U15" s="663">
        <v>146749</v>
      </c>
      <c r="V15" s="579">
        <v>160643</v>
      </c>
      <c r="W15" s="664">
        <v>156844</v>
      </c>
      <c r="X15" s="620">
        <v>152440</v>
      </c>
      <c r="Y15" s="579">
        <v>140865</v>
      </c>
      <c r="Z15" s="579">
        <v>140329</v>
      </c>
      <c r="AA15" s="579">
        <v>141853</v>
      </c>
      <c r="AB15" s="672">
        <v>155117</v>
      </c>
      <c r="AC15" s="579">
        <v>158587</v>
      </c>
      <c r="AD15" s="579">
        <v>146778</v>
      </c>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row>
    <row r="16" spans="1:97">
      <c r="A16" s="1401"/>
      <c r="B16" s="17" t="s">
        <v>56</v>
      </c>
      <c r="C16" s="575">
        <v>942</v>
      </c>
      <c r="D16" s="575">
        <v>1248</v>
      </c>
      <c r="E16" s="575">
        <v>1628</v>
      </c>
      <c r="F16" s="575">
        <v>1156</v>
      </c>
      <c r="G16" s="575">
        <v>729</v>
      </c>
      <c r="H16" s="575">
        <v>136</v>
      </c>
      <c r="I16" s="575">
        <v>897</v>
      </c>
      <c r="J16" s="609">
        <v>1122</v>
      </c>
      <c r="K16" s="610">
        <v>1470</v>
      </c>
      <c r="L16" s="611">
        <v>2002</v>
      </c>
      <c r="M16" s="608">
        <v>2538</v>
      </c>
      <c r="N16" s="608">
        <v>2596</v>
      </c>
      <c r="O16" s="608">
        <v>2777</v>
      </c>
      <c r="P16" s="608">
        <v>3505</v>
      </c>
      <c r="Q16" s="608">
        <v>4048</v>
      </c>
      <c r="R16" s="608">
        <v>5165</v>
      </c>
      <c r="S16" s="608">
        <v>4984</v>
      </c>
      <c r="T16" s="608">
        <v>4336</v>
      </c>
      <c r="U16" s="652">
        <v>3886</v>
      </c>
      <c r="V16" s="88">
        <v>1832</v>
      </c>
      <c r="W16" s="108">
        <v>2415</v>
      </c>
      <c r="X16" s="106">
        <v>4199</v>
      </c>
      <c r="Y16" s="88">
        <v>3938</v>
      </c>
      <c r="Z16" s="88">
        <v>3960</v>
      </c>
      <c r="AA16" s="88">
        <v>4325</v>
      </c>
      <c r="AB16" s="672">
        <v>5088</v>
      </c>
      <c r="AC16" s="88">
        <v>5717</v>
      </c>
      <c r="AD16" s="88">
        <v>6259</v>
      </c>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row>
    <row r="17" spans="1:97">
      <c r="A17" s="1401"/>
      <c r="B17" s="28" t="s">
        <v>57</v>
      </c>
      <c r="C17" s="576">
        <v>22</v>
      </c>
      <c r="D17" s="576">
        <v>7</v>
      </c>
      <c r="E17" s="576">
        <v>18</v>
      </c>
      <c r="F17" s="576">
        <v>20</v>
      </c>
      <c r="G17" s="576">
        <v>15</v>
      </c>
      <c r="H17" s="576">
        <v>6</v>
      </c>
      <c r="I17" s="576">
        <v>23</v>
      </c>
      <c r="J17" s="612">
        <v>18</v>
      </c>
      <c r="K17" s="613">
        <v>19</v>
      </c>
      <c r="L17" s="614">
        <v>47</v>
      </c>
      <c r="M17" s="615">
        <v>67</v>
      </c>
      <c r="N17" s="615">
        <v>91</v>
      </c>
      <c r="O17" s="615">
        <v>156</v>
      </c>
      <c r="P17" s="616">
        <v>255</v>
      </c>
      <c r="Q17" s="616">
        <v>416</v>
      </c>
      <c r="R17" s="616">
        <v>822</v>
      </c>
      <c r="S17" s="616">
        <v>1243</v>
      </c>
      <c r="T17" s="616">
        <v>1560</v>
      </c>
      <c r="U17" s="653">
        <v>1535</v>
      </c>
      <c r="V17" s="654">
        <v>4292</v>
      </c>
      <c r="W17" s="655">
        <v>4232</v>
      </c>
      <c r="X17" s="656">
        <v>3152</v>
      </c>
      <c r="Y17" s="654">
        <v>3738</v>
      </c>
      <c r="Z17" s="654">
        <v>4331</v>
      </c>
      <c r="AA17" s="654">
        <v>4902</v>
      </c>
      <c r="AB17" s="672">
        <v>6465</v>
      </c>
      <c r="AC17" s="654">
        <v>8192</v>
      </c>
      <c r="AD17" s="654">
        <v>8694</v>
      </c>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row>
    <row r="18" spans="1:97">
      <c r="A18" s="1401"/>
      <c r="B18" s="17" t="s">
        <v>58</v>
      </c>
      <c r="C18" s="578">
        <v>8646</v>
      </c>
      <c r="D18" s="578">
        <v>7046</v>
      </c>
      <c r="E18" s="578">
        <v>7046</v>
      </c>
      <c r="F18" s="578">
        <v>6007</v>
      </c>
      <c r="G18" s="578">
        <v>6020</v>
      </c>
      <c r="H18" s="579">
        <v>5588</v>
      </c>
      <c r="I18" s="579">
        <v>5476</v>
      </c>
      <c r="J18" s="620">
        <v>5256</v>
      </c>
      <c r="K18" s="621">
        <v>5168</v>
      </c>
      <c r="L18" s="622">
        <v>5993</v>
      </c>
      <c r="M18" s="623">
        <v>8023</v>
      </c>
      <c r="N18" s="623">
        <v>9873</v>
      </c>
      <c r="O18" s="623">
        <v>11033</v>
      </c>
      <c r="P18" s="623">
        <v>13824</v>
      </c>
      <c r="Q18" s="623">
        <v>16262</v>
      </c>
      <c r="R18" s="623">
        <v>20103</v>
      </c>
      <c r="S18" s="623">
        <v>21131</v>
      </c>
      <c r="T18" s="623">
        <v>20229</v>
      </c>
      <c r="U18" s="663">
        <v>17995</v>
      </c>
      <c r="V18" s="579">
        <v>17248</v>
      </c>
      <c r="W18" s="664">
        <v>17451</v>
      </c>
      <c r="X18" s="620">
        <v>17080</v>
      </c>
      <c r="Y18" s="579">
        <v>14789</v>
      </c>
      <c r="Z18" s="579">
        <v>14165</v>
      </c>
      <c r="AA18" s="579">
        <v>15347</v>
      </c>
      <c r="AB18" s="672">
        <v>16379</v>
      </c>
      <c r="AC18" s="579">
        <v>17822</v>
      </c>
      <c r="AD18" s="579">
        <v>18523</v>
      </c>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row>
    <row r="19" spans="1:97">
      <c r="A19" s="1401"/>
      <c r="B19" s="25" t="s">
        <v>59</v>
      </c>
      <c r="C19" s="577">
        <v>9363</v>
      </c>
      <c r="D19" s="577">
        <v>7646</v>
      </c>
      <c r="E19" s="577">
        <v>7255</v>
      </c>
      <c r="F19" s="577">
        <v>7206</v>
      </c>
      <c r="G19" s="577">
        <v>6556</v>
      </c>
      <c r="H19" s="577">
        <v>6629</v>
      </c>
      <c r="I19" s="577">
        <v>6027</v>
      </c>
      <c r="J19" s="577">
        <v>5846</v>
      </c>
      <c r="K19" s="577">
        <v>5813</v>
      </c>
      <c r="L19" s="577">
        <v>6805</v>
      </c>
      <c r="M19" s="577">
        <v>9120</v>
      </c>
      <c r="N19" s="577">
        <v>11254</v>
      </c>
      <c r="O19" s="577">
        <v>12780</v>
      </c>
      <c r="P19" s="617">
        <v>2246</v>
      </c>
      <c r="Q19" s="617">
        <v>2711</v>
      </c>
      <c r="R19" s="617">
        <v>3455</v>
      </c>
      <c r="S19" s="617">
        <v>3471</v>
      </c>
      <c r="T19" s="617">
        <v>3350</v>
      </c>
      <c r="U19" s="657">
        <v>2872</v>
      </c>
      <c r="V19" s="658">
        <v>2986</v>
      </c>
      <c r="W19" s="659">
        <v>3051</v>
      </c>
      <c r="X19" s="660">
        <v>3001</v>
      </c>
      <c r="Y19" s="658">
        <v>3095</v>
      </c>
      <c r="Z19" s="658">
        <v>3332</v>
      </c>
      <c r="AA19" s="658">
        <v>3648</v>
      </c>
      <c r="AB19" s="672">
        <v>3565</v>
      </c>
      <c r="AC19" s="658">
        <v>3728</v>
      </c>
      <c r="AD19" s="658">
        <v>3839</v>
      </c>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row>
    <row r="20" spans="1:97">
      <c r="A20" s="1402"/>
      <c r="B20" s="20" t="s">
        <v>62</v>
      </c>
      <c r="C20" s="90">
        <v>147686</v>
      </c>
      <c r="D20" s="90">
        <v>141448</v>
      </c>
      <c r="E20" s="90">
        <v>141448</v>
      </c>
      <c r="F20" s="90">
        <v>125880</v>
      </c>
      <c r="G20" s="90">
        <v>121742</v>
      </c>
      <c r="H20" s="91">
        <v>120018</v>
      </c>
      <c r="I20" s="91">
        <v>122511</v>
      </c>
      <c r="J20" s="110">
        <v>124192</v>
      </c>
      <c r="K20" s="111">
        <v>122944</v>
      </c>
      <c r="L20" s="618">
        <v>141399</v>
      </c>
      <c r="M20" s="619">
        <v>164954</v>
      </c>
      <c r="N20" s="619">
        <v>176950</v>
      </c>
      <c r="O20" s="619">
        <v>193349</v>
      </c>
      <c r="P20" s="619">
        <v>222693</v>
      </c>
      <c r="Q20" s="619">
        <v>238323</v>
      </c>
      <c r="R20" s="619">
        <v>274791</v>
      </c>
      <c r="S20" s="619">
        <v>277079</v>
      </c>
      <c r="T20" s="619">
        <v>227142</v>
      </c>
      <c r="U20" s="661">
        <v>189358</v>
      </c>
      <c r="V20" s="91">
        <v>203087</v>
      </c>
      <c r="W20" s="662">
        <v>199577</v>
      </c>
      <c r="X20" s="110">
        <v>194525</v>
      </c>
      <c r="Y20" s="91">
        <v>179910</v>
      </c>
      <c r="Z20" s="91">
        <v>179383</v>
      </c>
      <c r="AA20" s="91">
        <f>SUM(AA14:AA19)</f>
        <v>184372</v>
      </c>
      <c r="AB20" s="673">
        <f>SUM(AB14:AB19)</f>
        <v>201420</v>
      </c>
      <c r="AC20" s="91">
        <f>SUM(AC14:AC19)</f>
        <v>209368</v>
      </c>
      <c r="AD20" s="91">
        <f>SUM(AD14:AD19)</f>
        <v>200284</v>
      </c>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row>
    <row r="21" spans="1:97">
      <c r="A21" s="1400" t="s">
        <v>146</v>
      </c>
      <c r="B21" s="14" t="s">
        <v>66</v>
      </c>
      <c r="C21" s="580">
        <v>1855</v>
      </c>
      <c r="D21" s="580">
        <v>3180</v>
      </c>
      <c r="E21" s="580">
        <v>3584</v>
      </c>
      <c r="F21" s="580">
        <v>1943</v>
      </c>
      <c r="G21" s="580">
        <v>2396</v>
      </c>
      <c r="H21" s="581">
        <v>2740</v>
      </c>
      <c r="I21" s="581">
        <v>2821</v>
      </c>
      <c r="J21" s="624">
        <v>3140</v>
      </c>
      <c r="K21" s="625">
        <v>4383</v>
      </c>
      <c r="L21" s="626">
        <v>7208</v>
      </c>
      <c r="M21" s="623">
        <v>6746</v>
      </c>
      <c r="N21" s="623">
        <v>4920</v>
      </c>
      <c r="O21" s="623">
        <v>3113</v>
      </c>
      <c r="P21" s="623">
        <v>3533</v>
      </c>
      <c r="Q21" s="623">
        <v>4344</v>
      </c>
      <c r="R21" s="623">
        <v>6272</v>
      </c>
      <c r="S21" s="623">
        <v>7314</v>
      </c>
      <c r="T21" s="623">
        <v>7741</v>
      </c>
      <c r="U21" s="663">
        <v>6432</v>
      </c>
      <c r="V21" s="579">
        <v>6541</v>
      </c>
      <c r="W21" s="664">
        <v>7458</v>
      </c>
      <c r="X21" s="620">
        <v>7467</v>
      </c>
      <c r="Y21" s="579">
        <v>7706</v>
      </c>
      <c r="Z21" s="579">
        <v>7478</v>
      </c>
      <c r="AA21" s="579">
        <v>8342</v>
      </c>
      <c r="AB21" s="672">
        <v>8606</v>
      </c>
      <c r="AC21" s="579">
        <v>9058</v>
      </c>
      <c r="AD21" s="579">
        <v>8153</v>
      </c>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row>
    <row r="22" spans="1:97">
      <c r="A22" s="1403"/>
      <c r="B22" s="17" t="s">
        <v>55</v>
      </c>
      <c r="C22" s="580">
        <v>5420</v>
      </c>
      <c r="D22" s="580">
        <v>9203</v>
      </c>
      <c r="E22" s="580">
        <v>10230</v>
      </c>
      <c r="F22" s="580">
        <v>6697</v>
      </c>
      <c r="G22" s="580">
        <v>6814</v>
      </c>
      <c r="H22" s="581">
        <v>7868</v>
      </c>
      <c r="I22" s="581">
        <v>7267</v>
      </c>
      <c r="J22" s="624">
        <v>7325</v>
      </c>
      <c r="K22" s="625">
        <v>11000</v>
      </c>
      <c r="L22" s="626">
        <v>16406</v>
      </c>
      <c r="M22" s="623">
        <v>17275</v>
      </c>
      <c r="N22" s="623">
        <v>11312</v>
      </c>
      <c r="O22" s="623">
        <v>7141</v>
      </c>
      <c r="P22" s="623">
        <v>8332</v>
      </c>
      <c r="Q22" s="623">
        <v>11083</v>
      </c>
      <c r="R22" s="623">
        <v>12980</v>
      </c>
      <c r="S22" s="623">
        <v>13514</v>
      </c>
      <c r="T22" s="623">
        <v>13499</v>
      </c>
      <c r="U22" s="663">
        <v>9615</v>
      </c>
      <c r="V22" s="579">
        <v>9962</v>
      </c>
      <c r="W22" s="664">
        <v>11081</v>
      </c>
      <c r="X22" s="620">
        <v>11239</v>
      </c>
      <c r="Y22" s="579">
        <v>11351</v>
      </c>
      <c r="Z22" s="579">
        <v>10819</v>
      </c>
      <c r="AA22" s="579">
        <v>11905</v>
      </c>
      <c r="AB22" s="672">
        <v>11617</v>
      </c>
      <c r="AC22" s="579">
        <v>10805</v>
      </c>
      <c r="AD22" s="579">
        <v>9741</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row>
    <row r="23" spans="1:97">
      <c r="A23" s="1403"/>
      <c r="B23" s="17" t="s">
        <v>56</v>
      </c>
      <c r="C23" s="575">
        <v>14497</v>
      </c>
      <c r="D23" s="575">
        <v>35900</v>
      </c>
      <c r="E23" s="575">
        <v>43314</v>
      </c>
      <c r="F23" s="575">
        <v>22943</v>
      </c>
      <c r="G23" s="575">
        <v>21833</v>
      </c>
      <c r="H23" s="575">
        <v>30175</v>
      </c>
      <c r="I23" s="575">
        <v>30525</v>
      </c>
      <c r="J23" s="609">
        <v>35284</v>
      </c>
      <c r="K23" s="610">
        <v>53419</v>
      </c>
      <c r="L23" s="611">
        <v>89303</v>
      </c>
      <c r="M23" s="608">
        <v>91562</v>
      </c>
      <c r="N23" s="608">
        <v>61109</v>
      </c>
      <c r="O23" s="608">
        <v>42129</v>
      </c>
      <c r="P23" s="608">
        <v>51404</v>
      </c>
      <c r="Q23" s="608">
        <v>72258</v>
      </c>
      <c r="R23" s="608">
        <v>84061</v>
      </c>
      <c r="S23" s="608">
        <v>95667</v>
      </c>
      <c r="T23" s="608">
        <v>97294</v>
      </c>
      <c r="U23" s="652">
        <v>76318</v>
      </c>
      <c r="V23" s="88">
        <v>82400</v>
      </c>
      <c r="W23" s="108">
        <v>90847</v>
      </c>
      <c r="X23" s="106">
        <v>89227</v>
      </c>
      <c r="Y23" s="88">
        <v>94852</v>
      </c>
      <c r="Z23" s="88">
        <v>103881</v>
      </c>
      <c r="AA23" s="88">
        <v>110351</v>
      </c>
      <c r="AB23" s="672">
        <v>99202</v>
      </c>
      <c r="AC23" s="88">
        <v>99315</v>
      </c>
      <c r="AD23" s="88">
        <v>95165</v>
      </c>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row>
    <row r="24" spans="1:97">
      <c r="A24" s="1403"/>
      <c r="B24" s="28" t="s">
        <v>57</v>
      </c>
      <c r="C24" s="576">
        <v>3</v>
      </c>
      <c r="D24" s="576">
        <v>2</v>
      </c>
      <c r="E24" s="576">
        <v>16</v>
      </c>
      <c r="F24" s="576">
        <v>4</v>
      </c>
      <c r="G24" s="576">
        <v>12</v>
      </c>
      <c r="H24" s="576">
        <v>6</v>
      </c>
      <c r="I24" s="576">
        <v>16</v>
      </c>
      <c r="J24" s="612">
        <v>12</v>
      </c>
      <c r="K24" s="613">
        <v>36</v>
      </c>
      <c r="L24" s="614">
        <v>105</v>
      </c>
      <c r="M24" s="615">
        <v>137</v>
      </c>
      <c r="N24" s="615">
        <v>110</v>
      </c>
      <c r="O24" s="615">
        <v>123</v>
      </c>
      <c r="P24" s="616">
        <v>203</v>
      </c>
      <c r="Q24" s="616">
        <v>326</v>
      </c>
      <c r="R24" s="616">
        <v>437</v>
      </c>
      <c r="S24" s="616">
        <v>565</v>
      </c>
      <c r="T24" s="616">
        <v>810</v>
      </c>
      <c r="U24" s="653">
        <v>853</v>
      </c>
      <c r="V24" s="654">
        <v>1102</v>
      </c>
      <c r="W24" s="655">
        <v>1556</v>
      </c>
      <c r="X24" s="656">
        <v>1801</v>
      </c>
      <c r="Y24" s="654">
        <v>2032</v>
      </c>
      <c r="Z24" s="654">
        <v>2041</v>
      </c>
      <c r="AA24" s="654">
        <v>2999</v>
      </c>
      <c r="AB24" s="672">
        <v>3069</v>
      </c>
      <c r="AC24" s="654">
        <v>3273</v>
      </c>
      <c r="AD24" s="654">
        <v>3385</v>
      </c>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row>
    <row r="25" spans="1:97">
      <c r="A25" s="1403"/>
      <c r="B25" s="17" t="s">
        <v>58</v>
      </c>
      <c r="C25" s="580">
        <v>2630</v>
      </c>
      <c r="D25" s="580">
        <v>4348</v>
      </c>
      <c r="E25" s="580">
        <v>5027</v>
      </c>
      <c r="F25" s="580">
        <v>3145</v>
      </c>
      <c r="G25" s="580">
        <v>3315</v>
      </c>
      <c r="H25" s="581">
        <v>3983</v>
      </c>
      <c r="I25" s="581">
        <v>3248</v>
      </c>
      <c r="J25" s="624">
        <v>2978</v>
      </c>
      <c r="K25" s="625">
        <v>4123</v>
      </c>
      <c r="L25" s="626">
        <v>6784</v>
      </c>
      <c r="M25" s="623">
        <v>6683</v>
      </c>
      <c r="N25" s="623">
        <v>5135</v>
      </c>
      <c r="O25" s="623">
        <v>3674</v>
      </c>
      <c r="P25" s="623">
        <v>4711</v>
      </c>
      <c r="Q25" s="623">
        <v>5874</v>
      </c>
      <c r="R25" s="623">
        <v>8404</v>
      </c>
      <c r="S25" s="623">
        <v>8835</v>
      </c>
      <c r="T25" s="623">
        <v>8804</v>
      </c>
      <c r="U25" s="663">
        <v>7337</v>
      </c>
      <c r="V25" s="579">
        <v>7495</v>
      </c>
      <c r="W25" s="664">
        <v>8096</v>
      </c>
      <c r="X25" s="620">
        <v>7912</v>
      </c>
      <c r="Y25" s="579">
        <v>8171</v>
      </c>
      <c r="Z25" s="579">
        <v>8504</v>
      </c>
      <c r="AA25" s="579">
        <v>10041</v>
      </c>
      <c r="AB25" s="672">
        <v>10566</v>
      </c>
      <c r="AC25" s="579">
        <v>10236</v>
      </c>
      <c r="AD25" s="579">
        <v>9640</v>
      </c>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row>
    <row r="26" spans="1:97">
      <c r="A26" s="1403"/>
      <c r="B26" s="25" t="s">
        <v>59</v>
      </c>
      <c r="C26" s="577">
        <v>174</v>
      </c>
      <c r="D26" s="577">
        <v>257</v>
      </c>
      <c r="E26" s="577">
        <v>4880</v>
      </c>
      <c r="F26" s="577">
        <v>224</v>
      </c>
      <c r="G26" s="577">
        <v>305</v>
      </c>
      <c r="H26" s="577">
        <v>274</v>
      </c>
      <c r="I26" s="577">
        <v>299</v>
      </c>
      <c r="J26" s="627">
        <v>329</v>
      </c>
      <c r="K26" s="628">
        <v>551</v>
      </c>
      <c r="L26" s="629">
        <v>984</v>
      </c>
      <c r="M26" s="577">
        <v>7985</v>
      </c>
      <c r="N26" s="577">
        <v>6072</v>
      </c>
      <c r="O26" s="577">
        <v>4226</v>
      </c>
      <c r="P26" s="617">
        <v>660</v>
      </c>
      <c r="Q26" s="617">
        <v>835</v>
      </c>
      <c r="R26" s="617">
        <v>1313</v>
      </c>
      <c r="S26" s="617">
        <v>1435</v>
      </c>
      <c r="T26" s="617">
        <v>1638</v>
      </c>
      <c r="U26" s="657">
        <v>1318</v>
      </c>
      <c r="V26" s="658">
        <v>1375</v>
      </c>
      <c r="W26" s="659">
        <v>1624</v>
      </c>
      <c r="X26" s="660">
        <v>1366</v>
      </c>
      <c r="Y26" s="658">
        <v>1549</v>
      </c>
      <c r="Z26" s="658">
        <v>2043</v>
      </c>
      <c r="AA26" s="658">
        <v>2244</v>
      </c>
      <c r="AB26" s="672">
        <v>2120</v>
      </c>
      <c r="AC26" s="658">
        <v>2047</v>
      </c>
      <c r="AD26" s="658">
        <v>1722</v>
      </c>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row>
    <row r="27" spans="1:97">
      <c r="A27" s="1404"/>
      <c r="B27" s="20" t="s">
        <v>62</v>
      </c>
      <c r="C27" s="582">
        <v>24579</v>
      </c>
      <c r="D27" s="582">
        <v>52890</v>
      </c>
      <c r="E27" s="582">
        <v>67051</v>
      </c>
      <c r="F27" s="582">
        <v>34956</v>
      </c>
      <c r="G27" s="582">
        <v>34675</v>
      </c>
      <c r="H27" s="583">
        <v>45046</v>
      </c>
      <c r="I27" s="583">
        <v>44176</v>
      </c>
      <c r="J27" s="630">
        <v>49068</v>
      </c>
      <c r="K27" s="631">
        <v>73512</v>
      </c>
      <c r="L27" s="632">
        <v>120790</v>
      </c>
      <c r="M27" s="619">
        <v>123705</v>
      </c>
      <c r="N27" s="619">
        <v>83523</v>
      </c>
      <c r="O27" s="619">
        <v>56732</v>
      </c>
      <c r="P27" s="619">
        <v>68843</v>
      </c>
      <c r="Q27" s="619">
        <v>94720</v>
      </c>
      <c r="R27" s="619">
        <v>113467</v>
      </c>
      <c r="S27" s="619">
        <v>127330</v>
      </c>
      <c r="T27" s="619">
        <v>129786</v>
      </c>
      <c r="U27" s="661">
        <v>101873</v>
      </c>
      <c r="V27" s="91">
        <v>108875</v>
      </c>
      <c r="W27" s="662">
        <v>120662</v>
      </c>
      <c r="X27" s="110">
        <v>119012</v>
      </c>
      <c r="Y27" s="91">
        <v>125661</v>
      </c>
      <c r="Z27" s="91">
        <v>134766</v>
      </c>
      <c r="AA27" s="91">
        <f>SUM(AA21:AA26)</f>
        <v>145882</v>
      </c>
      <c r="AB27" s="673">
        <f>SUM(AB21:AB26)</f>
        <v>135180</v>
      </c>
      <c r="AC27" s="91">
        <f>SUM(AC21:AC26)</f>
        <v>134734</v>
      </c>
      <c r="AD27" s="91">
        <f>SUM(AD21:AD26)</f>
        <v>127806</v>
      </c>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row>
    <row r="28" spans="1:97">
      <c r="A28" s="1400" t="s">
        <v>156</v>
      </c>
      <c r="B28" s="14" t="s">
        <v>66</v>
      </c>
      <c r="C28" s="584">
        <v>693</v>
      </c>
      <c r="D28" s="584">
        <v>1103</v>
      </c>
      <c r="E28" s="584">
        <v>1535</v>
      </c>
      <c r="F28" s="584">
        <v>2347</v>
      </c>
      <c r="G28" s="584">
        <v>3720</v>
      </c>
      <c r="H28" s="584">
        <v>4465</v>
      </c>
      <c r="I28" s="584">
        <v>7909</v>
      </c>
      <c r="J28" s="633">
        <v>8949</v>
      </c>
      <c r="K28" s="634">
        <v>9035</v>
      </c>
      <c r="L28" s="635">
        <v>8084</v>
      </c>
      <c r="M28" s="636">
        <v>8755</v>
      </c>
      <c r="N28" s="636">
        <v>10522</v>
      </c>
      <c r="O28" s="636">
        <v>14980</v>
      </c>
      <c r="P28" s="623">
        <v>13628</v>
      </c>
      <c r="Q28" s="623">
        <v>15414</v>
      </c>
      <c r="R28" s="623">
        <v>19958</v>
      </c>
      <c r="S28" s="623">
        <v>18319</v>
      </c>
      <c r="T28" s="623">
        <v>19525</v>
      </c>
      <c r="U28" s="663">
        <v>26726</v>
      </c>
      <c r="V28" s="579">
        <v>30301</v>
      </c>
      <c r="W28" s="664">
        <v>27091</v>
      </c>
      <c r="X28" s="620">
        <v>22978</v>
      </c>
      <c r="Y28" s="579">
        <v>24717</v>
      </c>
      <c r="Z28" s="579">
        <v>24144</v>
      </c>
      <c r="AA28" s="579">
        <v>30248</v>
      </c>
      <c r="AB28" s="672">
        <v>28384</v>
      </c>
      <c r="AC28" s="579">
        <v>25175</v>
      </c>
      <c r="AD28" s="579">
        <v>26975</v>
      </c>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row>
    <row r="29" spans="1:97">
      <c r="A29" s="1401"/>
      <c r="B29" s="17" t="s">
        <v>55</v>
      </c>
      <c r="C29" s="584">
        <v>594</v>
      </c>
      <c r="D29" s="584">
        <v>927</v>
      </c>
      <c r="E29" s="584">
        <v>1465</v>
      </c>
      <c r="F29" s="584">
        <v>2343</v>
      </c>
      <c r="G29" s="584">
        <v>3852</v>
      </c>
      <c r="H29" s="584">
        <v>5871</v>
      </c>
      <c r="I29" s="584">
        <v>9369</v>
      </c>
      <c r="J29" s="633">
        <v>12490</v>
      </c>
      <c r="K29" s="634">
        <v>13883</v>
      </c>
      <c r="L29" s="635">
        <v>15099</v>
      </c>
      <c r="M29" s="636">
        <v>16174</v>
      </c>
      <c r="N29" s="636">
        <v>21999</v>
      </c>
      <c r="O29" s="636">
        <v>27897</v>
      </c>
      <c r="P29" s="623">
        <v>23890</v>
      </c>
      <c r="Q29" s="623">
        <v>25387</v>
      </c>
      <c r="R29" s="623">
        <v>28847</v>
      </c>
      <c r="S29" s="623">
        <v>22609</v>
      </c>
      <c r="T29" s="623">
        <v>26501</v>
      </c>
      <c r="U29" s="663">
        <v>36418</v>
      </c>
      <c r="V29" s="579">
        <v>34967</v>
      </c>
      <c r="W29" s="664">
        <v>31090</v>
      </c>
      <c r="X29" s="620">
        <v>28094</v>
      </c>
      <c r="Y29" s="579">
        <v>30401</v>
      </c>
      <c r="Z29" s="579">
        <v>28955</v>
      </c>
      <c r="AA29" s="579">
        <v>34853</v>
      </c>
      <c r="AB29" s="672">
        <v>33301</v>
      </c>
      <c r="AC29" s="579">
        <v>32929</v>
      </c>
      <c r="AD29" s="579">
        <v>31772</v>
      </c>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row>
    <row r="30" spans="1:97">
      <c r="A30" s="1401"/>
      <c r="B30" s="17" t="s">
        <v>56</v>
      </c>
      <c r="C30" s="575">
        <v>61</v>
      </c>
      <c r="D30" s="575">
        <v>149</v>
      </c>
      <c r="E30" s="575">
        <v>237</v>
      </c>
      <c r="F30" s="575">
        <v>396</v>
      </c>
      <c r="G30" s="575">
        <v>708</v>
      </c>
      <c r="H30" s="575">
        <v>1200</v>
      </c>
      <c r="I30" s="575">
        <v>2017</v>
      </c>
      <c r="J30" s="609">
        <v>2248</v>
      </c>
      <c r="K30" s="610">
        <v>2509</v>
      </c>
      <c r="L30" s="611">
        <v>2752</v>
      </c>
      <c r="M30" s="637">
        <v>3127</v>
      </c>
      <c r="N30" s="637">
        <v>4675</v>
      </c>
      <c r="O30" s="637">
        <v>6476</v>
      </c>
      <c r="P30" s="608">
        <v>5168</v>
      </c>
      <c r="Q30" s="608">
        <v>4882</v>
      </c>
      <c r="R30" s="608">
        <v>5320</v>
      </c>
      <c r="S30" s="608">
        <v>4271</v>
      </c>
      <c r="T30" s="608">
        <v>4627</v>
      </c>
      <c r="U30" s="652">
        <v>6262</v>
      </c>
      <c r="V30" s="88">
        <v>7410</v>
      </c>
      <c r="W30" s="108">
        <v>7857</v>
      </c>
      <c r="X30" s="106">
        <v>8623</v>
      </c>
      <c r="Y30" s="88">
        <v>9437</v>
      </c>
      <c r="Z30" s="88">
        <v>9311</v>
      </c>
      <c r="AA30" s="88">
        <v>11086</v>
      </c>
      <c r="AB30" s="672">
        <v>10464</v>
      </c>
      <c r="AC30" s="88">
        <v>12623</v>
      </c>
      <c r="AD30" s="88">
        <v>13620</v>
      </c>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row>
    <row r="31" spans="1:97">
      <c r="A31" s="1401"/>
      <c r="B31" s="28" t="s">
        <v>57</v>
      </c>
      <c r="C31" s="576">
        <v>1532</v>
      </c>
      <c r="D31" s="576">
        <v>1653</v>
      </c>
      <c r="E31" s="576">
        <v>3097</v>
      </c>
      <c r="F31" s="576">
        <v>6177</v>
      </c>
      <c r="G31" s="576">
        <v>5395</v>
      </c>
      <c r="H31" s="576">
        <v>5868</v>
      </c>
      <c r="I31" s="576">
        <v>11404</v>
      </c>
      <c r="J31" s="612">
        <v>18241</v>
      </c>
      <c r="K31" s="613">
        <v>20705</v>
      </c>
      <c r="L31" s="614">
        <v>25077</v>
      </c>
      <c r="M31" s="615">
        <v>31945</v>
      </c>
      <c r="N31" s="615">
        <v>46590</v>
      </c>
      <c r="O31" s="615">
        <v>65391</v>
      </c>
      <c r="P31" s="616">
        <v>79767</v>
      </c>
      <c r="Q31" s="616">
        <v>112347</v>
      </c>
      <c r="R31" s="616">
        <v>143847</v>
      </c>
      <c r="S31" s="616">
        <v>143535</v>
      </c>
      <c r="T31" s="616">
        <v>162680</v>
      </c>
      <c r="U31" s="653">
        <v>263436</v>
      </c>
      <c r="V31" s="654">
        <v>302136</v>
      </c>
      <c r="W31" s="655">
        <v>326970</v>
      </c>
      <c r="X31" s="656">
        <v>345959</v>
      </c>
      <c r="Y31" s="654">
        <v>360919</v>
      </c>
      <c r="Z31" s="654">
        <v>440691</v>
      </c>
      <c r="AA31" s="654">
        <v>585910</v>
      </c>
      <c r="AB31" s="672">
        <v>695591</v>
      </c>
      <c r="AC31" s="654">
        <v>819234</v>
      </c>
      <c r="AD31" s="654">
        <v>938174</v>
      </c>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row>
    <row r="32" spans="1:97">
      <c r="A32" s="1401"/>
      <c r="B32" s="17" t="s">
        <v>58</v>
      </c>
      <c r="C32" s="584">
        <v>535</v>
      </c>
      <c r="D32" s="584">
        <v>785</v>
      </c>
      <c r="E32" s="584">
        <v>1127</v>
      </c>
      <c r="F32" s="584">
        <v>1550</v>
      </c>
      <c r="G32" s="584">
        <v>2285</v>
      </c>
      <c r="H32" s="584">
        <v>3414</v>
      </c>
      <c r="I32" s="584">
        <v>5733</v>
      </c>
      <c r="J32" s="633">
        <v>6538</v>
      </c>
      <c r="K32" s="634">
        <v>6160</v>
      </c>
      <c r="L32" s="635">
        <v>5870</v>
      </c>
      <c r="M32" s="636">
        <v>6891</v>
      </c>
      <c r="N32" s="636">
        <v>8661</v>
      </c>
      <c r="O32" s="636">
        <v>12158</v>
      </c>
      <c r="P32" s="623">
        <v>10985</v>
      </c>
      <c r="Q32" s="623">
        <v>12334</v>
      </c>
      <c r="R32" s="623">
        <v>16776</v>
      </c>
      <c r="S32" s="623">
        <v>16674</v>
      </c>
      <c r="T32" s="623">
        <v>17401</v>
      </c>
      <c r="U32" s="663">
        <v>23157</v>
      </c>
      <c r="V32" s="579">
        <v>25637</v>
      </c>
      <c r="W32" s="664">
        <v>23673</v>
      </c>
      <c r="X32" s="620">
        <v>22915</v>
      </c>
      <c r="Y32" s="579">
        <v>23114</v>
      </c>
      <c r="Z32" s="579">
        <v>21084</v>
      </c>
      <c r="AA32" s="579">
        <v>27843</v>
      </c>
      <c r="AB32" s="672">
        <v>25497</v>
      </c>
      <c r="AC32" s="579">
        <v>24005</v>
      </c>
      <c r="AD32" s="579">
        <v>28467</v>
      </c>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row>
    <row r="33" spans="1:98">
      <c r="A33" s="1401"/>
      <c r="B33" s="25" t="s">
        <v>59</v>
      </c>
      <c r="C33" s="577">
        <v>79</v>
      </c>
      <c r="D33" s="577">
        <v>118</v>
      </c>
      <c r="E33" s="577">
        <v>176</v>
      </c>
      <c r="F33" s="577">
        <v>245</v>
      </c>
      <c r="G33" s="577">
        <v>336</v>
      </c>
      <c r="H33" s="577">
        <v>439</v>
      </c>
      <c r="I33" s="577">
        <v>717</v>
      </c>
      <c r="J33" s="627">
        <v>894</v>
      </c>
      <c r="K33" s="628">
        <v>1013</v>
      </c>
      <c r="L33" s="629">
        <v>904</v>
      </c>
      <c r="M33" s="638">
        <v>1056</v>
      </c>
      <c r="N33" s="638">
        <v>1259</v>
      </c>
      <c r="O33" s="638">
        <v>1487</v>
      </c>
      <c r="P33" s="617">
        <v>1672</v>
      </c>
      <c r="Q33" s="617">
        <v>1749</v>
      </c>
      <c r="R33" s="617">
        <v>2357</v>
      </c>
      <c r="S33" s="617">
        <v>2280</v>
      </c>
      <c r="T33" s="617">
        <v>2494</v>
      </c>
      <c r="U33" s="657">
        <v>3317</v>
      </c>
      <c r="V33" s="658">
        <v>3757</v>
      </c>
      <c r="W33" s="659">
        <v>3463</v>
      </c>
      <c r="X33" s="660">
        <v>3578</v>
      </c>
      <c r="Y33" s="658">
        <v>4216</v>
      </c>
      <c r="Z33" s="658">
        <v>5942</v>
      </c>
      <c r="AA33" s="658">
        <v>6006</v>
      </c>
      <c r="AB33" s="672">
        <v>5110</v>
      </c>
      <c r="AC33" s="658">
        <v>6831</v>
      </c>
      <c r="AD33" s="658">
        <v>5769</v>
      </c>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row>
    <row r="34" spans="1:98">
      <c r="A34" s="1402"/>
      <c r="B34" s="20" t="s">
        <v>62</v>
      </c>
      <c r="C34" s="585">
        <v>3494</v>
      </c>
      <c r="D34" s="585">
        <v>4735</v>
      </c>
      <c r="E34" s="585">
        <v>7637</v>
      </c>
      <c r="F34" s="585">
        <v>13058</v>
      </c>
      <c r="G34" s="585">
        <v>16296</v>
      </c>
      <c r="H34" s="585">
        <v>21257</v>
      </c>
      <c r="I34" s="585">
        <v>37149</v>
      </c>
      <c r="J34" s="639">
        <v>49360</v>
      </c>
      <c r="K34" s="640">
        <v>53305</v>
      </c>
      <c r="L34" s="641">
        <v>57786</v>
      </c>
      <c r="M34" s="642">
        <v>67948</v>
      </c>
      <c r="N34" s="642">
        <v>93706</v>
      </c>
      <c r="O34" s="642">
        <v>128389</v>
      </c>
      <c r="P34" s="619">
        <v>135110</v>
      </c>
      <c r="Q34" s="619">
        <v>172113</v>
      </c>
      <c r="R34" s="619">
        <v>217105</v>
      </c>
      <c r="S34" s="619">
        <v>207688</v>
      </c>
      <c r="T34" s="619">
        <v>233228</v>
      </c>
      <c r="U34" s="661">
        <v>359316</v>
      </c>
      <c r="V34" s="91">
        <v>404208</v>
      </c>
      <c r="W34" s="662">
        <v>420144</v>
      </c>
      <c r="X34" s="110">
        <v>432147</v>
      </c>
      <c r="Y34" s="91">
        <v>452804</v>
      </c>
      <c r="Z34" s="91">
        <f>SUM(Z28:Z33)</f>
        <v>530127</v>
      </c>
      <c r="AA34" s="91">
        <f>SUM(AA28:AA33)</f>
        <v>695946</v>
      </c>
      <c r="AB34" s="673">
        <f>SUM(AB28:AB33)</f>
        <v>798347</v>
      </c>
      <c r="AC34" s="91">
        <f>SUM(AC28:AC33)</f>
        <v>920797</v>
      </c>
      <c r="AD34" s="91">
        <f>SUM(AD28:AD33)</f>
        <v>1044777</v>
      </c>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row>
    <row r="35" spans="1:98">
      <c r="A35" s="1400" t="s">
        <v>170</v>
      </c>
      <c r="B35" s="14" t="s">
        <v>66</v>
      </c>
      <c r="C35" s="578">
        <v>18635</v>
      </c>
      <c r="D35" s="578">
        <v>25693</v>
      </c>
      <c r="E35" s="578">
        <v>25693</v>
      </c>
      <c r="F35" s="578">
        <v>26324</v>
      </c>
      <c r="G35" s="578">
        <v>28459</v>
      </c>
      <c r="H35" s="579">
        <v>28428</v>
      </c>
      <c r="I35" s="579">
        <v>28209</v>
      </c>
      <c r="J35" s="620">
        <v>26246</v>
      </c>
      <c r="K35" s="621">
        <v>22182</v>
      </c>
      <c r="L35" s="622">
        <v>25636</v>
      </c>
      <c r="M35" s="623">
        <v>23884</v>
      </c>
      <c r="N35" s="623">
        <v>24007</v>
      </c>
      <c r="O35" s="623">
        <v>23677</v>
      </c>
      <c r="P35" s="623">
        <v>32473</v>
      </c>
      <c r="Q35" s="623">
        <v>32774</v>
      </c>
      <c r="R35" s="623">
        <v>38198</v>
      </c>
      <c r="S35" s="623">
        <v>43450</v>
      </c>
      <c r="T35" s="623">
        <v>47733</v>
      </c>
      <c r="U35" s="663">
        <v>47529</v>
      </c>
      <c r="V35" s="579">
        <v>47910</v>
      </c>
      <c r="W35" s="664">
        <v>50660</v>
      </c>
      <c r="X35" s="620">
        <v>48963</v>
      </c>
      <c r="Y35" s="579">
        <v>55638</v>
      </c>
      <c r="Z35" s="579">
        <v>54377</v>
      </c>
      <c r="AA35" s="579">
        <v>50603</v>
      </c>
      <c r="AB35" s="672">
        <v>49862</v>
      </c>
      <c r="AC35" s="579">
        <v>44984</v>
      </c>
      <c r="AD35" s="579">
        <v>47617</v>
      </c>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row>
    <row r="36" spans="1:98">
      <c r="A36" s="1401"/>
      <c r="B36" s="17" t="s">
        <v>55</v>
      </c>
      <c r="C36" s="578">
        <v>23179</v>
      </c>
      <c r="D36" s="578">
        <v>30841</v>
      </c>
      <c r="E36" s="578">
        <v>30841</v>
      </c>
      <c r="F36" s="578">
        <v>31296</v>
      </c>
      <c r="G36" s="578">
        <v>33224</v>
      </c>
      <c r="H36" s="579">
        <v>34859</v>
      </c>
      <c r="I36" s="579">
        <v>35516</v>
      </c>
      <c r="J36" s="620">
        <v>35350</v>
      </c>
      <c r="K36" s="621">
        <v>30341</v>
      </c>
      <c r="L36" s="622">
        <v>36807</v>
      </c>
      <c r="M36" s="623">
        <v>33525</v>
      </c>
      <c r="N36" s="623">
        <v>33912</v>
      </c>
      <c r="O36" s="623">
        <v>35501</v>
      </c>
      <c r="P36" s="623">
        <v>44814</v>
      </c>
      <c r="Q36" s="623">
        <v>46139</v>
      </c>
      <c r="R36" s="623">
        <v>50677</v>
      </c>
      <c r="S36" s="623">
        <v>51919</v>
      </c>
      <c r="T36" s="623">
        <v>53848</v>
      </c>
      <c r="U36" s="663">
        <v>52409</v>
      </c>
      <c r="V36" s="579">
        <v>49800</v>
      </c>
      <c r="W36" s="664">
        <v>49677</v>
      </c>
      <c r="X36" s="620">
        <v>47566</v>
      </c>
      <c r="Y36" s="579">
        <v>53542</v>
      </c>
      <c r="Z36" s="579">
        <v>51619</v>
      </c>
      <c r="AA36" s="579">
        <v>46472</v>
      </c>
      <c r="AB36" s="672">
        <v>45656</v>
      </c>
      <c r="AC36" s="579">
        <v>38490</v>
      </c>
      <c r="AD36" s="579">
        <v>42079</v>
      </c>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row>
    <row r="37" spans="1:98">
      <c r="A37" s="1401"/>
      <c r="B37" s="17" t="s">
        <v>56</v>
      </c>
      <c r="C37" s="575">
        <v>1891</v>
      </c>
      <c r="D37" s="575">
        <v>3259</v>
      </c>
      <c r="E37" s="575">
        <v>3562</v>
      </c>
      <c r="F37" s="575">
        <v>3314</v>
      </c>
      <c r="G37" s="575">
        <v>3538</v>
      </c>
      <c r="H37" s="575">
        <v>3786</v>
      </c>
      <c r="I37" s="575">
        <v>3944</v>
      </c>
      <c r="J37" s="609">
        <v>4428</v>
      </c>
      <c r="K37" s="610">
        <v>4352</v>
      </c>
      <c r="L37" s="611">
        <v>5908</v>
      </c>
      <c r="M37" s="608">
        <v>6307</v>
      </c>
      <c r="N37" s="608">
        <v>7572</v>
      </c>
      <c r="O37" s="608">
        <v>8762</v>
      </c>
      <c r="P37" s="608">
        <v>11671</v>
      </c>
      <c r="Q37" s="608">
        <v>12262</v>
      </c>
      <c r="R37" s="608">
        <v>13233</v>
      </c>
      <c r="S37" s="608">
        <v>14548</v>
      </c>
      <c r="T37" s="608">
        <v>16469</v>
      </c>
      <c r="U37" s="652">
        <v>17924</v>
      </c>
      <c r="V37" s="88">
        <v>19494</v>
      </c>
      <c r="W37" s="108">
        <v>20717</v>
      </c>
      <c r="X37" s="106">
        <v>19780</v>
      </c>
      <c r="Y37" s="88">
        <v>21684</v>
      </c>
      <c r="Z37" s="88">
        <v>21977</v>
      </c>
      <c r="AA37" s="88">
        <v>20764</v>
      </c>
      <c r="AB37" s="672">
        <v>22031</v>
      </c>
      <c r="AC37" s="88">
        <v>22081</v>
      </c>
      <c r="AD37" s="88">
        <v>23219</v>
      </c>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row>
    <row r="38" spans="1:98">
      <c r="A38" s="1401"/>
      <c r="B38" s="28" t="s">
        <v>57</v>
      </c>
      <c r="C38" s="576">
        <v>62</v>
      </c>
      <c r="D38" s="576">
        <v>72</v>
      </c>
      <c r="E38" s="576">
        <v>90</v>
      </c>
      <c r="F38" s="576">
        <v>119</v>
      </c>
      <c r="G38" s="576">
        <v>195</v>
      </c>
      <c r="H38" s="576">
        <v>289</v>
      </c>
      <c r="I38" s="576">
        <v>297</v>
      </c>
      <c r="J38" s="612">
        <v>404</v>
      </c>
      <c r="K38" s="613">
        <v>402</v>
      </c>
      <c r="L38" s="614">
        <v>661</v>
      </c>
      <c r="M38" s="615">
        <v>772</v>
      </c>
      <c r="N38" s="615">
        <v>1225</v>
      </c>
      <c r="O38" s="615">
        <v>1655</v>
      </c>
      <c r="P38" s="616">
        <v>2657</v>
      </c>
      <c r="Q38" s="616">
        <v>3174</v>
      </c>
      <c r="R38" s="616">
        <v>4637</v>
      </c>
      <c r="S38" s="616">
        <v>5928</v>
      </c>
      <c r="T38" s="616">
        <v>7236</v>
      </c>
      <c r="U38" s="653">
        <v>8116</v>
      </c>
      <c r="V38" s="654">
        <v>10462</v>
      </c>
      <c r="W38" s="655">
        <v>13243</v>
      </c>
      <c r="X38" s="656">
        <v>14488</v>
      </c>
      <c r="Y38" s="654">
        <v>19209</v>
      </c>
      <c r="Z38" s="654">
        <v>21428</v>
      </c>
      <c r="AA38" s="654">
        <v>23745</v>
      </c>
      <c r="AB38" s="672">
        <v>27100</v>
      </c>
      <c r="AC38" s="654">
        <v>24044</v>
      </c>
      <c r="AD38" s="654">
        <v>29798</v>
      </c>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row>
    <row r="39" spans="1:98">
      <c r="A39" s="1401"/>
      <c r="B39" s="17" t="s">
        <v>58</v>
      </c>
      <c r="C39" s="578">
        <v>61707</v>
      </c>
      <c r="D39" s="578">
        <v>80292</v>
      </c>
      <c r="E39" s="578">
        <v>80292</v>
      </c>
      <c r="F39" s="578">
        <v>85072</v>
      </c>
      <c r="G39" s="578">
        <v>87610</v>
      </c>
      <c r="H39" s="579">
        <v>86980</v>
      </c>
      <c r="I39" s="579">
        <v>87901</v>
      </c>
      <c r="J39" s="620">
        <v>84271</v>
      </c>
      <c r="K39" s="621">
        <v>74637</v>
      </c>
      <c r="L39" s="622">
        <v>89823</v>
      </c>
      <c r="M39" s="623">
        <v>80171</v>
      </c>
      <c r="N39" s="623">
        <v>78267</v>
      </c>
      <c r="O39" s="623">
        <v>82382</v>
      </c>
      <c r="P39" s="623">
        <v>107792</v>
      </c>
      <c r="Q39" s="623">
        <v>108626</v>
      </c>
      <c r="R39" s="623">
        <v>121026</v>
      </c>
      <c r="S39" s="623">
        <v>133593</v>
      </c>
      <c r="T39" s="623">
        <v>144621</v>
      </c>
      <c r="U39" s="663">
        <v>140969</v>
      </c>
      <c r="V39" s="579">
        <v>143723</v>
      </c>
      <c r="W39" s="664">
        <v>150949</v>
      </c>
      <c r="X39" s="620">
        <v>144413</v>
      </c>
      <c r="Y39" s="579">
        <v>167115</v>
      </c>
      <c r="Z39" s="579">
        <v>164555</v>
      </c>
      <c r="AA39" s="579">
        <v>149700</v>
      </c>
      <c r="AB39" s="672">
        <v>141938</v>
      </c>
      <c r="AC39" s="579">
        <v>148071</v>
      </c>
      <c r="AD39" s="579">
        <v>142324</v>
      </c>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row>
    <row r="40" spans="1:98">
      <c r="A40" s="1401"/>
      <c r="B40" s="25" t="s">
        <v>59</v>
      </c>
      <c r="C40" s="577">
        <v>68217</v>
      </c>
      <c r="D40" s="577">
        <v>87655</v>
      </c>
      <c r="E40" s="577">
        <v>87334</v>
      </c>
      <c r="F40" s="577">
        <v>96444</v>
      </c>
      <c r="G40" s="577">
        <v>100629</v>
      </c>
      <c r="H40" s="577">
        <v>99972</v>
      </c>
      <c r="I40" s="577">
        <v>101060</v>
      </c>
      <c r="J40" s="577">
        <v>97865</v>
      </c>
      <c r="K40" s="577">
        <v>86529</v>
      </c>
      <c r="L40" s="577">
        <v>104760</v>
      </c>
      <c r="M40" s="577">
        <v>94350</v>
      </c>
      <c r="N40" s="577">
        <v>92943</v>
      </c>
      <c r="O40" s="577">
        <v>97754</v>
      </c>
      <c r="P40" s="617">
        <v>20207</v>
      </c>
      <c r="Q40" s="617">
        <v>21530</v>
      </c>
      <c r="R40" s="617">
        <v>25384</v>
      </c>
      <c r="S40" s="617">
        <v>28397</v>
      </c>
      <c r="T40" s="617">
        <v>30770</v>
      </c>
      <c r="U40" s="657">
        <v>31460</v>
      </c>
      <c r="V40" s="658">
        <v>31660</v>
      </c>
      <c r="W40" s="659">
        <v>33583</v>
      </c>
      <c r="X40" s="660">
        <v>32549</v>
      </c>
      <c r="Y40" s="658">
        <v>37242</v>
      </c>
      <c r="Z40" s="658">
        <v>38037</v>
      </c>
      <c r="AA40" s="658">
        <v>36491</v>
      </c>
      <c r="AB40" s="672">
        <v>36831</v>
      </c>
      <c r="AC40" s="658">
        <v>37575</v>
      </c>
      <c r="AD40" s="658">
        <v>34778</v>
      </c>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row>
    <row r="41" spans="1:98">
      <c r="A41" s="1405"/>
      <c r="B41" s="34" t="s">
        <v>62</v>
      </c>
      <c r="C41" s="586">
        <v>111984</v>
      </c>
      <c r="D41" s="586">
        <v>147520</v>
      </c>
      <c r="E41" s="586">
        <v>147520</v>
      </c>
      <c r="F41" s="586">
        <v>157497</v>
      </c>
      <c r="G41" s="586">
        <v>166045</v>
      </c>
      <c r="H41" s="587">
        <v>167334</v>
      </c>
      <c r="I41" s="587">
        <v>169026</v>
      </c>
      <c r="J41" s="643">
        <v>164293</v>
      </c>
      <c r="K41" s="644">
        <v>143806</v>
      </c>
      <c r="L41" s="645">
        <v>173772</v>
      </c>
      <c r="M41" s="646">
        <v>158838</v>
      </c>
      <c r="N41" s="646">
        <v>159659</v>
      </c>
      <c r="O41" s="646">
        <v>167349</v>
      </c>
      <c r="P41" s="646">
        <v>219614</v>
      </c>
      <c r="Q41" s="665">
        <v>224505</v>
      </c>
      <c r="R41" s="665">
        <v>253155</v>
      </c>
      <c r="S41" s="665">
        <v>277835</v>
      </c>
      <c r="T41" s="665">
        <v>300677</v>
      </c>
      <c r="U41" s="666">
        <v>298407</v>
      </c>
      <c r="V41" s="667">
        <v>303049</v>
      </c>
      <c r="W41" s="668">
        <v>318829</v>
      </c>
      <c r="X41" s="669">
        <v>307759</v>
      </c>
      <c r="Y41" s="667">
        <v>354430</v>
      </c>
      <c r="Z41" s="667">
        <f>SUM(Z35:Z40)</f>
        <v>351993</v>
      </c>
      <c r="AA41" s="674">
        <f>SUM(AA35:AA40)</f>
        <v>327775</v>
      </c>
      <c r="AB41" s="675">
        <f>SUM(AB35:AB40)</f>
        <v>323418</v>
      </c>
      <c r="AC41" s="667">
        <f>SUM(AC35:AC40)</f>
        <v>315245</v>
      </c>
      <c r="AD41" s="667">
        <f>SUM(AD35:AD40)</f>
        <v>319815</v>
      </c>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row>
    <row r="42" spans="1:98">
      <c r="A42" s="2"/>
      <c r="B42" s="2"/>
      <c r="C42" s="2"/>
      <c r="D42" s="2"/>
      <c r="E42" s="2"/>
      <c r="F42" s="2"/>
      <c r="G42" s="2"/>
      <c r="H42" s="2"/>
      <c r="I42" s="2"/>
      <c r="J42" s="2"/>
      <c r="K42" s="2"/>
      <c r="L42" s="2"/>
      <c r="M42" s="2"/>
      <c r="N42" s="2"/>
      <c r="O42" s="2"/>
      <c r="P42" s="2"/>
      <c r="Q42" s="1"/>
      <c r="R42" s="1"/>
      <c r="S42" s="2"/>
      <c r="T42" s="2"/>
      <c r="U42" s="2"/>
      <c r="V42" s="2"/>
      <c r="W42" s="2"/>
      <c r="X42" s="2"/>
      <c r="Y42" s="2"/>
      <c r="Z42" s="2"/>
      <c r="AA42" s="2"/>
      <c r="AB42" s="3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row>
    <row r="43" spans="1:98">
      <c r="AB43" s="676"/>
    </row>
    <row r="44" spans="1:98">
      <c r="A44" s="588" t="s">
        <v>94</v>
      </c>
      <c r="B44" s="589"/>
      <c r="C44" s="589">
        <f t="shared" ref="C44:AC44" si="0">C6</f>
        <v>1997</v>
      </c>
      <c r="D44" s="589">
        <f t="shared" si="0"/>
        <v>1998</v>
      </c>
      <c r="E44" s="589">
        <f t="shared" si="0"/>
        <v>1999</v>
      </c>
      <c r="F44" s="589">
        <f t="shared" si="0"/>
        <v>2000</v>
      </c>
      <c r="G44" s="589">
        <f t="shared" si="0"/>
        <v>2001</v>
      </c>
      <c r="H44" s="589">
        <f t="shared" si="0"/>
        <v>2002</v>
      </c>
      <c r="I44" s="589">
        <f t="shared" si="0"/>
        <v>2003</v>
      </c>
      <c r="J44" s="589">
        <f t="shared" si="0"/>
        <v>2004</v>
      </c>
      <c r="K44" s="589">
        <f t="shared" si="0"/>
        <v>2005</v>
      </c>
      <c r="L44" s="647">
        <f t="shared" si="0"/>
        <v>2006</v>
      </c>
      <c r="M44" s="647">
        <f t="shared" si="0"/>
        <v>2007</v>
      </c>
      <c r="N44" s="647">
        <f t="shared" si="0"/>
        <v>2008</v>
      </c>
      <c r="O44" s="647">
        <f t="shared" si="0"/>
        <v>2009</v>
      </c>
      <c r="P44" s="647">
        <f t="shared" si="0"/>
        <v>2010</v>
      </c>
      <c r="Q44" s="647">
        <f t="shared" si="0"/>
        <v>2011</v>
      </c>
      <c r="R44" s="647">
        <f t="shared" si="0"/>
        <v>2012</v>
      </c>
      <c r="S44" s="647">
        <f t="shared" si="0"/>
        <v>2013</v>
      </c>
      <c r="T44" s="647">
        <f t="shared" si="0"/>
        <v>2014</v>
      </c>
      <c r="U44" s="647">
        <f t="shared" si="0"/>
        <v>2015</v>
      </c>
      <c r="V44" s="647">
        <f t="shared" si="0"/>
        <v>2016</v>
      </c>
      <c r="W44" s="647">
        <f t="shared" si="0"/>
        <v>2017</v>
      </c>
      <c r="X44" s="647">
        <f t="shared" si="0"/>
        <v>2018</v>
      </c>
      <c r="Y44" s="647">
        <f t="shared" si="0"/>
        <v>2019</v>
      </c>
      <c r="Z44" s="647">
        <f t="shared" si="0"/>
        <v>2020</v>
      </c>
      <c r="AA44" s="647">
        <f t="shared" si="0"/>
        <v>2021</v>
      </c>
      <c r="AB44" s="677">
        <v>2022</v>
      </c>
      <c r="AC44" s="647">
        <f t="shared" si="0"/>
        <v>2023</v>
      </c>
      <c r="AD44" s="647">
        <f t="shared" ref="AD44" si="1">AD6</f>
        <v>2024</v>
      </c>
    </row>
    <row r="45" spans="1:98">
      <c r="A45" s="590" t="s">
        <v>186</v>
      </c>
      <c r="B45" s="591" t="s">
        <v>232</v>
      </c>
      <c r="C45" s="592">
        <f t="shared" ref="C45:AA45" si="2">C7</f>
        <v>19430</v>
      </c>
      <c r="D45" s="592">
        <f t="shared" si="2"/>
        <v>18376</v>
      </c>
      <c r="E45" s="592">
        <f t="shared" si="2"/>
        <v>17877</v>
      </c>
      <c r="F45" s="592">
        <f t="shared" si="2"/>
        <v>13536</v>
      </c>
      <c r="G45" s="592">
        <f t="shared" si="2"/>
        <v>18330</v>
      </c>
      <c r="H45" s="592">
        <f t="shared" si="2"/>
        <v>25495</v>
      </c>
      <c r="I45" s="592">
        <f t="shared" si="2"/>
        <v>32091</v>
      </c>
      <c r="J45" s="592">
        <f t="shared" si="2"/>
        <v>31449</v>
      </c>
      <c r="K45" s="592">
        <f t="shared" si="2"/>
        <v>28028</v>
      </c>
      <c r="L45" s="592">
        <f t="shared" si="2"/>
        <v>32487</v>
      </c>
      <c r="M45" s="592">
        <f t="shared" si="2"/>
        <v>28408</v>
      </c>
      <c r="N45" s="592">
        <f t="shared" si="2"/>
        <v>32249</v>
      </c>
      <c r="O45" s="592">
        <f t="shared" si="2"/>
        <v>27843</v>
      </c>
      <c r="P45" s="592">
        <f t="shared" si="2"/>
        <v>30702</v>
      </c>
      <c r="Q45" s="592">
        <f t="shared" si="2"/>
        <v>32582</v>
      </c>
      <c r="R45" s="592">
        <f t="shared" si="2"/>
        <v>32634</v>
      </c>
      <c r="S45" s="592">
        <f t="shared" si="2"/>
        <v>33608</v>
      </c>
      <c r="T45" s="592">
        <f t="shared" si="2"/>
        <v>33042</v>
      </c>
      <c r="U45" s="592">
        <f t="shared" si="2"/>
        <v>36560</v>
      </c>
      <c r="V45" s="592">
        <f t="shared" si="2"/>
        <v>48727</v>
      </c>
      <c r="W45" s="592">
        <f t="shared" si="2"/>
        <v>50680</v>
      </c>
      <c r="X45" s="592">
        <f t="shared" si="2"/>
        <v>57906</v>
      </c>
      <c r="Y45" s="592">
        <f t="shared" si="2"/>
        <v>60570</v>
      </c>
      <c r="Z45" s="592">
        <f t="shared" si="2"/>
        <v>58656</v>
      </c>
      <c r="AA45" s="592">
        <f t="shared" si="2"/>
        <v>47714</v>
      </c>
      <c r="AB45" s="678">
        <v>36626</v>
      </c>
      <c r="AC45" s="592">
        <v>46611</v>
      </c>
      <c r="AD45" s="592">
        <v>48550</v>
      </c>
    </row>
    <row r="46" spans="1:98">
      <c r="A46" s="593"/>
      <c r="B46" s="594" t="s">
        <v>233</v>
      </c>
      <c r="C46" s="595">
        <f t="shared" ref="C46:AA46" si="3">C13-C45</f>
        <v>20216</v>
      </c>
      <c r="D46" s="595">
        <f t="shared" si="3"/>
        <v>18342</v>
      </c>
      <c r="E46" s="595">
        <f t="shared" si="3"/>
        <v>17480</v>
      </c>
      <c r="F46" s="595">
        <f t="shared" si="3"/>
        <v>13987</v>
      </c>
      <c r="G46" s="595">
        <f t="shared" si="3"/>
        <v>16372</v>
      </c>
      <c r="H46" s="595">
        <f t="shared" si="3"/>
        <v>21886</v>
      </c>
      <c r="I46" s="595">
        <f t="shared" si="3"/>
        <v>27898</v>
      </c>
      <c r="J46" s="595">
        <f t="shared" si="3"/>
        <v>27278</v>
      </c>
      <c r="K46" s="595">
        <f t="shared" si="3"/>
        <v>25227</v>
      </c>
      <c r="L46" s="595">
        <f t="shared" si="3"/>
        <v>30290</v>
      </c>
      <c r="M46" s="595">
        <f t="shared" si="3"/>
        <v>26292</v>
      </c>
      <c r="N46" s="595">
        <f t="shared" si="3"/>
        <v>27570</v>
      </c>
      <c r="O46" s="595">
        <f t="shared" si="3"/>
        <v>24603</v>
      </c>
      <c r="P46" s="595">
        <f t="shared" si="3"/>
        <v>27406</v>
      </c>
      <c r="Q46" s="595">
        <f t="shared" si="3"/>
        <v>29530</v>
      </c>
      <c r="R46" s="595">
        <f t="shared" si="3"/>
        <v>33053</v>
      </c>
      <c r="S46" s="595">
        <f t="shared" si="3"/>
        <v>33104</v>
      </c>
      <c r="T46" s="595">
        <f t="shared" si="3"/>
        <v>31571</v>
      </c>
      <c r="U46" s="595">
        <f t="shared" si="3"/>
        <v>31861</v>
      </c>
      <c r="V46" s="595">
        <f t="shared" si="3"/>
        <v>47213</v>
      </c>
      <c r="W46" s="595">
        <f t="shared" si="3"/>
        <v>54955</v>
      </c>
      <c r="X46" s="595">
        <f t="shared" si="3"/>
        <v>69719</v>
      </c>
      <c r="Y46" s="595">
        <f t="shared" si="3"/>
        <v>77214</v>
      </c>
      <c r="Z46" s="595">
        <f t="shared" si="3"/>
        <v>75059</v>
      </c>
      <c r="AA46" s="595">
        <f t="shared" si="3"/>
        <v>61085</v>
      </c>
      <c r="AB46" s="679">
        <v>45128</v>
      </c>
      <c r="AC46" s="595">
        <v>57998</v>
      </c>
      <c r="AD46" s="595">
        <v>60974</v>
      </c>
    </row>
    <row r="47" spans="1:98">
      <c r="A47" s="590" t="s">
        <v>129</v>
      </c>
      <c r="B47" s="591" t="s">
        <v>232</v>
      </c>
      <c r="C47" s="592">
        <f t="shared" ref="C47:AA47" si="4">C15</f>
        <v>129937</v>
      </c>
      <c r="D47" s="592">
        <f t="shared" si="4"/>
        <v>125704</v>
      </c>
      <c r="E47" s="592">
        <f t="shared" si="4"/>
        <v>125704</v>
      </c>
      <c r="F47" s="592">
        <f t="shared" si="4"/>
        <v>112269</v>
      </c>
      <c r="G47" s="592">
        <f t="shared" si="4"/>
        <v>109375</v>
      </c>
      <c r="H47" s="592">
        <f t="shared" si="4"/>
        <v>108515</v>
      </c>
      <c r="I47" s="592">
        <f t="shared" si="4"/>
        <v>110835</v>
      </c>
      <c r="J47" s="592">
        <f t="shared" si="4"/>
        <v>112527</v>
      </c>
      <c r="K47" s="592">
        <f t="shared" si="4"/>
        <v>111088</v>
      </c>
      <c r="L47" s="592">
        <f t="shared" si="4"/>
        <v>126804</v>
      </c>
      <c r="M47" s="592">
        <f t="shared" si="4"/>
        <v>145040</v>
      </c>
      <c r="N47" s="592">
        <f t="shared" si="4"/>
        <v>151765</v>
      </c>
      <c r="O47" s="592">
        <f t="shared" si="4"/>
        <v>164459</v>
      </c>
      <c r="P47" s="592">
        <f t="shared" si="4"/>
        <v>187237</v>
      </c>
      <c r="Q47" s="592">
        <f t="shared" si="4"/>
        <v>197594</v>
      </c>
      <c r="R47" s="592">
        <f t="shared" si="4"/>
        <v>224917</v>
      </c>
      <c r="S47" s="592">
        <f t="shared" si="4"/>
        <v>225571</v>
      </c>
      <c r="T47" s="592">
        <f t="shared" si="4"/>
        <v>177750</v>
      </c>
      <c r="U47" s="592">
        <f t="shared" si="4"/>
        <v>146749</v>
      </c>
      <c r="V47" s="592">
        <f t="shared" si="4"/>
        <v>160643</v>
      </c>
      <c r="W47" s="592">
        <f t="shared" si="4"/>
        <v>156844</v>
      </c>
      <c r="X47" s="592">
        <f t="shared" si="4"/>
        <v>152440</v>
      </c>
      <c r="Y47" s="592">
        <f t="shared" si="4"/>
        <v>140865</v>
      </c>
      <c r="Z47" s="592">
        <f t="shared" si="4"/>
        <v>140329</v>
      </c>
      <c r="AA47" s="592">
        <f t="shared" si="4"/>
        <v>141853</v>
      </c>
      <c r="AB47" s="678">
        <v>155117</v>
      </c>
      <c r="AC47" s="592">
        <v>158587</v>
      </c>
      <c r="AD47" s="592">
        <v>146778</v>
      </c>
    </row>
    <row r="48" spans="1:98">
      <c r="A48" s="593"/>
      <c r="B48" s="594" t="s">
        <v>233</v>
      </c>
      <c r="C48" s="595">
        <f t="shared" ref="C48:AA48" si="5">C20-C47</f>
        <v>17749</v>
      </c>
      <c r="D48" s="595">
        <f t="shared" si="5"/>
        <v>15744</v>
      </c>
      <c r="E48" s="595">
        <f t="shared" si="5"/>
        <v>15744</v>
      </c>
      <c r="F48" s="595">
        <f t="shared" si="5"/>
        <v>13611</v>
      </c>
      <c r="G48" s="595">
        <f t="shared" si="5"/>
        <v>12367</v>
      </c>
      <c r="H48" s="595">
        <f t="shared" si="5"/>
        <v>11503</v>
      </c>
      <c r="I48" s="595">
        <f t="shared" si="5"/>
        <v>11676</v>
      </c>
      <c r="J48" s="595">
        <f t="shared" si="5"/>
        <v>11665</v>
      </c>
      <c r="K48" s="595">
        <f t="shared" si="5"/>
        <v>11856</v>
      </c>
      <c r="L48" s="595">
        <f t="shared" si="5"/>
        <v>14595</v>
      </c>
      <c r="M48" s="595">
        <f t="shared" si="5"/>
        <v>19914</v>
      </c>
      <c r="N48" s="595">
        <f t="shared" si="5"/>
        <v>25185</v>
      </c>
      <c r="O48" s="595">
        <f t="shared" si="5"/>
        <v>28890</v>
      </c>
      <c r="P48" s="595">
        <f t="shared" si="5"/>
        <v>35456</v>
      </c>
      <c r="Q48" s="595">
        <f t="shared" si="5"/>
        <v>40729</v>
      </c>
      <c r="R48" s="595">
        <f t="shared" si="5"/>
        <v>49874</v>
      </c>
      <c r="S48" s="595">
        <f t="shared" si="5"/>
        <v>51508</v>
      </c>
      <c r="T48" s="595">
        <f t="shared" si="5"/>
        <v>49392</v>
      </c>
      <c r="U48" s="595">
        <f t="shared" si="5"/>
        <v>42609</v>
      </c>
      <c r="V48" s="595">
        <f t="shared" si="5"/>
        <v>42444</v>
      </c>
      <c r="W48" s="595">
        <f t="shared" si="5"/>
        <v>42733</v>
      </c>
      <c r="X48" s="595">
        <f t="shared" si="5"/>
        <v>42085</v>
      </c>
      <c r="Y48" s="595">
        <f t="shared" si="5"/>
        <v>39045</v>
      </c>
      <c r="Z48" s="595">
        <f t="shared" si="5"/>
        <v>39054</v>
      </c>
      <c r="AA48" s="595">
        <f t="shared" si="5"/>
        <v>42519</v>
      </c>
      <c r="AB48" s="679">
        <v>46303</v>
      </c>
      <c r="AC48" s="595">
        <v>50781</v>
      </c>
      <c r="AD48" s="595">
        <v>53506</v>
      </c>
    </row>
    <row r="49" spans="1:30">
      <c r="A49" s="590" t="s">
        <v>146</v>
      </c>
      <c r="B49" s="591" t="s">
        <v>232</v>
      </c>
      <c r="C49" s="592">
        <f t="shared" ref="C49:AA49" si="6">C23</f>
        <v>14497</v>
      </c>
      <c r="D49" s="592">
        <f t="shared" si="6"/>
        <v>35900</v>
      </c>
      <c r="E49" s="592">
        <f t="shared" si="6"/>
        <v>43314</v>
      </c>
      <c r="F49" s="592">
        <f t="shared" si="6"/>
        <v>22943</v>
      </c>
      <c r="G49" s="592">
        <f t="shared" si="6"/>
        <v>21833</v>
      </c>
      <c r="H49" s="592">
        <f t="shared" si="6"/>
        <v>30175</v>
      </c>
      <c r="I49" s="592">
        <f t="shared" si="6"/>
        <v>30525</v>
      </c>
      <c r="J49" s="592">
        <f t="shared" si="6"/>
        <v>35284</v>
      </c>
      <c r="K49" s="592">
        <f t="shared" si="6"/>
        <v>53419</v>
      </c>
      <c r="L49" s="592">
        <f t="shared" si="6"/>
        <v>89303</v>
      </c>
      <c r="M49" s="592">
        <f t="shared" si="6"/>
        <v>91562</v>
      </c>
      <c r="N49" s="592">
        <f t="shared" si="6"/>
        <v>61109</v>
      </c>
      <c r="O49" s="592">
        <f t="shared" si="6"/>
        <v>42129</v>
      </c>
      <c r="P49" s="592">
        <f t="shared" si="6"/>
        <v>51404</v>
      </c>
      <c r="Q49" s="592">
        <f t="shared" si="6"/>
        <v>72258</v>
      </c>
      <c r="R49" s="592">
        <f t="shared" si="6"/>
        <v>84061</v>
      </c>
      <c r="S49" s="592">
        <f t="shared" si="6"/>
        <v>95667</v>
      </c>
      <c r="T49" s="592">
        <f t="shared" si="6"/>
        <v>97294</v>
      </c>
      <c r="U49" s="592">
        <f t="shared" si="6"/>
        <v>76318</v>
      </c>
      <c r="V49" s="592">
        <f t="shared" si="6"/>
        <v>82400</v>
      </c>
      <c r="W49" s="592">
        <f t="shared" si="6"/>
        <v>90847</v>
      </c>
      <c r="X49" s="592">
        <f t="shared" si="6"/>
        <v>89227</v>
      </c>
      <c r="Y49" s="592">
        <f t="shared" si="6"/>
        <v>94852</v>
      </c>
      <c r="Z49" s="592">
        <f t="shared" si="6"/>
        <v>103881</v>
      </c>
      <c r="AA49" s="592">
        <f t="shared" si="6"/>
        <v>110351</v>
      </c>
      <c r="AB49" s="678">
        <v>99202</v>
      </c>
      <c r="AC49" s="592">
        <v>99315</v>
      </c>
      <c r="AD49" s="592">
        <v>95165</v>
      </c>
    </row>
    <row r="50" spans="1:30">
      <c r="A50" s="593"/>
      <c r="B50" s="594" t="s">
        <v>233</v>
      </c>
      <c r="C50" s="595">
        <f t="shared" ref="C50:AA50" si="7">C27-C49</f>
        <v>10082</v>
      </c>
      <c r="D50" s="595">
        <f t="shared" si="7"/>
        <v>16990</v>
      </c>
      <c r="E50" s="595">
        <f t="shared" si="7"/>
        <v>23737</v>
      </c>
      <c r="F50" s="595">
        <f t="shared" si="7"/>
        <v>12013</v>
      </c>
      <c r="G50" s="595">
        <f t="shared" si="7"/>
        <v>12842</v>
      </c>
      <c r="H50" s="595">
        <f t="shared" si="7"/>
        <v>14871</v>
      </c>
      <c r="I50" s="595">
        <f t="shared" si="7"/>
        <v>13651</v>
      </c>
      <c r="J50" s="595">
        <f t="shared" si="7"/>
        <v>13784</v>
      </c>
      <c r="K50" s="595">
        <f t="shared" si="7"/>
        <v>20093</v>
      </c>
      <c r="L50" s="595">
        <f t="shared" si="7"/>
        <v>31487</v>
      </c>
      <c r="M50" s="595">
        <f t="shared" si="7"/>
        <v>32143</v>
      </c>
      <c r="N50" s="595">
        <f t="shared" si="7"/>
        <v>22414</v>
      </c>
      <c r="O50" s="595">
        <f t="shared" si="7"/>
        <v>14603</v>
      </c>
      <c r="P50" s="595">
        <f t="shared" si="7"/>
        <v>17439</v>
      </c>
      <c r="Q50" s="595">
        <f t="shared" si="7"/>
        <v>22462</v>
      </c>
      <c r="R50" s="595">
        <f t="shared" si="7"/>
        <v>29406</v>
      </c>
      <c r="S50" s="595">
        <f t="shared" si="7"/>
        <v>31663</v>
      </c>
      <c r="T50" s="595">
        <f t="shared" si="7"/>
        <v>32492</v>
      </c>
      <c r="U50" s="595">
        <f t="shared" si="7"/>
        <v>25555</v>
      </c>
      <c r="V50" s="595">
        <f t="shared" si="7"/>
        <v>26475</v>
      </c>
      <c r="W50" s="595">
        <f t="shared" si="7"/>
        <v>29815</v>
      </c>
      <c r="X50" s="595">
        <f t="shared" si="7"/>
        <v>29785</v>
      </c>
      <c r="Y50" s="595">
        <f t="shared" si="7"/>
        <v>30809</v>
      </c>
      <c r="Z50" s="595">
        <f t="shared" si="7"/>
        <v>30885</v>
      </c>
      <c r="AA50" s="595">
        <f t="shared" si="7"/>
        <v>35531</v>
      </c>
      <c r="AB50" s="679">
        <v>35978</v>
      </c>
      <c r="AC50" s="595">
        <v>35419</v>
      </c>
      <c r="AD50" s="595">
        <v>32641</v>
      </c>
    </row>
    <row r="51" spans="1:30">
      <c r="A51" s="590" t="s">
        <v>156</v>
      </c>
      <c r="B51" s="591" t="s">
        <v>232</v>
      </c>
      <c r="C51" s="592">
        <f t="shared" ref="C51:AA51" si="8">C31</f>
        <v>1532</v>
      </c>
      <c r="D51" s="592">
        <f t="shared" si="8"/>
        <v>1653</v>
      </c>
      <c r="E51" s="592">
        <f t="shared" si="8"/>
        <v>3097</v>
      </c>
      <c r="F51" s="592">
        <f t="shared" si="8"/>
        <v>6177</v>
      </c>
      <c r="G51" s="592">
        <f t="shared" si="8"/>
        <v>5395</v>
      </c>
      <c r="H51" s="592">
        <f t="shared" si="8"/>
        <v>5868</v>
      </c>
      <c r="I51" s="592">
        <f t="shared" si="8"/>
        <v>11404</v>
      </c>
      <c r="J51" s="592">
        <f t="shared" si="8"/>
        <v>18241</v>
      </c>
      <c r="K51" s="592">
        <f t="shared" si="8"/>
        <v>20705</v>
      </c>
      <c r="L51" s="592">
        <f t="shared" si="8"/>
        <v>25077</v>
      </c>
      <c r="M51" s="592">
        <f t="shared" si="8"/>
        <v>31945</v>
      </c>
      <c r="N51" s="592">
        <f t="shared" si="8"/>
        <v>46590</v>
      </c>
      <c r="O51" s="592">
        <f t="shared" si="8"/>
        <v>65391</v>
      </c>
      <c r="P51" s="592">
        <f t="shared" si="8"/>
        <v>79767</v>
      </c>
      <c r="Q51" s="592">
        <f t="shared" si="8"/>
        <v>112347</v>
      </c>
      <c r="R51" s="592">
        <f t="shared" si="8"/>
        <v>143847</v>
      </c>
      <c r="S51" s="592">
        <f t="shared" si="8"/>
        <v>143535</v>
      </c>
      <c r="T51" s="592">
        <f t="shared" si="8"/>
        <v>162680</v>
      </c>
      <c r="U51" s="592">
        <f t="shared" si="8"/>
        <v>263436</v>
      </c>
      <c r="V51" s="592">
        <f t="shared" si="8"/>
        <v>302136</v>
      </c>
      <c r="W51" s="592">
        <f t="shared" si="8"/>
        <v>326970</v>
      </c>
      <c r="X51" s="592">
        <f t="shared" si="8"/>
        <v>345959</v>
      </c>
      <c r="Y51" s="592">
        <f t="shared" si="8"/>
        <v>360919</v>
      </c>
      <c r="Z51" s="592">
        <f t="shared" si="8"/>
        <v>440691</v>
      </c>
      <c r="AA51" s="592">
        <f t="shared" si="8"/>
        <v>585910</v>
      </c>
      <c r="AB51" s="678">
        <v>695591</v>
      </c>
      <c r="AC51" s="592">
        <v>819234</v>
      </c>
      <c r="AD51" s="592">
        <v>938174</v>
      </c>
    </row>
    <row r="52" spans="1:30">
      <c r="A52" s="593"/>
      <c r="B52" s="594" t="s">
        <v>233</v>
      </c>
      <c r="C52" s="595">
        <f t="shared" ref="C52:AA52" si="9">C34-C51</f>
        <v>1962</v>
      </c>
      <c r="D52" s="595">
        <f t="shared" si="9"/>
        <v>3082</v>
      </c>
      <c r="E52" s="595">
        <f t="shared" si="9"/>
        <v>4540</v>
      </c>
      <c r="F52" s="595">
        <f t="shared" si="9"/>
        <v>6881</v>
      </c>
      <c r="G52" s="595">
        <f t="shared" si="9"/>
        <v>10901</v>
      </c>
      <c r="H52" s="595">
        <f t="shared" si="9"/>
        <v>15389</v>
      </c>
      <c r="I52" s="595">
        <f t="shared" si="9"/>
        <v>25745</v>
      </c>
      <c r="J52" s="595">
        <f t="shared" si="9"/>
        <v>31119</v>
      </c>
      <c r="K52" s="595">
        <f t="shared" si="9"/>
        <v>32600</v>
      </c>
      <c r="L52" s="595">
        <f t="shared" si="9"/>
        <v>32709</v>
      </c>
      <c r="M52" s="595">
        <f t="shared" si="9"/>
        <v>36003</v>
      </c>
      <c r="N52" s="595">
        <f t="shared" si="9"/>
        <v>47116</v>
      </c>
      <c r="O52" s="595">
        <f t="shared" si="9"/>
        <v>62998</v>
      </c>
      <c r="P52" s="595">
        <f t="shared" si="9"/>
        <v>55343</v>
      </c>
      <c r="Q52" s="595">
        <f t="shared" si="9"/>
        <v>59766</v>
      </c>
      <c r="R52" s="595">
        <f t="shared" si="9"/>
        <v>73258</v>
      </c>
      <c r="S52" s="595">
        <f t="shared" si="9"/>
        <v>64153</v>
      </c>
      <c r="T52" s="595">
        <f t="shared" si="9"/>
        <v>70548</v>
      </c>
      <c r="U52" s="595">
        <f t="shared" si="9"/>
        <v>95880</v>
      </c>
      <c r="V52" s="595">
        <f t="shared" si="9"/>
        <v>102072</v>
      </c>
      <c r="W52" s="595">
        <f t="shared" si="9"/>
        <v>93174</v>
      </c>
      <c r="X52" s="595">
        <f t="shared" si="9"/>
        <v>86188</v>
      </c>
      <c r="Y52" s="595">
        <f t="shared" si="9"/>
        <v>91885</v>
      </c>
      <c r="Z52" s="595">
        <f t="shared" si="9"/>
        <v>89436</v>
      </c>
      <c r="AA52" s="595">
        <f t="shared" si="9"/>
        <v>110036</v>
      </c>
      <c r="AB52" s="679">
        <v>102756</v>
      </c>
      <c r="AC52" s="595">
        <v>101563</v>
      </c>
      <c r="AD52" s="595">
        <v>106603</v>
      </c>
    </row>
    <row r="53" spans="1:30">
      <c r="A53" s="596" t="s">
        <v>170</v>
      </c>
      <c r="B53" s="597" t="s">
        <v>232</v>
      </c>
      <c r="C53" s="592">
        <f t="shared" ref="C53:AA53" si="10">C39</f>
        <v>61707</v>
      </c>
      <c r="D53" s="592">
        <f t="shared" si="10"/>
        <v>80292</v>
      </c>
      <c r="E53" s="592">
        <f t="shared" si="10"/>
        <v>80292</v>
      </c>
      <c r="F53" s="592">
        <f t="shared" si="10"/>
        <v>85072</v>
      </c>
      <c r="G53" s="592">
        <f t="shared" si="10"/>
        <v>87610</v>
      </c>
      <c r="H53" s="592">
        <f t="shared" si="10"/>
        <v>86980</v>
      </c>
      <c r="I53" s="592">
        <f t="shared" si="10"/>
        <v>87901</v>
      </c>
      <c r="J53" s="592">
        <f t="shared" si="10"/>
        <v>84271</v>
      </c>
      <c r="K53" s="592">
        <f t="shared" si="10"/>
        <v>74637</v>
      </c>
      <c r="L53" s="592">
        <f t="shared" si="10"/>
        <v>89823</v>
      </c>
      <c r="M53" s="592">
        <f t="shared" si="10"/>
        <v>80171</v>
      </c>
      <c r="N53" s="592">
        <f t="shared" si="10"/>
        <v>78267</v>
      </c>
      <c r="O53" s="592">
        <f t="shared" si="10"/>
        <v>82382</v>
      </c>
      <c r="P53" s="592">
        <f t="shared" si="10"/>
        <v>107792</v>
      </c>
      <c r="Q53" s="592">
        <f t="shared" si="10"/>
        <v>108626</v>
      </c>
      <c r="R53" s="592">
        <f t="shared" si="10"/>
        <v>121026</v>
      </c>
      <c r="S53" s="592">
        <f t="shared" si="10"/>
        <v>133593</v>
      </c>
      <c r="T53" s="592">
        <f t="shared" si="10"/>
        <v>144621</v>
      </c>
      <c r="U53" s="592">
        <f t="shared" si="10"/>
        <v>140969</v>
      </c>
      <c r="V53" s="592">
        <f t="shared" si="10"/>
        <v>143723</v>
      </c>
      <c r="W53" s="592">
        <f t="shared" si="10"/>
        <v>150949</v>
      </c>
      <c r="X53" s="592">
        <f t="shared" si="10"/>
        <v>144413</v>
      </c>
      <c r="Y53" s="592">
        <f t="shared" si="10"/>
        <v>167115</v>
      </c>
      <c r="Z53" s="592">
        <f t="shared" si="10"/>
        <v>164555</v>
      </c>
      <c r="AA53" s="592">
        <f t="shared" si="10"/>
        <v>149700</v>
      </c>
      <c r="AB53" s="678">
        <v>141938</v>
      </c>
      <c r="AC53" s="592">
        <v>148071</v>
      </c>
      <c r="AD53" s="592">
        <v>142324</v>
      </c>
    </row>
    <row r="54" spans="1:30">
      <c r="A54" s="598"/>
      <c r="B54" s="599" t="s">
        <v>233</v>
      </c>
      <c r="C54" s="600">
        <f t="shared" ref="C54:AA54" si="11">C41-C53</f>
        <v>50277</v>
      </c>
      <c r="D54" s="600">
        <f t="shared" si="11"/>
        <v>67228</v>
      </c>
      <c r="E54" s="600">
        <f t="shared" si="11"/>
        <v>67228</v>
      </c>
      <c r="F54" s="600">
        <f t="shared" si="11"/>
        <v>72425</v>
      </c>
      <c r="G54" s="600">
        <f t="shared" si="11"/>
        <v>78435</v>
      </c>
      <c r="H54" s="600">
        <f t="shared" si="11"/>
        <v>80354</v>
      </c>
      <c r="I54" s="600">
        <f t="shared" si="11"/>
        <v>81125</v>
      </c>
      <c r="J54" s="600">
        <f t="shared" si="11"/>
        <v>80022</v>
      </c>
      <c r="K54" s="600">
        <f t="shared" si="11"/>
        <v>69169</v>
      </c>
      <c r="L54" s="600">
        <f t="shared" si="11"/>
        <v>83949</v>
      </c>
      <c r="M54" s="600">
        <f t="shared" si="11"/>
        <v>78667</v>
      </c>
      <c r="N54" s="600">
        <f t="shared" si="11"/>
        <v>81392</v>
      </c>
      <c r="O54" s="600">
        <f t="shared" si="11"/>
        <v>84967</v>
      </c>
      <c r="P54" s="600">
        <f t="shared" si="11"/>
        <v>111822</v>
      </c>
      <c r="Q54" s="600">
        <f t="shared" si="11"/>
        <v>115879</v>
      </c>
      <c r="R54" s="600">
        <f t="shared" si="11"/>
        <v>132129</v>
      </c>
      <c r="S54" s="600">
        <f t="shared" si="11"/>
        <v>144242</v>
      </c>
      <c r="T54" s="600">
        <f t="shared" si="11"/>
        <v>156056</v>
      </c>
      <c r="U54" s="600">
        <f t="shared" si="11"/>
        <v>157438</v>
      </c>
      <c r="V54" s="600">
        <f t="shared" si="11"/>
        <v>159326</v>
      </c>
      <c r="W54" s="600">
        <f t="shared" si="11"/>
        <v>167880</v>
      </c>
      <c r="X54" s="600">
        <f t="shared" si="11"/>
        <v>163346</v>
      </c>
      <c r="Y54" s="600">
        <f t="shared" si="11"/>
        <v>187315</v>
      </c>
      <c r="Z54" s="600">
        <f t="shared" si="11"/>
        <v>187438</v>
      </c>
      <c r="AA54" s="600">
        <f t="shared" si="11"/>
        <v>178075</v>
      </c>
      <c r="AB54" s="680">
        <v>181480</v>
      </c>
      <c r="AC54" s="600">
        <v>167174</v>
      </c>
      <c r="AD54" s="600">
        <v>177491</v>
      </c>
    </row>
    <row r="55" spans="1:30">
      <c r="AB55" s="681"/>
    </row>
    <row r="56" spans="1:30">
      <c r="AB56" s="681"/>
    </row>
    <row r="57" spans="1:30">
      <c r="AB57" s="681"/>
    </row>
    <row r="58" spans="1:30">
      <c r="AB58" s="681"/>
    </row>
    <row r="59" spans="1:30">
      <c r="AB59" s="681"/>
    </row>
    <row r="60" spans="1:30">
      <c r="AB60" s="681"/>
    </row>
    <row r="61" spans="1:30">
      <c r="AB61" s="681"/>
    </row>
    <row r="62" spans="1:30">
      <c r="AB62" s="681"/>
    </row>
    <row r="63" spans="1:30">
      <c r="AB63" s="681"/>
    </row>
    <row r="64" spans="1:30">
      <c r="AB64" s="681"/>
    </row>
    <row r="65" spans="28:110">
      <c r="AB65" s="681"/>
    </row>
    <row r="66" spans="28:110">
      <c r="AB66" s="681"/>
    </row>
    <row r="67" spans="28:110">
      <c r="AB67" s="681"/>
    </row>
    <row r="68" spans="28:110">
      <c r="AB68" s="681"/>
    </row>
    <row r="69" spans="28:110">
      <c r="AB69" s="681"/>
    </row>
    <row r="70" spans="28:110">
      <c r="AB70" s="681"/>
    </row>
    <row r="71" spans="28:110">
      <c r="AB71" s="681"/>
    </row>
    <row r="72" spans="28:110">
      <c r="AB72" s="681"/>
    </row>
    <row r="73" spans="28:110">
      <c r="AB73" s="681"/>
    </row>
    <row r="74" spans="28:110">
      <c r="AB74" s="681"/>
    </row>
    <row r="75" spans="28:110">
      <c r="AB75" s="681"/>
    </row>
    <row r="76" spans="28:110">
      <c r="AB76" s="681"/>
    </row>
    <row r="77" spans="28:110">
      <c r="AB77" s="681"/>
    </row>
    <row r="78" spans="28:110">
      <c r="AB78" s="681"/>
    </row>
    <row r="79" spans="28:110">
      <c r="AB79" s="681"/>
    </row>
    <row r="80" spans="28:110" s="123" customFormat="1">
      <c r="AB80" s="2"/>
      <c r="AF80" s="558" t="s">
        <v>186</v>
      </c>
      <c r="AG80" s="559"/>
      <c r="AH80" s="559"/>
      <c r="AI80" s="559"/>
      <c r="AJ80" s="559"/>
      <c r="AK80" s="559"/>
      <c r="AL80" s="559"/>
      <c r="AM80" s="559"/>
      <c r="AN80" s="559"/>
      <c r="AO80" s="559"/>
      <c r="AP80" s="559"/>
      <c r="AQ80" s="559"/>
      <c r="AR80" s="559"/>
      <c r="AS80" s="559"/>
      <c r="AT80" s="559"/>
      <c r="AU80" s="559"/>
      <c r="AV80" s="559" t="s">
        <v>129</v>
      </c>
      <c r="AW80" s="559"/>
      <c r="AX80" s="559"/>
      <c r="AY80" s="559"/>
      <c r="AZ80" s="559"/>
      <c r="BA80" s="559"/>
      <c r="BB80" s="559"/>
      <c r="BC80" s="559"/>
      <c r="BD80" s="559"/>
      <c r="BE80" s="559"/>
      <c r="BF80" s="559"/>
      <c r="BG80" s="559"/>
      <c r="BH80" s="559"/>
      <c r="BI80" s="559"/>
      <c r="BJ80" s="559"/>
      <c r="BK80" s="559"/>
      <c r="BL80" s="559" t="s">
        <v>146</v>
      </c>
      <c r="BM80" s="559"/>
      <c r="BN80" s="559"/>
      <c r="BO80" s="559"/>
      <c r="BP80" s="559"/>
      <c r="BQ80" s="559"/>
      <c r="BR80" s="559"/>
      <c r="BS80" s="559"/>
      <c r="BT80" s="559"/>
      <c r="BU80" s="559"/>
      <c r="BV80" s="559"/>
      <c r="BW80" s="559"/>
      <c r="BX80" s="559"/>
      <c r="BY80" s="559"/>
      <c r="BZ80" s="559"/>
      <c r="CA80" s="559"/>
      <c r="CB80" s="559" t="s">
        <v>156</v>
      </c>
      <c r="CC80" s="559"/>
      <c r="CD80" s="559"/>
      <c r="CE80" s="559"/>
      <c r="CF80" s="559"/>
      <c r="CG80" s="559"/>
      <c r="CH80" s="559"/>
      <c r="CI80" s="559"/>
      <c r="CJ80" s="559"/>
      <c r="CK80" s="559"/>
      <c r="CL80" s="559"/>
      <c r="CM80" s="559"/>
      <c r="CN80" s="559"/>
      <c r="CO80" s="559"/>
      <c r="CP80" s="559"/>
      <c r="CQ80" s="559" t="s">
        <v>170</v>
      </c>
      <c r="CR80" s="559"/>
      <c r="CS80" s="559"/>
      <c r="CT80" s="559"/>
      <c r="CU80" s="559"/>
      <c r="CV80" s="559"/>
      <c r="CW80" s="559"/>
      <c r="CX80" s="559"/>
      <c r="CY80" s="559"/>
      <c r="CZ80" s="559"/>
      <c r="DA80" s="559"/>
      <c r="DB80" s="559"/>
      <c r="DC80" s="559"/>
      <c r="DD80" s="559"/>
      <c r="DE80" s="559"/>
      <c r="DF80" s="567"/>
    </row>
    <row r="81" spans="1:110" s="123" customFormat="1">
      <c r="AF81" s="560">
        <f t="shared" ref="AF81:AQ81" si="12">P6</f>
        <v>2010</v>
      </c>
      <c r="AG81" s="561">
        <f t="shared" si="12"/>
        <v>2011</v>
      </c>
      <c r="AH81" s="561">
        <f t="shared" si="12"/>
        <v>2012</v>
      </c>
      <c r="AI81" s="561">
        <f t="shared" si="12"/>
        <v>2013</v>
      </c>
      <c r="AJ81" s="561">
        <f t="shared" si="12"/>
        <v>2014</v>
      </c>
      <c r="AK81" s="561">
        <f t="shared" si="12"/>
        <v>2015</v>
      </c>
      <c r="AL81" s="561">
        <f t="shared" si="12"/>
        <v>2016</v>
      </c>
      <c r="AM81" s="561">
        <f t="shared" si="12"/>
        <v>2017</v>
      </c>
      <c r="AN81" s="561">
        <f t="shared" si="12"/>
        <v>2018</v>
      </c>
      <c r="AO81" s="561">
        <f t="shared" si="12"/>
        <v>2019</v>
      </c>
      <c r="AP81" s="561">
        <f t="shared" si="12"/>
        <v>2020</v>
      </c>
      <c r="AQ81" s="561">
        <f t="shared" si="12"/>
        <v>2021</v>
      </c>
      <c r="AR81" s="561">
        <f t="shared" ref="AR81" si="13">AB6</f>
        <v>2022</v>
      </c>
      <c r="AS81" s="561">
        <f t="shared" ref="AS81" si="14">AC6</f>
        <v>2023</v>
      </c>
      <c r="AT81" s="561">
        <f t="shared" ref="AT81" si="15">AD6</f>
        <v>2024</v>
      </c>
      <c r="AU81" s="561"/>
      <c r="AV81" s="561">
        <f t="shared" ref="AV81:BG81" si="16">AF81</f>
        <v>2010</v>
      </c>
      <c r="AW81" s="561">
        <f t="shared" si="16"/>
        <v>2011</v>
      </c>
      <c r="AX81" s="561">
        <f t="shared" si="16"/>
        <v>2012</v>
      </c>
      <c r="AY81" s="561">
        <f t="shared" si="16"/>
        <v>2013</v>
      </c>
      <c r="AZ81" s="561">
        <f t="shared" si="16"/>
        <v>2014</v>
      </c>
      <c r="BA81" s="561">
        <f t="shared" si="16"/>
        <v>2015</v>
      </c>
      <c r="BB81" s="561">
        <f t="shared" si="16"/>
        <v>2016</v>
      </c>
      <c r="BC81" s="561">
        <f t="shared" si="16"/>
        <v>2017</v>
      </c>
      <c r="BD81" s="561">
        <f t="shared" si="16"/>
        <v>2018</v>
      </c>
      <c r="BE81" s="561">
        <f t="shared" si="16"/>
        <v>2019</v>
      </c>
      <c r="BF81" s="561">
        <f t="shared" si="16"/>
        <v>2020</v>
      </c>
      <c r="BG81" s="561">
        <f t="shared" si="16"/>
        <v>2021</v>
      </c>
      <c r="BH81" s="561">
        <f t="shared" ref="BH81:BJ81" si="17">AR81</f>
        <v>2022</v>
      </c>
      <c r="BI81" s="561">
        <f t="shared" si="17"/>
        <v>2023</v>
      </c>
      <c r="BJ81" s="561">
        <f t="shared" si="17"/>
        <v>2024</v>
      </c>
      <c r="BK81" s="561"/>
      <c r="BL81" s="561">
        <f t="shared" ref="BL81:BW81" si="18">AV81</f>
        <v>2010</v>
      </c>
      <c r="BM81" s="561">
        <f t="shared" si="18"/>
        <v>2011</v>
      </c>
      <c r="BN81" s="561">
        <f t="shared" si="18"/>
        <v>2012</v>
      </c>
      <c r="BO81" s="561">
        <f t="shared" si="18"/>
        <v>2013</v>
      </c>
      <c r="BP81" s="561">
        <f t="shared" si="18"/>
        <v>2014</v>
      </c>
      <c r="BQ81" s="561">
        <f t="shared" si="18"/>
        <v>2015</v>
      </c>
      <c r="BR81" s="561">
        <f t="shared" si="18"/>
        <v>2016</v>
      </c>
      <c r="BS81" s="561">
        <f t="shared" si="18"/>
        <v>2017</v>
      </c>
      <c r="BT81" s="561">
        <f t="shared" si="18"/>
        <v>2018</v>
      </c>
      <c r="BU81" s="561">
        <f t="shared" si="18"/>
        <v>2019</v>
      </c>
      <c r="BV81" s="561">
        <f t="shared" si="18"/>
        <v>2020</v>
      </c>
      <c r="BW81" s="561">
        <f t="shared" si="18"/>
        <v>2021</v>
      </c>
      <c r="BX81" s="561">
        <f t="shared" ref="BX81:BZ81" si="19">BH81</f>
        <v>2022</v>
      </c>
      <c r="BY81" s="561">
        <f t="shared" si="19"/>
        <v>2023</v>
      </c>
      <c r="BZ81" s="561">
        <f t="shared" si="19"/>
        <v>2024</v>
      </c>
      <c r="CA81" s="561"/>
      <c r="CB81" s="561">
        <f t="shared" ref="CB81:CM81" si="20">BL81</f>
        <v>2010</v>
      </c>
      <c r="CC81" s="561">
        <f t="shared" si="20"/>
        <v>2011</v>
      </c>
      <c r="CD81" s="561">
        <f t="shared" si="20"/>
        <v>2012</v>
      </c>
      <c r="CE81" s="561">
        <f t="shared" si="20"/>
        <v>2013</v>
      </c>
      <c r="CF81" s="561">
        <f t="shared" si="20"/>
        <v>2014</v>
      </c>
      <c r="CG81" s="561">
        <f t="shared" si="20"/>
        <v>2015</v>
      </c>
      <c r="CH81" s="561">
        <f t="shared" si="20"/>
        <v>2016</v>
      </c>
      <c r="CI81" s="561">
        <f t="shared" si="20"/>
        <v>2017</v>
      </c>
      <c r="CJ81" s="561">
        <f t="shared" si="20"/>
        <v>2018</v>
      </c>
      <c r="CK81" s="561">
        <f t="shared" si="20"/>
        <v>2019</v>
      </c>
      <c r="CL81" s="561">
        <f t="shared" si="20"/>
        <v>2020</v>
      </c>
      <c r="CM81" s="561">
        <f t="shared" si="20"/>
        <v>2021</v>
      </c>
      <c r="CN81" s="561">
        <f t="shared" ref="CN81:CP81" si="21">BX81</f>
        <v>2022</v>
      </c>
      <c r="CO81" s="561">
        <f t="shared" si="21"/>
        <v>2023</v>
      </c>
      <c r="CP81" s="561">
        <f t="shared" si="21"/>
        <v>2024</v>
      </c>
      <c r="CQ81" s="561"/>
      <c r="CR81" s="561">
        <f t="shared" ref="CR81:DC81" si="22">CB81</f>
        <v>2010</v>
      </c>
      <c r="CS81" s="561">
        <f t="shared" si="22"/>
        <v>2011</v>
      </c>
      <c r="CT81" s="561">
        <f t="shared" si="22"/>
        <v>2012</v>
      </c>
      <c r="CU81" s="561">
        <f t="shared" si="22"/>
        <v>2013</v>
      </c>
      <c r="CV81" s="561">
        <f t="shared" si="22"/>
        <v>2014</v>
      </c>
      <c r="CW81" s="561">
        <f t="shared" si="22"/>
        <v>2015</v>
      </c>
      <c r="CX81" s="561">
        <f t="shared" si="22"/>
        <v>2016</v>
      </c>
      <c r="CY81" s="561">
        <f t="shared" si="22"/>
        <v>2017</v>
      </c>
      <c r="CZ81" s="561">
        <f t="shared" si="22"/>
        <v>2018</v>
      </c>
      <c r="DA81" s="561">
        <f t="shared" si="22"/>
        <v>2019</v>
      </c>
      <c r="DB81" s="561">
        <f t="shared" si="22"/>
        <v>2020</v>
      </c>
      <c r="DC81" s="561">
        <f t="shared" si="22"/>
        <v>2021</v>
      </c>
      <c r="DD81" s="561">
        <f t="shared" ref="DD81" si="23">CN81</f>
        <v>2022</v>
      </c>
      <c r="DE81" s="561">
        <f t="shared" ref="DE81" si="24">CO81</f>
        <v>2023</v>
      </c>
      <c r="DF81" s="561">
        <f t="shared" ref="DF81" si="25">CP81</f>
        <v>2024</v>
      </c>
    </row>
    <row r="82" spans="1:110" s="123" customFormat="1">
      <c r="AF82" s="710">
        <f t="shared" ref="AF82:AR83" si="26">P45/1000</f>
        <v>30.702000000000002</v>
      </c>
      <c r="AG82" s="713">
        <f t="shared" si="26"/>
        <v>32.582000000000001</v>
      </c>
      <c r="AH82" s="713">
        <f t="shared" si="26"/>
        <v>32.634</v>
      </c>
      <c r="AI82" s="713">
        <f t="shared" si="26"/>
        <v>33.607999999999997</v>
      </c>
      <c r="AJ82" s="713">
        <f t="shared" si="26"/>
        <v>33.042000000000002</v>
      </c>
      <c r="AK82" s="713">
        <f t="shared" si="26"/>
        <v>36.56</v>
      </c>
      <c r="AL82" s="713">
        <f t="shared" si="26"/>
        <v>48.726999999999997</v>
      </c>
      <c r="AM82" s="713">
        <f t="shared" si="26"/>
        <v>50.68</v>
      </c>
      <c r="AN82" s="713">
        <f t="shared" si="26"/>
        <v>57.905999999999999</v>
      </c>
      <c r="AO82" s="713">
        <f t="shared" si="26"/>
        <v>60.57</v>
      </c>
      <c r="AP82" s="713">
        <f t="shared" si="26"/>
        <v>58.655999999999999</v>
      </c>
      <c r="AQ82" s="713">
        <f t="shared" si="26"/>
        <v>47.713999999999999</v>
      </c>
      <c r="AR82" s="713">
        <f t="shared" si="26"/>
        <v>36.625999999999998</v>
      </c>
      <c r="AS82" s="713">
        <f t="shared" ref="AS82:AS83" si="27">AC45/1000</f>
        <v>46.610999999999997</v>
      </c>
      <c r="AT82" s="713">
        <f t="shared" ref="AT82:AT83" si="28">AD45/1000</f>
        <v>48.55</v>
      </c>
      <c r="AU82" s="561"/>
      <c r="AV82" s="713">
        <f t="shared" ref="AV82:BH83" si="29">P47/1000</f>
        <v>187.23699999999999</v>
      </c>
      <c r="AW82" s="713">
        <f t="shared" si="29"/>
        <v>197.59399999999999</v>
      </c>
      <c r="AX82" s="713">
        <f t="shared" si="29"/>
        <v>224.917</v>
      </c>
      <c r="AY82" s="713">
        <f t="shared" si="29"/>
        <v>225.571</v>
      </c>
      <c r="AZ82" s="713">
        <f t="shared" si="29"/>
        <v>177.75</v>
      </c>
      <c r="BA82" s="713">
        <f t="shared" si="29"/>
        <v>146.749</v>
      </c>
      <c r="BB82" s="713">
        <f t="shared" si="29"/>
        <v>160.643</v>
      </c>
      <c r="BC82" s="713">
        <f t="shared" si="29"/>
        <v>156.84399999999999</v>
      </c>
      <c r="BD82" s="713">
        <f t="shared" si="29"/>
        <v>152.44</v>
      </c>
      <c r="BE82" s="713">
        <f t="shared" si="29"/>
        <v>140.86500000000001</v>
      </c>
      <c r="BF82" s="713">
        <f t="shared" si="29"/>
        <v>140.32900000000001</v>
      </c>
      <c r="BG82" s="713">
        <f t="shared" si="29"/>
        <v>141.85300000000001</v>
      </c>
      <c r="BH82" s="713">
        <f t="shared" si="29"/>
        <v>155.11699999999999</v>
      </c>
      <c r="BI82" s="713">
        <f t="shared" ref="BI82:BJ82" si="30">AC47/1000</f>
        <v>158.58699999999999</v>
      </c>
      <c r="BJ82" s="713">
        <f t="shared" si="30"/>
        <v>146.77799999999999</v>
      </c>
      <c r="BK82" s="561"/>
      <c r="BL82" s="713">
        <f t="shared" ref="BL82:BW83" si="31">P49/1000</f>
        <v>51.404000000000003</v>
      </c>
      <c r="BM82" s="713">
        <f t="shared" si="31"/>
        <v>72.257999999999996</v>
      </c>
      <c r="BN82" s="713">
        <f t="shared" si="31"/>
        <v>84.061000000000007</v>
      </c>
      <c r="BO82" s="713">
        <f t="shared" si="31"/>
        <v>95.667000000000002</v>
      </c>
      <c r="BP82" s="713">
        <f t="shared" si="31"/>
        <v>97.293999999999997</v>
      </c>
      <c r="BQ82" s="713">
        <f t="shared" si="31"/>
        <v>76.317999999999998</v>
      </c>
      <c r="BR82" s="713">
        <f t="shared" si="31"/>
        <v>82.4</v>
      </c>
      <c r="BS82" s="713">
        <f t="shared" si="31"/>
        <v>90.846999999999994</v>
      </c>
      <c r="BT82" s="713">
        <f t="shared" si="31"/>
        <v>89.227000000000004</v>
      </c>
      <c r="BU82" s="713">
        <f t="shared" si="31"/>
        <v>94.852000000000004</v>
      </c>
      <c r="BV82" s="713">
        <f t="shared" si="31"/>
        <v>103.881</v>
      </c>
      <c r="BW82" s="713">
        <f t="shared" si="31"/>
        <v>110.351</v>
      </c>
      <c r="BX82" s="713">
        <f t="shared" ref="BX82:BZ82" si="32">AB49/1000</f>
        <v>99.201999999999998</v>
      </c>
      <c r="BY82" s="713">
        <f t="shared" si="32"/>
        <v>99.314999999999998</v>
      </c>
      <c r="BZ82" s="713">
        <f t="shared" si="32"/>
        <v>95.165000000000006</v>
      </c>
      <c r="CA82" s="561"/>
      <c r="CB82" s="713">
        <f t="shared" ref="CB82:CM83" si="33">P51/1000</f>
        <v>79.766999999999996</v>
      </c>
      <c r="CC82" s="713">
        <f t="shared" si="33"/>
        <v>112.34699999999999</v>
      </c>
      <c r="CD82" s="713">
        <f t="shared" si="33"/>
        <v>143.84700000000001</v>
      </c>
      <c r="CE82" s="713">
        <f t="shared" si="33"/>
        <v>143.535</v>
      </c>
      <c r="CF82" s="713">
        <f t="shared" si="33"/>
        <v>162.68</v>
      </c>
      <c r="CG82" s="713">
        <f t="shared" si="33"/>
        <v>263.43599999999998</v>
      </c>
      <c r="CH82" s="713">
        <f t="shared" si="33"/>
        <v>302.13600000000002</v>
      </c>
      <c r="CI82" s="713">
        <f t="shared" si="33"/>
        <v>326.97000000000003</v>
      </c>
      <c r="CJ82" s="713">
        <f t="shared" si="33"/>
        <v>345.959</v>
      </c>
      <c r="CK82" s="713">
        <f t="shared" si="33"/>
        <v>360.91899999999998</v>
      </c>
      <c r="CL82" s="713">
        <f t="shared" si="33"/>
        <v>440.69099999999997</v>
      </c>
      <c r="CM82" s="713">
        <f t="shared" si="33"/>
        <v>585.91</v>
      </c>
      <c r="CN82" s="713">
        <f t="shared" ref="CN82:CP82" si="34">AB51/1000</f>
        <v>695.59100000000001</v>
      </c>
      <c r="CO82" s="713">
        <f t="shared" si="34"/>
        <v>819.23400000000004</v>
      </c>
      <c r="CP82" s="713">
        <f t="shared" si="34"/>
        <v>938.17399999999998</v>
      </c>
      <c r="CQ82" s="561"/>
      <c r="CR82" s="713">
        <f t="shared" ref="CR82:DC83" si="35">P53/1000</f>
        <v>107.792</v>
      </c>
      <c r="CS82" s="713">
        <f t="shared" si="35"/>
        <v>108.626</v>
      </c>
      <c r="CT82" s="713">
        <f t="shared" si="35"/>
        <v>121.026</v>
      </c>
      <c r="CU82" s="713">
        <f t="shared" si="35"/>
        <v>133.59299999999999</v>
      </c>
      <c r="CV82" s="713">
        <f t="shared" si="35"/>
        <v>144.62100000000001</v>
      </c>
      <c r="CW82" s="713">
        <f t="shared" si="35"/>
        <v>140.96899999999999</v>
      </c>
      <c r="CX82" s="713">
        <f t="shared" si="35"/>
        <v>143.72300000000001</v>
      </c>
      <c r="CY82" s="713">
        <f t="shared" si="35"/>
        <v>150.94900000000001</v>
      </c>
      <c r="CZ82" s="713">
        <f t="shared" si="35"/>
        <v>144.41300000000001</v>
      </c>
      <c r="DA82" s="713">
        <f t="shared" si="35"/>
        <v>167.11500000000001</v>
      </c>
      <c r="DB82" s="713">
        <f t="shared" si="35"/>
        <v>164.55500000000001</v>
      </c>
      <c r="DC82" s="713">
        <f t="shared" si="35"/>
        <v>149.69999999999999</v>
      </c>
      <c r="DD82" s="713">
        <f t="shared" ref="DD82:DF82" si="36">AB53/1000</f>
        <v>141.93799999999999</v>
      </c>
      <c r="DE82" s="713">
        <f t="shared" si="36"/>
        <v>148.071</v>
      </c>
      <c r="DF82" s="713">
        <f t="shared" si="36"/>
        <v>142.32400000000001</v>
      </c>
    </row>
    <row r="83" spans="1:110" s="123" customFormat="1">
      <c r="AF83" s="710">
        <f t="shared" si="26"/>
        <v>27.405999999999999</v>
      </c>
      <c r="AG83" s="713">
        <f t="shared" si="26"/>
        <v>29.53</v>
      </c>
      <c r="AH83" s="713">
        <f t="shared" si="26"/>
        <v>33.052999999999997</v>
      </c>
      <c r="AI83" s="713">
        <f t="shared" si="26"/>
        <v>33.103999999999999</v>
      </c>
      <c r="AJ83" s="713">
        <f t="shared" si="26"/>
        <v>31.571000000000002</v>
      </c>
      <c r="AK83" s="713">
        <f t="shared" si="26"/>
        <v>31.861000000000001</v>
      </c>
      <c r="AL83" s="713">
        <f t="shared" si="26"/>
        <v>47.213000000000001</v>
      </c>
      <c r="AM83" s="713">
        <f t="shared" si="26"/>
        <v>54.954999999999998</v>
      </c>
      <c r="AN83" s="713">
        <f t="shared" si="26"/>
        <v>69.718999999999994</v>
      </c>
      <c r="AO83" s="713">
        <f t="shared" si="26"/>
        <v>77.213999999999999</v>
      </c>
      <c r="AP83" s="713">
        <f t="shared" si="26"/>
        <v>75.058999999999997</v>
      </c>
      <c r="AQ83" s="713">
        <f t="shared" si="26"/>
        <v>61.085000000000001</v>
      </c>
      <c r="AR83" s="713">
        <f t="shared" si="26"/>
        <v>45.128</v>
      </c>
      <c r="AS83" s="713">
        <f t="shared" si="27"/>
        <v>57.997999999999998</v>
      </c>
      <c r="AT83" s="713">
        <f t="shared" si="28"/>
        <v>60.973999999999997</v>
      </c>
      <c r="AU83" s="561"/>
      <c r="AV83" s="713">
        <f t="shared" si="29"/>
        <v>35.456000000000003</v>
      </c>
      <c r="AW83" s="713">
        <f t="shared" si="29"/>
        <v>40.728999999999999</v>
      </c>
      <c r="AX83" s="713">
        <f t="shared" si="29"/>
        <v>49.874000000000002</v>
      </c>
      <c r="AY83" s="713">
        <f t="shared" si="29"/>
        <v>51.508000000000003</v>
      </c>
      <c r="AZ83" s="713">
        <f t="shared" si="29"/>
        <v>49.392000000000003</v>
      </c>
      <c r="BA83" s="713">
        <f t="shared" si="29"/>
        <v>42.609000000000002</v>
      </c>
      <c r="BB83" s="713">
        <f t="shared" si="29"/>
        <v>42.444000000000003</v>
      </c>
      <c r="BC83" s="713">
        <f t="shared" si="29"/>
        <v>42.732999999999997</v>
      </c>
      <c r="BD83" s="713">
        <f t="shared" si="29"/>
        <v>42.085000000000001</v>
      </c>
      <c r="BE83" s="713">
        <f t="shared" si="29"/>
        <v>39.045000000000002</v>
      </c>
      <c r="BF83" s="713">
        <f t="shared" si="29"/>
        <v>39.054000000000002</v>
      </c>
      <c r="BG83" s="713">
        <f t="shared" si="29"/>
        <v>42.518999999999998</v>
      </c>
      <c r="BH83" s="713">
        <f t="shared" si="29"/>
        <v>46.302999999999997</v>
      </c>
      <c r="BI83" s="713">
        <f t="shared" ref="BI83:BJ83" si="37">AC48/1000</f>
        <v>50.780999999999999</v>
      </c>
      <c r="BJ83" s="713">
        <f t="shared" si="37"/>
        <v>53.506</v>
      </c>
      <c r="BK83" s="561"/>
      <c r="BL83" s="713">
        <f t="shared" si="31"/>
        <v>17.439</v>
      </c>
      <c r="BM83" s="713">
        <f t="shared" si="31"/>
        <v>22.462</v>
      </c>
      <c r="BN83" s="713">
        <f t="shared" si="31"/>
        <v>29.405999999999999</v>
      </c>
      <c r="BO83" s="713">
        <f t="shared" si="31"/>
        <v>31.663</v>
      </c>
      <c r="BP83" s="713">
        <f t="shared" si="31"/>
        <v>32.491999999999997</v>
      </c>
      <c r="BQ83" s="713">
        <f t="shared" si="31"/>
        <v>25.555</v>
      </c>
      <c r="BR83" s="713">
        <f t="shared" si="31"/>
        <v>26.475000000000001</v>
      </c>
      <c r="BS83" s="713">
        <f t="shared" si="31"/>
        <v>29.815000000000001</v>
      </c>
      <c r="BT83" s="713">
        <f t="shared" si="31"/>
        <v>29.785</v>
      </c>
      <c r="BU83" s="713">
        <f t="shared" si="31"/>
        <v>30.809000000000001</v>
      </c>
      <c r="BV83" s="713">
        <f t="shared" si="31"/>
        <v>30.885000000000002</v>
      </c>
      <c r="BW83" s="713">
        <f t="shared" si="31"/>
        <v>35.530999999999999</v>
      </c>
      <c r="BX83" s="713">
        <f t="shared" ref="BX83:BZ83" si="38">AB50/1000</f>
        <v>35.978000000000002</v>
      </c>
      <c r="BY83" s="713">
        <f t="shared" si="38"/>
        <v>35.418999999999997</v>
      </c>
      <c r="BZ83" s="713">
        <f t="shared" si="38"/>
        <v>32.640999999999998</v>
      </c>
      <c r="CA83" s="561"/>
      <c r="CB83" s="713">
        <f t="shared" si="33"/>
        <v>55.343000000000004</v>
      </c>
      <c r="CC83" s="713">
        <f t="shared" si="33"/>
        <v>59.765999999999998</v>
      </c>
      <c r="CD83" s="713">
        <f t="shared" si="33"/>
        <v>73.257999999999996</v>
      </c>
      <c r="CE83" s="713">
        <f t="shared" si="33"/>
        <v>64.153000000000006</v>
      </c>
      <c r="CF83" s="713">
        <f t="shared" si="33"/>
        <v>70.548000000000002</v>
      </c>
      <c r="CG83" s="713">
        <f t="shared" si="33"/>
        <v>95.88</v>
      </c>
      <c r="CH83" s="713">
        <f t="shared" si="33"/>
        <v>102.072</v>
      </c>
      <c r="CI83" s="713">
        <f t="shared" si="33"/>
        <v>93.174000000000007</v>
      </c>
      <c r="CJ83" s="713">
        <f t="shared" si="33"/>
        <v>86.188000000000002</v>
      </c>
      <c r="CK83" s="713">
        <f t="shared" si="33"/>
        <v>91.885000000000005</v>
      </c>
      <c r="CL83" s="713">
        <f t="shared" si="33"/>
        <v>89.436000000000007</v>
      </c>
      <c r="CM83" s="713">
        <f t="shared" si="33"/>
        <v>110.036</v>
      </c>
      <c r="CN83" s="713">
        <f t="shared" ref="CN83:CP83" si="39">AB52/1000</f>
        <v>102.756</v>
      </c>
      <c r="CO83" s="713">
        <f t="shared" si="39"/>
        <v>101.563</v>
      </c>
      <c r="CP83" s="713">
        <f t="shared" si="39"/>
        <v>106.60299999999999</v>
      </c>
      <c r="CQ83" s="561"/>
      <c r="CR83" s="713">
        <f t="shared" si="35"/>
        <v>111.822</v>
      </c>
      <c r="CS83" s="713">
        <f t="shared" si="35"/>
        <v>115.879</v>
      </c>
      <c r="CT83" s="713">
        <f t="shared" si="35"/>
        <v>132.12899999999999</v>
      </c>
      <c r="CU83" s="713">
        <f t="shared" si="35"/>
        <v>144.24199999999999</v>
      </c>
      <c r="CV83" s="713">
        <f t="shared" si="35"/>
        <v>156.05600000000001</v>
      </c>
      <c r="CW83" s="713">
        <f t="shared" si="35"/>
        <v>157.43799999999999</v>
      </c>
      <c r="CX83" s="713">
        <f t="shared" si="35"/>
        <v>159.32599999999999</v>
      </c>
      <c r="CY83" s="713">
        <f t="shared" si="35"/>
        <v>167.88</v>
      </c>
      <c r="CZ83" s="713">
        <f t="shared" si="35"/>
        <v>163.346</v>
      </c>
      <c r="DA83" s="713">
        <f t="shared" si="35"/>
        <v>187.315</v>
      </c>
      <c r="DB83" s="713">
        <f t="shared" si="35"/>
        <v>187.43799999999999</v>
      </c>
      <c r="DC83" s="713">
        <f t="shared" si="35"/>
        <v>178.07499999999999</v>
      </c>
      <c r="DD83" s="713">
        <f t="shared" ref="DD83:DF83" si="40">AB54/1000</f>
        <v>181.48</v>
      </c>
      <c r="DE83" s="713">
        <f t="shared" si="40"/>
        <v>167.17400000000001</v>
      </c>
      <c r="DF83" s="713">
        <f t="shared" si="40"/>
        <v>177.49100000000001</v>
      </c>
    </row>
    <row r="84" spans="1:110" s="123" customFormat="1">
      <c r="AF84" s="710">
        <f>AF82+AF83</f>
        <v>58.107999999999997</v>
      </c>
      <c r="AG84" s="713">
        <f t="shared" ref="AG84:AS84" si="41">AG82+AG83</f>
        <v>62.112000000000002</v>
      </c>
      <c r="AH84" s="713">
        <f t="shared" si="41"/>
        <v>65.686999999999998</v>
      </c>
      <c r="AI84" s="713">
        <f t="shared" si="41"/>
        <v>66.712000000000003</v>
      </c>
      <c r="AJ84" s="713">
        <f t="shared" si="41"/>
        <v>64.613</v>
      </c>
      <c r="AK84" s="713">
        <f t="shared" si="41"/>
        <v>68.421000000000006</v>
      </c>
      <c r="AL84" s="713">
        <f t="shared" si="41"/>
        <v>95.94</v>
      </c>
      <c r="AM84" s="713">
        <f t="shared" si="41"/>
        <v>105.63500000000001</v>
      </c>
      <c r="AN84" s="713">
        <f t="shared" si="41"/>
        <v>127.625</v>
      </c>
      <c r="AO84" s="713">
        <f t="shared" si="41"/>
        <v>137.78399999999999</v>
      </c>
      <c r="AP84" s="713">
        <f t="shared" si="41"/>
        <v>133.715</v>
      </c>
      <c r="AQ84" s="713">
        <f t="shared" si="41"/>
        <v>108.79900000000001</v>
      </c>
      <c r="AR84" s="713">
        <f t="shared" ref="AR84:AT84" si="42">AR82+AR83</f>
        <v>81.754000000000005</v>
      </c>
      <c r="AS84" s="713">
        <f t="shared" si="41"/>
        <v>104.60899999999999</v>
      </c>
      <c r="AT84" s="713">
        <f t="shared" si="42"/>
        <v>109.524</v>
      </c>
      <c r="AU84" s="561"/>
      <c r="AV84" s="713">
        <f>AV82+AV83</f>
        <v>222.69300000000001</v>
      </c>
      <c r="AW84" s="713">
        <f t="shared" ref="AW84" si="43">AW82+AW83</f>
        <v>238.32300000000001</v>
      </c>
      <c r="AX84" s="713">
        <f t="shared" ref="AX84" si="44">AX82+AX83</f>
        <v>274.791</v>
      </c>
      <c r="AY84" s="713">
        <f t="shared" ref="AY84" si="45">AY82+AY83</f>
        <v>277.07900000000001</v>
      </c>
      <c r="AZ84" s="713">
        <f t="shared" ref="AZ84" si="46">AZ82+AZ83</f>
        <v>227.142</v>
      </c>
      <c r="BA84" s="713">
        <f t="shared" ref="BA84" si="47">BA82+BA83</f>
        <v>189.358</v>
      </c>
      <c r="BB84" s="713">
        <f t="shared" ref="BB84" si="48">BB82+BB83</f>
        <v>203.08699999999999</v>
      </c>
      <c r="BC84" s="713">
        <f t="shared" ref="BC84" si="49">BC82+BC83</f>
        <v>199.577</v>
      </c>
      <c r="BD84" s="713">
        <f t="shared" ref="BD84" si="50">BD82+BD83</f>
        <v>194.52500000000001</v>
      </c>
      <c r="BE84" s="713">
        <f t="shared" ref="BE84" si="51">BE82+BE83</f>
        <v>179.91</v>
      </c>
      <c r="BF84" s="713">
        <f t="shared" ref="BF84" si="52">BF82+BF83</f>
        <v>179.38300000000001</v>
      </c>
      <c r="BG84" s="713">
        <f t="shared" ref="BG84:BH84" si="53">BG82+BG83</f>
        <v>184.37200000000001</v>
      </c>
      <c r="BH84" s="713">
        <f t="shared" si="53"/>
        <v>201.42</v>
      </c>
      <c r="BI84" s="713">
        <f t="shared" ref="BI84:BJ84" si="54">BI82+BI83</f>
        <v>209.36799999999999</v>
      </c>
      <c r="BJ84" s="713">
        <f t="shared" si="54"/>
        <v>200.28399999999999</v>
      </c>
      <c r="BK84" s="561"/>
      <c r="BL84" s="713">
        <f>BL82+BL83</f>
        <v>68.843000000000004</v>
      </c>
      <c r="BM84" s="713">
        <f t="shared" ref="BM84" si="55">BM82+BM83</f>
        <v>94.72</v>
      </c>
      <c r="BN84" s="713">
        <f t="shared" ref="BN84" si="56">BN82+BN83</f>
        <v>113.467</v>
      </c>
      <c r="BO84" s="713">
        <f t="shared" ref="BO84" si="57">BO82+BO83</f>
        <v>127.33</v>
      </c>
      <c r="BP84" s="713">
        <f t="shared" ref="BP84" si="58">BP82+BP83</f>
        <v>129.786</v>
      </c>
      <c r="BQ84" s="713">
        <f t="shared" ref="BQ84" si="59">BQ82+BQ83</f>
        <v>101.873</v>
      </c>
      <c r="BR84" s="713">
        <f t="shared" ref="BR84" si="60">BR82+BR83</f>
        <v>108.875</v>
      </c>
      <c r="BS84" s="713">
        <f t="shared" ref="BS84" si="61">BS82+BS83</f>
        <v>120.66200000000001</v>
      </c>
      <c r="BT84" s="713">
        <f t="shared" ref="BT84" si="62">BT82+BT83</f>
        <v>119.012</v>
      </c>
      <c r="BU84" s="713">
        <f t="shared" ref="BU84" si="63">BU82+BU83</f>
        <v>125.661</v>
      </c>
      <c r="BV84" s="713">
        <f t="shared" ref="BV84" si="64">BV82+BV83</f>
        <v>134.76599999999999</v>
      </c>
      <c r="BW84" s="713">
        <f t="shared" ref="BW84" si="65">BW82+BW83</f>
        <v>145.88200000000001</v>
      </c>
      <c r="BX84" s="713">
        <f t="shared" ref="BX84:BZ84" si="66">BX82+BX83</f>
        <v>135.18</v>
      </c>
      <c r="BY84" s="713">
        <f t="shared" si="66"/>
        <v>134.73400000000001</v>
      </c>
      <c r="BZ84" s="713">
        <f t="shared" si="66"/>
        <v>127.806</v>
      </c>
      <c r="CA84" s="561"/>
      <c r="CB84" s="713">
        <f>CB82+CB83</f>
        <v>135.11000000000001</v>
      </c>
      <c r="CC84" s="713">
        <f t="shared" ref="CC84" si="67">CC82+CC83</f>
        <v>172.113</v>
      </c>
      <c r="CD84" s="713">
        <f t="shared" ref="CD84" si="68">CD82+CD83</f>
        <v>217.10499999999999</v>
      </c>
      <c r="CE84" s="713">
        <f t="shared" ref="CE84" si="69">CE82+CE83</f>
        <v>207.68799999999999</v>
      </c>
      <c r="CF84" s="713">
        <f t="shared" ref="CF84" si="70">CF82+CF83</f>
        <v>233.22800000000001</v>
      </c>
      <c r="CG84" s="713">
        <f t="shared" ref="CG84" si="71">CG82+CG83</f>
        <v>359.31599999999997</v>
      </c>
      <c r="CH84" s="713">
        <f t="shared" ref="CH84" si="72">CH82+CH83</f>
        <v>404.20800000000003</v>
      </c>
      <c r="CI84" s="713">
        <f t="shared" ref="CI84" si="73">CI82+CI83</f>
        <v>420.14400000000001</v>
      </c>
      <c r="CJ84" s="713">
        <f t="shared" ref="CJ84" si="74">CJ82+CJ83</f>
        <v>432.14699999999999</v>
      </c>
      <c r="CK84" s="713">
        <f t="shared" ref="CK84" si="75">CK82+CK83</f>
        <v>452.80399999999997</v>
      </c>
      <c r="CL84" s="713">
        <f t="shared" ref="CL84" si="76">CL82+CL83</f>
        <v>530.12699999999995</v>
      </c>
      <c r="CM84" s="713">
        <f t="shared" ref="CM84" si="77">CM82+CM83</f>
        <v>695.94600000000003</v>
      </c>
      <c r="CN84" s="713">
        <f t="shared" ref="CN84:CP84" si="78">CN82+CN83</f>
        <v>798.34699999999998</v>
      </c>
      <c r="CO84" s="713">
        <f t="shared" si="78"/>
        <v>920.79700000000003</v>
      </c>
      <c r="CP84" s="713">
        <f t="shared" si="78"/>
        <v>1044.777</v>
      </c>
      <c r="CQ84" s="561"/>
      <c r="CR84" s="713">
        <f>CR82+CR83</f>
        <v>219.614</v>
      </c>
      <c r="CS84" s="713">
        <f t="shared" ref="CS84" si="79">CS82+CS83</f>
        <v>224.505</v>
      </c>
      <c r="CT84" s="713">
        <f t="shared" ref="CT84" si="80">CT82+CT83</f>
        <v>253.155</v>
      </c>
      <c r="CU84" s="713">
        <f t="shared" ref="CU84" si="81">CU82+CU83</f>
        <v>277.83499999999998</v>
      </c>
      <c r="CV84" s="713">
        <f t="shared" ref="CV84" si="82">CV82+CV83</f>
        <v>300.67700000000002</v>
      </c>
      <c r="CW84" s="713">
        <f t="shared" ref="CW84" si="83">CW82+CW83</f>
        <v>298.40699999999998</v>
      </c>
      <c r="CX84" s="713">
        <f t="shared" ref="CX84" si="84">CX82+CX83</f>
        <v>303.04899999999998</v>
      </c>
      <c r="CY84" s="713">
        <f t="shared" ref="CY84" si="85">CY82+CY83</f>
        <v>318.82900000000001</v>
      </c>
      <c r="CZ84" s="713">
        <f t="shared" ref="CZ84" si="86">CZ82+CZ83</f>
        <v>307.75900000000001</v>
      </c>
      <c r="DA84" s="713">
        <f t="shared" ref="DA84" si="87">DA82+DA83</f>
        <v>354.43</v>
      </c>
      <c r="DB84" s="713">
        <f t="shared" ref="DB84" si="88">DB82+DB83</f>
        <v>351.99299999999999</v>
      </c>
      <c r="DC84" s="713">
        <f t="shared" ref="DC84" si="89">DC82+DC83</f>
        <v>327.77499999999998</v>
      </c>
      <c r="DD84" s="713">
        <f t="shared" ref="DD84:DF84" si="90">DD82+DD83</f>
        <v>323.41800000000001</v>
      </c>
      <c r="DE84" s="713">
        <f t="shared" si="90"/>
        <v>315.245</v>
      </c>
      <c r="DF84" s="713">
        <f t="shared" si="90"/>
        <v>319.815</v>
      </c>
    </row>
    <row r="85" spans="1:110" s="123" customFormat="1">
      <c r="AF85" s="560"/>
      <c r="AG85" s="561"/>
      <c r="AH85" s="561"/>
      <c r="AI85" s="561"/>
      <c r="AJ85" s="561"/>
      <c r="AK85" s="561"/>
      <c r="AL85" s="561"/>
      <c r="AM85" s="561"/>
      <c r="AN85" s="561"/>
      <c r="AO85" s="561"/>
      <c r="AP85" s="561"/>
      <c r="AQ85" s="561"/>
      <c r="AR85" s="561"/>
      <c r="AS85" s="561"/>
      <c r="AT85" s="561"/>
      <c r="AU85" s="561"/>
      <c r="AV85" s="561"/>
      <c r="AW85" s="561"/>
      <c r="AX85" s="561"/>
      <c r="AY85" s="561"/>
      <c r="AZ85" s="561"/>
      <c r="BA85" s="561"/>
      <c r="BB85" s="561"/>
      <c r="BC85" s="561"/>
      <c r="BD85" s="561"/>
      <c r="BE85" s="561"/>
      <c r="BF85" s="561"/>
      <c r="BG85" s="561"/>
      <c r="BH85" s="561"/>
      <c r="BI85" s="561"/>
      <c r="BJ85" s="561"/>
      <c r="BK85" s="561"/>
      <c r="BL85" s="561"/>
      <c r="BM85" s="561"/>
      <c r="BN85" s="561"/>
      <c r="BO85" s="561"/>
      <c r="BP85" s="561"/>
      <c r="BQ85" s="561"/>
      <c r="BR85" s="561"/>
      <c r="BS85" s="561"/>
      <c r="BT85" s="561"/>
      <c r="BU85" s="561"/>
      <c r="BV85" s="561"/>
      <c r="BW85" s="561"/>
      <c r="BX85" s="561"/>
      <c r="BY85" s="561"/>
      <c r="BZ85" s="561"/>
      <c r="CA85" s="561"/>
      <c r="CB85" s="561"/>
      <c r="CC85" s="561"/>
      <c r="CD85" s="561"/>
      <c r="CE85" s="561"/>
      <c r="CF85" s="561"/>
      <c r="CG85" s="561"/>
      <c r="CH85" s="561"/>
      <c r="CI85" s="561"/>
      <c r="CJ85" s="561"/>
      <c r="CK85" s="561"/>
      <c r="CL85" s="561"/>
      <c r="CM85" s="561"/>
      <c r="CN85" s="561"/>
      <c r="CO85" s="561"/>
      <c r="CP85" s="561"/>
      <c r="CQ85" s="561"/>
      <c r="CR85" s="561"/>
      <c r="CS85" s="561"/>
      <c r="CT85" s="561"/>
      <c r="CU85" s="561"/>
      <c r="CV85" s="561"/>
      <c r="CW85" s="561"/>
      <c r="CX85" s="561"/>
      <c r="CY85" s="561"/>
      <c r="CZ85" s="561"/>
      <c r="DA85" s="561"/>
      <c r="DB85" s="561"/>
      <c r="DC85" s="561"/>
      <c r="DD85" s="561"/>
      <c r="DE85" s="561"/>
      <c r="DF85" s="561"/>
    </row>
    <row r="86" spans="1:110" s="123" customFormat="1">
      <c r="AF86" s="560" t="s">
        <v>186</v>
      </c>
      <c r="AG86" s="561"/>
      <c r="AH86" s="561"/>
      <c r="AI86" s="561"/>
      <c r="AJ86" s="561"/>
      <c r="AK86" s="561"/>
      <c r="AL86" s="561"/>
      <c r="AM86" s="561"/>
      <c r="AN86" s="561"/>
      <c r="AO86" s="561"/>
      <c r="AP86" s="561"/>
      <c r="AQ86" s="561"/>
      <c r="AR86" s="561"/>
      <c r="AS86" s="561"/>
      <c r="AT86" s="561"/>
      <c r="AU86" s="561"/>
      <c r="AV86" s="561" t="s">
        <v>129</v>
      </c>
      <c r="AW86" s="561"/>
      <c r="AX86" s="561"/>
      <c r="AY86" s="561"/>
      <c r="AZ86" s="561"/>
      <c r="BA86" s="561"/>
      <c r="BB86" s="561"/>
      <c r="BC86" s="561"/>
      <c r="BD86" s="561"/>
      <c r="BE86" s="561"/>
      <c r="BF86" s="561"/>
      <c r="BG86" s="561"/>
      <c r="BH86" s="561"/>
      <c r="BI86" s="561"/>
      <c r="BJ86" s="561"/>
      <c r="BK86" s="561"/>
      <c r="BL86" s="561" t="s">
        <v>146</v>
      </c>
      <c r="BM86" s="561"/>
      <c r="BN86" s="561"/>
      <c r="BO86" s="561"/>
      <c r="BP86" s="561"/>
      <c r="BQ86" s="561"/>
      <c r="BR86" s="561"/>
      <c r="BS86" s="561"/>
      <c r="BT86" s="561"/>
      <c r="BU86" s="561"/>
      <c r="BV86" s="561"/>
      <c r="BW86" s="561"/>
      <c r="BX86" s="561"/>
      <c r="BY86" s="561"/>
      <c r="BZ86" s="561"/>
      <c r="CA86" s="561"/>
      <c r="CB86" s="561" t="s">
        <v>156</v>
      </c>
      <c r="CC86" s="561"/>
      <c r="CD86" s="561"/>
      <c r="CE86" s="561"/>
      <c r="CF86" s="561"/>
      <c r="CG86" s="561"/>
      <c r="CH86" s="561"/>
      <c r="CI86" s="561"/>
      <c r="CJ86" s="561"/>
      <c r="CK86" s="561"/>
      <c r="CL86" s="561"/>
      <c r="CM86" s="561"/>
      <c r="CN86" s="561"/>
      <c r="CO86" s="561"/>
      <c r="CP86" s="561"/>
      <c r="CQ86" s="561"/>
      <c r="CR86" s="561" t="s">
        <v>170</v>
      </c>
      <c r="CS86" s="561"/>
      <c r="CT86" s="561"/>
      <c r="CU86" s="561"/>
      <c r="CV86" s="561"/>
      <c r="CW86" s="561"/>
      <c r="CX86" s="561"/>
      <c r="CY86" s="561"/>
      <c r="CZ86" s="561"/>
      <c r="DA86" s="561"/>
      <c r="DB86" s="561"/>
      <c r="DC86" s="561"/>
      <c r="DD86" s="561"/>
      <c r="DE86" s="561"/>
      <c r="DF86" s="561"/>
    </row>
    <row r="87" spans="1:110" s="123" customFormat="1">
      <c r="AF87" s="560">
        <f>AF81</f>
        <v>2010</v>
      </c>
      <c r="AG87" s="561">
        <f t="shared" ref="AG87:AT87" si="91">AG81</f>
        <v>2011</v>
      </c>
      <c r="AH87" s="561">
        <f t="shared" si="91"/>
        <v>2012</v>
      </c>
      <c r="AI87" s="561">
        <f t="shared" si="91"/>
        <v>2013</v>
      </c>
      <c r="AJ87" s="561">
        <f t="shared" si="91"/>
        <v>2014</v>
      </c>
      <c r="AK87" s="561">
        <f t="shared" si="91"/>
        <v>2015</v>
      </c>
      <c r="AL87" s="561">
        <f t="shared" si="91"/>
        <v>2016</v>
      </c>
      <c r="AM87" s="561">
        <f t="shared" si="91"/>
        <v>2017</v>
      </c>
      <c r="AN87" s="561">
        <f t="shared" si="91"/>
        <v>2018</v>
      </c>
      <c r="AO87" s="561">
        <f t="shared" si="91"/>
        <v>2019</v>
      </c>
      <c r="AP87" s="561">
        <f t="shared" si="91"/>
        <v>2020</v>
      </c>
      <c r="AQ87" s="561">
        <f t="shared" si="91"/>
        <v>2021</v>
      </c>
      <c r="AR87" s="561">
        <f t="shared" si="91"/>
        <v>2022</v>
      </c>
      <c r="AS87" s="561">
        <f t="shared" si="91"/>
        <v>2023</v>
      </c>
      <c r="AT87" s="561">
        <f t="shared" si="91"/>
        <v>2024</v>
      </c>
      <c r="AU87" s="561"/>
      <c r="AV87" s="561">
        <f t="shared" ref="AV87:BG87" si="92">AF87</f>
        <v>2010</v>
      </c>
      <c r="AW87" s="561">
        <f t="shared" si="92"/>
        <v>2011</v>
      </c>
      <c r="AX87" s="561">
        <f t="shared" si="92"/>
        <v>2012</v>
      </c>
      <c r="AY87" s="561">
        <f t="shared" si="92"/>
        <v>2013</v>
      </c>
      <c r="AZ87" s="561">
        <f t="shared" si="92"/>
        <v>2014</v>
      </c>
      <c r="BA87" s="561">
        <f t="shared" si="92"/>
        <v>2015</v>
      </c>
      <c r="BB87" s="561">
        <f t="shared" si="92"/>
        <v>2016</v>
      </c>
      <c r="BC87" s="561">
        <f t="shared" si="92"/>
        <v>2017</v>
      </c>
      <c r="BD87" s="561">
        <f t="shared" si="92"/>
        <v>2018</v>
      </c>
      <c r="BE87" s="561">
        <f t="shared" si="92"/>
        <v>2019</v>
      </c>
      <c r="BF87" s="561">
        <f t="shared" si="92"/>
        <v>2020</v>
      </c>
      <c r="BG87" s="561">
        <f t="shared" si="92"/>
        <v>2021</v>
      </c>
      <c r="BH87" s="561">
        <f t="shared" ref="BH87:BJ87" si="93">AR87</f>
        <v>2022</v>
      </c>
      <c r="BI87" s="561">
        <f t="shared" si="93"/>
        <v>2023</v>
      </c>
      <c r="BJ87" s="561">
        <f t="shared" si="93"/>
        <v>2024</v>
      </c>
      <c r="BK87" s="561"/>
      <c r="BL87" s="561">
        <f t="shared" ref="BL87:BW87" si="94">AV87</f>
        <v>2010</v>
      </c>
      <c r="BM87" s="561">
        <f t="shared" si="94"/>
        <v>2011</v>
      </c>
      <c r="BN87" s="561">
        <f t="shared" si="94"/>
        <v>2012</v>
      </c>
      <c r="BO87" s="561">
        <f t="shared" si="94"/>
        <v>2013</v>
      </c>
      <c r="BP87" s="561">
        <f t="shared" si="94"/>
        <v>2014</v>
      </c>
      <c r="BQ87" s="561">
        <f t="shared" si="94"/>
        <v>2015</v>
      </c>
      <c r="BR87" s="561">
        <f t="shared" si="94"/>
        <v>2016</v>
      </c>
      <c r="BS87" s="561">
        <f t="shared" si="94"/>
        <v>2017</v>
      </c>
      <c r="BT87" s="561">
        <f t="shared" si="94"/>
        <v>2018</v>
      </c>
      <c r="BU87" s="561">
        <f t="shared" si="94"/>
        <v>2019</v>
      </c>
      <c r="BV87" s="561">
        <f t="shared" si="94"/>
        <v>2020</v>
      </c>
      <c r="BW87" s="561">
        <f t="shared" si="94"/>
        <v>2021</v>
      </c>
      <c r="BX87" s="561">
        <f t="shared" ref="BX87:BZ87" si="95">BH87</f>
        <v>2022</v>
      </c>
      <c r="BY87" s="561">
        <f t="shared" si="95"/>
        <v>2023</v>
      </c>
      <c r="BZ87" s="561">
        <f t="shared" si="95"/>
        <v>2024</v>
      </c>
      <c r="CA87" s="561"/>
      <c r="CB87" s="561">
        <f t="shared" ref="CB87:CM87" si="96">BL87</f>
        <v>2010</v>
      </c>
      <c r="CC87" s="561">
        <f t="shared" si="96"/>
        <v>2011</v>
      </c>
      <c r="CD87" s="561">
        <f t="shared" si="96"/>
        <v>2012</v>
      </c>
      <c r="CE87" s="561">
        <f t="shared" si="96"/>
        <v>2013</v>
      </c>
      <c r="CF87" s="561">
        <f t="shared" si="96"/>
        <v>2014</v>
      </c>
      <c r="CG87" s="561">
        <f t="shared" si="96"/>
        <v>2015</v>
      </c>
      <c r="CH87" s="561">
        <f t="shared" si="96"/>
        <v>2016</v>
      </c>
      <c r="CI87" s="561">
        <f t="shared" si="96"/>
        <v>2017</v>
      </c>
      <c r="CJ87" s="561">
        <f t="shared" si="96"/>
        <v>2018</v>
      </c>
      <c r="CK87" s="561">
        <f t="shared" si="96"/>
        <v>2019</v>
      </c>
      <c r="CL87" s="561">
        <f t="shared" si="96"/>
        <v>2020</v>
      </c>
      <c r="CM87" s="561">
        <f t="shared" si="96"/>
        <v>2021</v>
      </c>
      <c r="CN87" s="561">
        <f t="shared" ref="CN87:CP87" si="97">BX87</f>
        <v>2022</v>
      </c>
      <c r="CO87" s="561">
        <f t="shared" si="97"/>
        <v>2023</v>
      </c>
      <c r="CP87" s="561">
        <f t="shared" si="97"/>
        <v>2024</v>
      </c>
      <c r="CQ87" s="561"/>
      <c r="CR87" s="561">
        <f t="shared" ref="CR87:DC87" si="98">CB87</f>
        <v>2010</v>
      </c>
      <c r="CS87" s="561">
        <f t="shared" si="98"/>
        <v>2011</v>
      </c>
      <c r="CT87" s="561">
        <f t="shared" si="98"/>
        <v>2012</v>
      </c>
      <c r="CU87" s="561">
        <f t="shared" si="98"/>
        <v>2013</v>
      </c>
      <c r="CV87" s="561">
        <f t="shared" si="98"/>
        <v>2014</v>
      </c>
      <c r="CW87" s="561">
        <f t="shared" si="98"/>
        <v>2015</v>
      </c>
      <c r="CX87" s="561">
        <f t="shared" si="98"/>
        <v>2016</v>
      </c>
      <c r="CY87" s="561">
        <f t="shared" si="98"/>
        <v>2017</v>
      </c>
      <c r="CZ87" s="561">
        <f t="shared" si="98"/>
        <v>2018</v>
      </c>
      <c r="DA87" s="561">
        <f t="shared" si="98"/>
        <v>2019</v>
      </c>
      <c r="DB87" s="561">
        <f t="shared" si="98"/>
        <v>2020</v>
      </c>
      <c r="DC87" s="561">
        <f t="shared" si="98"/>
        <v>2021</v>
      </c>
      <c r="DD87" s="561">
        <f t="shared" ref="DD87" si="99">CN87</f>
        <v>2022</v>
      </c>
      <c r="DE87" s="561">
        <f t="shared" ref="DE87" si="100">CO87</f>
        <v>2023</v>
      </c>
      <c r="DF87" s="561">
        <f t="shared" ref="DF87" si="101">CP87</f>
        <v>2024</v>
      </c>
    </row>
    <row r="88" spans="1:110" s="123" customFormat="1">
      <c r="AF88" s="711">
        <f t="shared" ref="AF88:AR89" si="102">P7/P$13</f>
        <v>0.52836098299717804</v>
      </c>
      <c r="AG88" s="714">
        <f t="shared" si="102"/>
        <v>0.52456852138073196</v>
      </c>
      <c r="AH88" s="714">
        <f t="shared" si="102"/>
        <v>0.49681063224077798</v>
      </c>
      <c r="AI88" s="714">
        <f t="shared" si="102"/>
        <v>0.50377743134668396</v>
      </c>
      <c r="AJ88" s="714">
        <f t="shared" si="102"/>
        <v>0.51138315818798097</v>
      </c>
      <c r="AK88" s="714">
        <f t="shared" si="102"/>
        <v>0.53433887256836399</v>
      </c>
      <c r="AL88" s="714">
        <f t="shared" si="102"/>
        <v>0.50789034813425105</v>
      </c>
      <c r="AM88" s="714">
        <f t="shared" si="102"/>
        <v>0.47976522932740101</v>
      </c>
      <c r="AN88" s="714">
        <f t="shared" si="102"/>
        <v>0.45371988246816802</v>
      </c>
      <c r="AO88" s="714">
        <f t="shared" si="102"/>
        <v>0.439601114788364</v>
      </c>
      <c r="AP88" s="714">
        <f t="shared" si="102"/>
        <v>0.43866432337434103</v>
      </c>
      <c r="AQ88" s="714">
        <f t="shared" si="102"/>
        <v>0.438551824924861</v>
      </c>
      <c r="AR88" s="714">
        <f t="shared" si="102"/>
        <v>0.44800254421801999</v>
      </c>
      <c r="AS88" s="714">
        <f t="shared" ref="AS88:AS89" si="103">AC7/AC$13</f>
        <v>0.445573516619029</v>
      </c>
      <c r="AT88" s="714">
        <f t="shared" ref="AT88:AT89" si="104">AD7/AD$13</f>
        <v>0.443281837770717</v>
      </c>
      <c r="AU88" s="561"/>
      <c r="AV88" s="714">
        <f t="shared" ref="AV88:BH89" si="105">P14/P$20</f>
        <v>7.0168348354012006E-2</v>
      </c>
      <c r="AW88" s="714">
        <f t="shared" si="105"/>
        <v>7.2556991981470503E-2</v>
      </c>
      <c r="AX88" s="714">
        <f t="shared" si="105"/>
        <v>7.3979861058040497E-2</v>
      </c>
      <c r="AY88" s="714">
        <f t="shared" si="105"/>
        <v>7.4632144623013694E-2</v>
      </c>
      <c r="AZ88" s="714">
        <f t="shared" si="105"/>
        <v>8.7685236548062401E-2</v>
      </c>
      <c r="BA88" s="714">
        <f t="shared" si="105"/>
        <v>8.6191235648876693E-2</v>
      </c>
      <c r="BB88" s="714">
        <f t="shared" si="105"/>
        <v>7.9207433267515906E-2</v>
      </c>
      <c r="BC88" s="714">
        <f t="shared" si="105"/>
        <v>7.8085150092445502E-2</v>
      </c>
      <c r="BD88" s="714">
        <f t="shared" si="105"/>
        <v>7.53270787816476E-2</v>
      </c>
      <c r="BE88" s="714">
        <f t="shared" si="105"/>
        <v>7.49541437385359E-2</v>
      </c>
      <c r="BF88" s="714">
        <f t="shared" si="105"/>
        <v>7.3953496150694298E-2</v>
      </c>
      <c r="BG88" s="714">
        <f t="shared" si="105"/>
        <v>7.7544312585425101E-2</v>
      </c>
      <c r="BH88" s="714">
        <f t="shared" si="105"/>
        <v>7.3508092542945103E-2</v>
      </c>
      <c r="BI88" s="714">
        <f t="shared" ref="BI88:BJ88" si="106">AC14/AC$20</f>
        <v>7.3182148179282397E-2</v>
      </c>
      <c r="BJ88" s="714">
        <f t="shared" si="106"/>
        <v>8.0840206906193202E-2</v>
      </c>
      <c r="BK88" s="561"/>
      <c r="BL88" s="714">
        <f t="shared" ref="BL88:BW89" si="107">P21/P$27</f>
        <v>5.1319669392676098E-2</v>
      </c>
      <c r="BM88" s="714">
        <f t="shared" si="107"/>
        <v>4.5861486486486497E-2</v>
      </c>
      <c r="BN88" s="714">
        <f t="shared" si="107"/>
        <v>5.5275983325548401E-2</v>
      </c>
      <c r="BO88" s="714">
        <f t="shared" si="107"/>
        <v>5.7441294274719203E-2</v>
      </c>
      <c r="BP88" s="714">
        <f t="shared" si="107"/>
        <v>5.9644337601898502E-2</v>
      </c>
      <c r="BQ88" s="714">
        <f t="shared" si="107"/>
        <v>6.3137435826961005E-2</v>
      </c>
      <c r="BR88" s="714">
        <f t="shared" si="107"/>
        <v>6.0078071182548799E-2</v>
      </c>
      <c r="BS88" s="714">
        <f t="shared" si="107"/>
        <v>6.1809020238351803E-2</v>
      </c>
      <c r="BT88" s="714">
        <f t="shared" si="107"/>
        <v>6.2741572278425695E-2</v>
      </c>
      <c r="BU88" s="714">
        <f t="shared" si="107"/>
        <v>6.13237201677529E-2</v>
      </c>
      <c r="BV88" s="714">
        <f t="shared" si="107"/>
        <v>5.5488773132689302E-2</v>
      </c>
      <c r="BW88" s="714">
        <f t="shared" si="107"/>
        <v>5.7183202862587601E-2</v>
      </c>
      <c r="BX88" s="714">
        <f t="shared" ref="BX88:BZ88" si="108">AB21/AB$27</f>
        <v>6.3663263796419595E-2</v>
      </c>
      <c r="BY88" s="714">
        <f t="shared" si="108"/>
        <v>6.7228761856695393E-2</v>
      </c>
      <c r="BZ88" s="714">
        <f t="shared" si="108"/>
        <v>6.3791997245825696E-2</v>
      </c>
      <c r="CA88" s="561"/>
      <c r="CB88" s="714">
        <f t="shared" ref="CB88:CM89" si="109">P28/P$34</f>
        <v>0.100865961068759</v>
      </c>
      <c r="CC88" s="714">
        <f t="shared" si="109"/>
        <v>8.9557441913161701E-2</v>
      </c>
      <c r="CD88" s="714">
        <f t="shared" si="109"/>
        <v>9.1927869003477602E-2</v>
      </c>
      <c r="CE88" s="714">
        <f t="shared" si="109"/>
        <v>8.8204422017641906E-2</v>
      </c>
      <c r="CF88" s="714">
        <f t="shared" si="109"/>
        <v>8.3716363386900403E-2</v>
      </c>
      <c r="CG88" s="714">
        <f t="shared" si="109"/>
        <v>7.4380211290340503E-2</v>
      </c>
      <c r="CH88" s="714">
        <f t="shared" si="109"/>
        <v>7.4963879982583206E-2</v>
      </c>
      <c r="CI88" s="714">
        <f t="shared" si="109"/>
        <v>6.4480273430062102E-2</v>
      </c>
      <c r="CJ88" s="714">
        <f t="shared" si="109"/>
        <v>5.3171721659527903E-2</v>
      </c>
      <c r="CK88" s="714">
        <f t="shared" si="109"/>
        <v>5.4586531921096103E-2</v>
      </c>
      <c r="CL88" s="714">
        <f t="shared" si="109"/>
        <v>4.5543803654596003E-2</v>
      </c>
      <c r="CM88" s="714">
        <f t="shared" si="109"/>
        <v>4.3463142255289897E-2</v>
      </c>
      <c r="CN88" s="714">
        <f t="shared" ref="CN88:CP88" si="110">AB28/AB$34</f>
        <v>3.5553462341563299E-2</v>
      </c>
      <c r="CO88" s="714">
        <f t="shared" si="110"/>
        <v>2.7340445288157999E-2</v>
      </c>
      <c r="CP88" s="714">
        <f t="shared" si="110"/>
        <v>2.58189068097785E-2</v>
      </c>
      <c r="CQ88" s="561"/>
      <c r="CR88" s="714">
        <f t="shared" ref="CR88:DC89" si="111">P35/P$41</f>
        <v>0.14786397952771699</v>
      </c>
      <c r="CS88" s="714">
        <f t="shared" si="111"/>
        <v>0.14598338567069799</v>
      </c>
      <c r="CT88" s="714">
        <f t="shared" si="111"/>
        <v>0.1508877960143</v>
      </c>
      <c r="CU88" s="714">
        <f t="shared" si="111"/>
        <v>0.156387784116472</v>
      </c>
      <c r="CV88" s="714">
        <f t="shared" si="111"/>
        <v>0.15875175021700999</v>
      </c>
      <c r="CW88" s="714">
        <f t="shared" si="111"/>
        <v>0.15927575425509499</v>
      </c>
      <c r="CX88" s="714">
        <f t="shared" si="111"/>
        <v>0.15809324564674401</v>
      </c>
      <c r="CY88" s="714">
        <f t="shared" si="111"/>
        <v>0.15889395255764099</v>
      </c>
      <c r="CZ88" s="714">
        <f t="shared" si="111"/>
        <v>0.159095266101073</v>
      </c>
      <c r="DA88" s="714">
        <f t="shared" si="111"/>
        <v>0.15697881104872599</v>
      </c>
      <c r="DB88" s="714">
        <f t="shared" si="111"/>
        <v>0.154483185745171</v>
      </c>
      <c r="DC88" s="714">
        <f t="shared" si="111"/>
        <v>0.15438334223171399</v>
      </c>
      <c r="DD88" s="714">
        <f t="shared" ref="DD88:DF88" si="112">AB35/AB$41</f>
        <v>0.154172000321565</v>
      </c>
      <c r="DE88" s="714">
        <f t="shared" si="112"/>
        <v>0.14269536392329801</v>
      </c>
      <c r="DF88" s="714">
        <f t="shared" si="112"/>
        <v>0.14888920156965699</v>
      </c>
    </row>
    <row r="89" spans="1:110" s="123" customFormat="1">
      <c r="AF89" s="711">
        <f t="shared" si="102"/>
        <v>0.18207475734838599</v>
      </c>
      <c r="AG89" s="714">
        <f t="shared" si="102"/>
        <v>0.18754829984544</v>
      </c>
      <c r="AH89" s="714">
        <f t="shared" si="102"/>
        <v>0.19565515246547999</v>
      </c>
      <c r="AI89" s="714">
        <f t="shared" si="102"/>
        <v>0.18190130711116401</v>
      </c>
      <c r="AJ89" s="714">
        <f t="shared" si="102"/>
        <v>0.172101589463421</v>
      </c>
      <c r="AK89" s="714">
        <f t="shared" si="102"/>
        <v>0.154703965156896</v>
      </c>
      <c r="AL89" s="714">
        <f t="shared" si="102"/>
        <v>0.160464873879508</v>
      </c>
      <c r="AM89" s="714">
        <f t="shared" si="102"/>
        <v>0.167179438633029</v>
      </c>
      <c r="AN89" s="714">
        <f t="shared" si="102"/>
        <v>0.16723212536728699</v>
      </c>
      <c r="AO89" s="714">
        <f t="shared" si="102"/>
        <v>0.16274023108633801</v>
      </c>
      <c r="AP89" s="714">
        <f t="shared" si="102"/>
        <v>0.15129192685936499</v>
      </c>
      <c r="AQ89" s="714">
        <f t="shared" si="102"/>
        <v>0.141499462311234</v>
      </c>
      <c r="AR89" s="714">
        <f t="shared" si="102"/>
        <v>0.13371822785429499</v>
      </c>
      <c r="AS89" s="714">
        <f t="shared" si="103"/>
        <v>0.12824900343182699</v>
      </c>
      <c r="AT89" s="714">
        <f t="shared" si="104"/>
        <v>0.122749351740258</v>
      </c>
      <c r="AU89" s="561"/>
      <c r="AV89" s="714">
        <f t="shared" si="105"/>
        <v>0.84078529634968302</v>
      </c>
      <c r="AW89" s="714">
        <f t="shared" si="105"/>
        <v>0.82910168133163797</v>
      </c>
      <c r="AX89" s="714">
        <f t="shared" si="105"/>
        <v>0.81850206156679095</v>
      </c>
      <c r="AY89" s="714">
        <f t="shared" si="105"/>
        <v>0.81410355891280095</v>
      </c>
      <c r="AZ89" s="714">
        <f t="shared" si="105"/>
        <v>0.78255012283065195</v>
      </c>
      <c r="BA89" s="714">
        <f t="shared" si="105"/>
        <v>0.77498178054267597</v>
      </c>
      <c r="BB89" s="714">
        <f t="shared" si="105"/>
        <v>0.79100582508974004</v>
      </c>
      <c r="BC89" s="714">
        <f t="shared" si="105"/>
        <v>0.78588214072763896</v>
      </c>
      <c r="BD89" s="714">
        <f t="shared" si="105"/>
        <v>0.78365248682688604</v>
      </c>
      <c r="BE89" s="714">
        <f t="shared" si="105"/>
        <v>0.78297482074370495</v>
      </c>
      <c r="BF89" s="714">
        <f t="shared" si="105"/>
        <v>0.78228706176170504</v>
      </c>
      <c r="BG89" s="714">
        <f t="shared" si="105"/>
        <v>0.76938472219208998</v>
      </c>
      <c r="BH89" s="714">
        <f t="shared" si="105"/>
        <v>0.77011716810644404</v>
      </c>
      <c r="BI89" s="714">
        <f t="shared" ref="BI89:BJ89" si="113">AC15/AC$20</f>
        <v>0.75745577165564903</v>
      </c>
      <c r="BJ89" s="714">
        <f t="shared" si="113"/>
        <v>0.732849353917437</v>
      </c>
      <c r="BK89" s="561"/>
      <c r="BL89" s="714">
        <f t="shared" si="107"/>
        <v>0.12102900803277</v>
      </c>
      <c r="BM89" s="714">
        <f t="shared" si="107"/>
        <v>0.117008023648649</v>
      </c>
      <c r="BN89" s="714">
        <f t="shared" si="107"/>
        <v>0.11439449355319201</v>
      </c>
      <c r="BO89" s="714">
        <f t="shared" si="107"/>
        <v>0.106133668420639</v>
      </c>
      <c r="BP89" s="714">
        <f t="shared" si="107"/>
        <v>0.104009677469064</v>
      </c>
      <c r="BQ89" s="714">
        <f t="shared" si="107"/>
        <v>9.4382221000657698E-2</v>
      </c>
      <c r="BR89" s="714">
        <f t="shared" si="107"/>
        <v>9.1499425947187102E-2</v>
      </c>
      <c r="BS89" s="714">
        <f t="shared" si="107"/>
        <v>9.1835043344217701E-2</v>
      </c>
      <c r="BT89" s="714">
        <f t="shared" si="107"/>
        <v>9.44358552078782E-2</v>
      </c>
      <c r="BU89" s="714">
        <f t="shared" si="107"/>
        <v>9.0330333198048701E-2</v>
      </c>
      <c r="BV89" s="714">
        <f t="shared" si="107"/>
        <v>8.0279892554501894E-2</v>
      </c>
      <c r="BW89" s="714">
        <f t="shared" si="107"/>
        <v>8.1607052275126504E-2</v>
      </c>
      <c r="BX89" s="714">
        <f t="shared" ref="BX89:BZ89" si="114">AB22/AB$27</f>
        <v>8.5937268826749499E-2</v>
      </c>
      <c r="BY89" s="714">
        <f t="shared" si="114"/>
        <v>8.0195050989356795E-2</v>
      </c>
      <c r="BZ89" s="714">
        <f t="shared" si="114"/>
        <v>7.6217079010375097E-2</v>
      </c>
      <c r="CA89" s="561"/>
      <c r="CB89" s="714">
        <f t="shared" si="109"/>
        <v>0.17681888831322601</v>
      </c>
      <c r="CC89" s="714">
        <f t="shared" si="109"/>
        <v>0.147501931870341</v>
      </c>
      <c r="CD89" s="714">
        <f t="shared" si="109"/>
        <v>0.13287119135902001</v>
      </c>
      <c r="CE89" s="714">
        <f t="shared" si="109"/>
        <v>0.108860405993606</v>
      </c>
      <c r="CF89" s="714">
        <f t="shared" si="109"/>
        <v>0.113627008763956</v>
      </c>
      <c r="CG89" s="714">
        <f t="shared" si="109"/>
        <v>0.101353683109018</v>
      </c>
      <c r="CH89" s="714">
        <f t="shared" si="109"/>
        <v>8.6507441713177397E-2</v>
      </c>
      <c r="CI89" s="714">
        <f t="shared" si="109"/>
        <v>7.3998438630564795E-2</v>
      </c>
      <c r="CJ89" s="714">
        <f t="shared" si="109"/>
        <v>6.50102858518051E-2</v>
      </c>
      <c r="CK89" s="714">
        <f t="shared" si="109"/>
        <v>6.7139424563387201E-2</v>
      </c>
      <c r="CL89" s="714">
        <f t="shared" si="109"/>
        <v>5.4618987525630699E-2</v>
      </c>
      <c r="CM89" s="714">
        <f t="shared" si="109"/>
        <v>5.008003494524E-2</v>
      </c>
      <c r="CN89" s="714">
        <f t="shared" ref="CN89:CP89" si="115">AB29/AB$34</f>
        <v>4.17124383256905E-2</v>
      </c>
      <c r="CO89" s="714">
        <f t="shared" si="115"/>
        <v>3.5761411038480802E-2</v>
      </c>
      <c r="CP89" s="714">
        <f t="shared" si="115"/>
        <v>3.04103172255898E-2</v>
      </c>
      <c r="CQ89" s="561"/>
      <c r="CR89" s="714">
        <f t="shared" si="111"/>
        <v>0.20405802908739901</v>
      </c>
      <c r="CS89" s="714">
        <f t="shared" si="111"/>
        <v>0.205514353800583</v>
      </c>
      <c r="CT89" s="714">
        <f t="shared" si="111"/>
        <v>0.20018170685943401</v>
      </c>
      <c r="CU89" s="714">
        <f t="shared" si="111"/>
        <v>0.18686990479961099</v>
      </c>
      <c r="CV89" s="714">
        <f t="shared" si="111"/>
        <v>0.17908918873076399</v>
      </c>
      <c r="CW89" s="714">
        <f t="shared" si="111"/>
        <v>0.175629258026789</v>
      </c>
      <c r="CX89" s="714">
        <f t="shared" si="111"/>
        <v>0.164329860847586</v>
      </c>
      <c r="CY89" s="714">
        <f t="shared" si="111"/>
        <v>0.155810795128423</v>
      </c>
      <c r="CZ89" s="714">
        <f t="shared" si="111"/>
        <v>0.15455599998700301</v>
      </c>
      <c r="DA89" s="714">
        <f t="shared" si="111"/>
        <v>0.15106509042688299</v>
      </c>
      <c r="DB89" s="714">
        <f t="shared" si="111"/>
        <v>0.146647802655166</v>
      </c>
      <c r="DC89" s="714">
        <f t="shared" si="111"/>
        <v>0.14178018457783501</v>
      </c>
      <c r="DD89" s="714">
        <f t="shared" ref="DD89:DF89" si="116">AB36/AB$41</f>
        <v>0.14116715829050899</v>
      </c>
      <c r="DE89" s="714">
        <f t="shared" si="116"/>
        <v>0.122095513013688</v>
      </c>
      <c r="DF89" s="714">
        <f t="shared" si="116"/>
        <v>0.13157294060628799</v>
      </c>
    </row>
    <row r="90" spans="1:110" s="123" customFormat="1">
      <c r="AF90" s="711">
        <f t="shared" ref="AF90:AR90" si="117">P11/P$13</f>
        <v>0.21521993529290301</v>
      </c>
      <c r="AG90" s="714">
        <f t="shared" si="117"/>
        <v>0.215449510561566</v>
      </c>
      <c r="AH90" s="714">
        <f t="shared" si="117"/>
        <v>0.223773349368977</v>
      </c>
      <c r="AI90" s="714">
        <f t="shared" si="117"/>
        <v>0.22304832713754599</v>
      </c>
      <c r="AJ90" s="714">
        <f t="shared" si="117"/>
        <v>0.222617739464195</v>
      </c>
      <c r="AK90" s="714">
        <f t="shared" si="117"/>
        <v>0.218500168077052</v>
      </c>
      <c r="AL90" s="714">
        <f t="shared" si="117"/>
        <v>0.228674171357098</v>
      </c>
      <c r="AM90" s="714">
        <f t="shared" si="117"/>
        <v>0.236285322099683</v>
      </c>
      <c r="AN90" s="714">
        <f t="shared" si="117"/>
        <v>0.24396474045053901</v>
      </c>
      <c r="AO90" s="714">
        <f t="shared" si="117"/>
        <v>0.251219299773559</v>
      </c>
      <c r="AP90" s="714">
        <f t="shared" si="117"/>
        <v>0.25548367797180599</v>
      </c>
      <c r="AQ90" s="714">
        <f t="shared" si="117"/>
        <v>0.25206114026783299</v>
      </c>
      <c r="AR90" s="714">
        <f t="shared" si="117"/>
        <v>0.24420823445947601</v>
      </c>
      <c r="AS90" s="714">
        <f t="shared" ref="AS90" si="118">AC11/AC$13</f>
        <v>0.23873662877955101</v>
      </c>
      <c r="AT90" s="714">
        <f t="shared" ref="AT90" si="119">AD11/AD$13</f>
        <v>0.24531609510244301</v>
      </c>
      <c r="AU90" s="561"/>
      <c r="AV90" s="714">
        <f t="shared" ref="AV90:BH90" si="120">P18/P$20</f>
        <v>6.2076490953914099E-2</v>
      </c>
      <c r="AW90" s="714">
        <f t="shared" si="120"/>
        <v>6.8235126278202302E-2</v>
      </c>
      <c r="AX90" s="714">
        <f t="shared" si="120"/>
        <v>7.3157417819360901E-2</v>
      </c>
      <c r="AY90" s="714">
        <f t="shared" si="120"/>
        <v>7.6263448330620501E-2</v>
      </c>
      <c r="AZ90" s="714">
        <f t="shared" si="120"/>
        <v>8.9058826637081603E-2</v>
      </c>
      <c r="BA90" s="714">
        <f t="shared" si="120"/>
        <v>9.5031633202716501E-2</v>
      </c>
      <c r="BB90" s="714">
        <f t="shared" si="120"/>
        <v>8.4929119047501805E-2</v>
      </c>
      <c r="BC90" s="714">
        <f t="shared" si="120"/>
        <v>8.74399354635053E-2</v>
      </c>
      <c r="BD90" s="714">
        <f t="shared" si="120"/>
        <v>8.7803624212826101E-2</v>
      </c>
      <c r="BE90" s="714">
        <f t="shared" si="120"/>
        <v>8.2202212217219697E-2</v>
      </c>
      <c r="BF90" s="714">
        <f t="shared" si="120"/>
        <v>7.8965119325688601E-2</v>
      </c>
      <c r="BG90" s="714">
        <f t="shared" si="120"/>
        <v>8.3239320504197994E-2</v>
      </c>
      <c r="BH90" s="714">
        <f t="shared" si="120"/>
        <v>8.1317644722470495E-2</v>
      </c>
      <c r="BI90" s="714">
        <f t="shared" ref="BI90:BJ90" si="121">AC18/AC$20</f>
        <v>8.5122845898131502E-2</v>
      </c>
      <c r="BJ90" s="714">
        <f t="shared" si="121"/>
        <v>9.2483673184078602E-2</v>
      </c>
      <c r="BK90" s="561"/>
      <c r="BL90" s="714">
        <f t="shared" ref="BL90:BW90" si="122">P25/P$27</f>
        <v>6.8431067791932407E-2</v>
      </c>
      <c r="BM90" s="714">
        <f t="shared" si="122"/>
        <v>6.2014358108108097E-2</v>
      </c>
      <c r="BN90" s="714">
        <f t="shared" si="122"/>
        <v>7.4065587351388504E-2</v>
      </c>
      <c r="BO90" s="714">
        <f t="shared" si="122"/>
        <v>6.9386633157936098E-2</v>
      </c>
      <c r="BP90" s="714">
        <f t="shared" si="122"/>
        <v>6.7834743346740001E-2</v>
      </c>
      <c r="BQ90" s="714">
        <f t="shared" si="122"/>
        <v>7.2021045811942297E-2</v>
      </c>
      <c r="BR90" s="714">
        <f t="shared" si="122"/>
        <v>6.8840413318025304E-2</v>
      </c>
      <c r="BS90" s="714">
        <f t="shared" si="122"/>
        <v>6.7096517544877401E-2</v>
      </c>
      <c r="BT90" s="714">
        <f t="shared" si="122"/>
        <v>6.6480691022754002E-2</v>
      </c>
      <c r="BU90" s="714">
        <f t="shared" si="122"/>
        <v>6.5024152282728898E-2</v>
      </c>
      <c r="BV90" s="714">
        <f t="shared" si="122"/>
        <v>6.3101969339447603E-2</v>
      </c>
      <c r="BW90" s="714">
        <f t="shared" si="122"/>
        <v>6.8829602007101601E-2</v>
      </c>
      <c r="BX90" s="714">
        <f t="shared" ref="BX90:BZ90" si="123">AB25/AB$27</f>
        <v>7.8162450066577904E-2</v>
      </c>
      <c r="BY90" s="714">
        <f t="shared" si="123"/>
        <v>7.5971915032582701E-2</v>
      </c>
      <c r="BZ90" s="714">
        <f t="shared" si="123"/>
        <v>7.5426818772201601E-2</v>
      </c>
      <c r="CA90" s="561"/>
      <c r="CB90" s="714">
        <f t="shared" ref="CB90:CM90" si="124">P32/P$34</f>
        <v>8.1304122566797393E-2</v>
      </c>
      <c r="CC90" s="714">
        <f t="shared" si="124"/>
        <v>7.1662221912348306E-2</v>
      </c>
      <c r="CD90" s="714">
        <f t="shared" si="124"/>
        <v>7.7271366389534996E-2</v>
      </c>
      <c r="CE90" s="714">
        <f t="shared" si="124"/>
        <v>8.0283887369515805E-2</v>
      </c>
      <c r="CF90" s="714">
        <f t="shared" si="124"/>
        <v>7.4609395098358705E-2</v>
      </c>
      <c r="CG90" s="714">
        <f t="shared" si="124"/>
        <v>6.44474501552951E-2</v>
      </c>
      <c r="CH90" s="714">
        <f t="shared" si="124"/>
        <v>6.3425266199580402E-2</v>
      </c>
      <c r="CI90" s="714">
        <f t="shared" si="124"/>
        <v>5.6344967439734897E-2</v>
      </c>
      <c r="CJ90" s="714">
        <f t="shared" si="124"/>
        <v>5.3025937933156998E-2</v>
      </c>
      <c r="CK90" s="714">
        <f t="shared" si="124"/>
        <v>5.1046368848331698E-2</v>
      </c>
      <c r="CL90" s="714">
        <f t="shared" si="124"/>
        <v>3.9771601899167598E-2</v>
      </c>
      <c r="CM90" s="714">
        <f t="shared" si="124"/>
        <v>4.0007414368356198E-2</v>
      </c>
      <c r="CN90" s="714">
        <f t="shared" ref="CN90:CP90" si="125">AB32/AB$34</f>
        <v>3.1937240322817001E-2</v>
      </c>
      <c r="CO90" s="714">
        <f t="shared" si="125"/>
        <v>2.6069806917268401E-2</v>
      </c>
      <c r="CP90" s="714">
        <f t="shared" si="125"/>
        <v>2.7246962748988499E-2</v>
      </c>
      <c r="CQ90" s="561"/>
      <c r="CR90" s="714">
        <f t="shared" ref="CR90:DC90" si="126">P39/P$41</f>
        <v>0.49082481080441098</v>
      </c>
      <c r="CS90" s="714">
        <f t="shared" si="126"/>
        <v>0.48384668492906602</v>
      </c>
      <c r="CT90" s="714">
        <f t="shared" si="126"/>
        <v>0.47807074717070602</v>
      </c>
      <c r="CU90" s="714">
        <f t="shared" si="126"/>
        <v>0.48083574783594601</v>
      </c>
      <c r="CV90" s="714">
        <f t="shared" si="126"/>
        <v>0.48098457813534101</v>
      </c>
      <c r="CW90" s="714">
        <f t="shared" si="126"/>
        <v>0.47240513794917699</v>
      </c>
      <c r="CX90" s="714">
        <f t="shared" si="126"/>
        <v>0.47425663836541299</v>
      </c>
      <c r="CY90" s="714">
        <f t="shared" si="126"/>
        <v>0.47344814932142298</v>
      </c>
      <c r="CZ90" s="714">
        <f t="shared" si="126"/>
        <v>0.46924054211249699</v>
      </c>
      <c r="DA90" s="714">
        <f t="shared" si="126"/>
        <v>0.47150354089665097</v>
      </c>
      <c r="DB90" s="714">
        <f t="shared" si="126"/>
        <v>0.46749509223194802</v>
      </c>
      <c r="DC90" s="714">
        <f t="shared" si="126"/>
        <v>0.45671573487910899</v>
      </c>
      <c r="DD90" s="714">
        <f t="shared" ref="DD90:DF90" si="127">AB39/AB$41</f>
        <v>0.43886858492724601</v>
      </c>
      <c r="DE90" s="714">
        <f t="shared" si="127"/>
        <v>0.46970134339957798</v>
      </c>
      <c r="DF90" s="714">
        <f t="shared" si="127"/>
        <v>0.44501977705861201</v>
      </c>
    </row>
    <row r="91" spans="1:110" s="123" customFormat="1">
      <c r="AF91" s="711">
        <f t="shared" ref="AF91:AR92" si="128">P9/P$13</f>
        <v>2.3955393405383101E-2</v>
      </c>
      <c r="AG91" s="714">
        <f t="shared" si="128"/>
        <v>2.29746264811953E-2</v>
      </c>
      <c r="AH91" s="714">
        <f t="shared" si="128"/>
        <v>2.7219997868680301E-2</v>
      </c>
      <c r="AI91" s="714">
        <f t="shared" si="128"/>
        <v>2.98147259863293E-2</v>
      </c>
      <c r="AJ91" s="714">
        <f t="shared" si="128"/>
        <v>2.9266556265766901E-2</v>
      </c>
      <c r="AK91" s="714">
        <f t="shared" si="128"/>
        <v>2.90407915698397E-2</v>
      </c>
      <c r="AL91" s="714">
        <f t="shared" si="128"/>
        <v>3.3458411507191997E-2</v>
      </c>
      <c r="AM91" s="714">
        <f t="shared" si="128"/>
        <v>4.1984190845837099E-2</v>
      </c>
      <c r="AN91" s="714">
        <f t="shared" si="128"/>
        <v>4.9065621939275203E-2</v>
      </c>
      <c r="AO91" s="714">
        <f t="shared" si="128"/>
        <v>5.2596818208210001E-2</v>
      </c>
      <c r="AP91" s="714">
        <f t="shared" si="128"/>
        <v>5.2716598736117899E-2</v>
      </c>
      <c r="AQ91" s="714">
        <f t="shared" si="128"/>
        <v>5.3364461070414301E-2</v>
      </c>
      <c r="AR91" s="714">
        <f t="shared" si="128"/>
        <v>5.3612055679232801E-2</v>
      </c>
      <c r="AS91" s="714">
        <f t="shared" ref="AS91:AS92" si="129">AC9/AC$13</f>
        <v>5.3351050100851699E-2</v>
      </c>
      <c r="AT91" s="714">
        <f t="shared" ref="AT91:AT92" si="130">AD9/AD$13</f>
        <v>5.5640772798656001E-2</v>
      </c>
      <c r="AU91" s="561"/>
      <c r="AV91" s="714">
        <f t="shared" ref="AV91:BH92" si="131">P16/P$20</f>
        <v>1.57391565967498E-2</v>
      </c>
      <c r="AW91" s="714">
        <f t="shared" si="131"/>
        <v>1.6985351812456199E-2</v>
      </c>
      <c r="AX91" s="714">
        <f t="shared" si="131"/>
        <v>1.8796103220265599E-2</v>
      </c>
      <c r="AY91" s="714">
        <f t="shared" si="131"/>
        <v>1.7987649731665001E-2</v>
      </c>
      <c r="AZ91" s="714">
        <f t="shared" si="131"/>
        <v>1.9089380211497701E-2</v>
      </c>
      <c r="BA91" s="714">
        <f t="shared" si="131"/>
        <v>2.05219742498336E-2</v>
      </c>
      <c r="BB91" s="714">
        <f t="shared" si="131"/>
        <v>9.0207644999433702E-3</v>
      </c>
      <c r="BC91" s="714">
        <f t="shared" si="131"/>
        <v>1.2100592753674E-2</v>
      </c>
      <c r="BD91" s="714">
        <f t="shared" si="131"/>
        <v>2.15859144068886E-2</v>
      </c>
      <c r="BE91" s="714">
        <f t="shared" si="131"/>
        <v>2.18887221388472E-2</v>
      </c>
      <c r="BF91" s="714">
        <f t="shared" si="131"/>
        <v>2.2075670492744601E-2</v>
      </c>
      <c r="BG91" s="714">
        <f t="shared" si="131"/>
        <v>2.3458008808278901E-2</v>
      </c>
      <c r="BH91" s="714">
        <f t="shared" si="131"/>
        <v>2.5260649389335699E-2</v>
      </c>
      <c r="BI91" s="714">
        <f t="shared" ref="BI91:BJ91" si="132">AC16/AC$20</f>
        <v>2.73059875434641E-2</v>
      </c>
      <c r="BJ91" s="714">
        <f t="shared" si="132"/>
        <v>3.12506241137585E-2</v>
      </c>
      <c r="BK91" s="561"/>
      <c r="BL91" s="714">
        <f t="shared" ref="BL91:BW92" si="133">P23/P$27</f>
        <v>0.74668448498758</v>
      </c>
      <c r="BM91" s="714">
        <f t="shared" si="133"/>
        <v>0.76285895270270299</v>
      </c>
      <c r="BN91" s="714">
        <f t="shared" si="133"/>
        <v>0.74084094935091305</v>
      </c>
      <c r="BO91" s="714">
        <f t="shared" si="133"/>
        <v>0.75133118668027998</v>
      </c>
      <c r="BP91" s="714">
        <f t="shared" si="133"/>
        <v>0.749649422896152</v>
      </c>
      <c r="BQ91" s="714">
        <f t="shared" si="133"/>
        <v>0.74914844954011395</v>
      </c>
      <c r="BR91" s="714">
        <f t="shared" si="133"/>
        <v>0.75683122847301998</v>
      </c>
      <c r="BS91" s="714">
        <f t="shared" si="133"/>
        <v>0.75290480847325603</v>
      </c>
      <c r="BT91" s="714">
        <f t="shared" si="133"/>
        <v>0.74973111955097005</v>
      </c>
      <c r="BU91" s="714">
        <f t="shared" si="133"/>
        <v>0.75482448810689096</v>
      </c>
      <c r="BV91" s="714">
        <f t="shared" si="133"/>
        <v>0.77082498553047496</v>
      </c>
      <c r="BW91" s="714">
        <f t="shared" si="133"/>
        <v>0.756440136548717</v>
      </c>
      <c r="BX91" s="714">
        <f t="shared" ref="BX91:BZ91" si="134">AB23/AB$27</f>
        <v>0.73385116141440998</v>
      </c>
      <c r="BY91" s="714">
        <f t="shared" si="134"/>
        <v>0.73711906423026097</v>
      </c>
      <c r="BZ91" s="714">
        <f t="shared" si="134"/>
        <v>0.74460510461167695</v>
      </c>
      <c r="CA91" s="561"/>
      <c r="CB91" s="714">
        <f t="shared" ref="CB91:CM92" si="135">P30/P$34</f>
        <v>3.82503145585079E-2</v>
      </c>
      <c r="CC91" s="714">
        <f t="shared" si="135"/>
        <v>2.8365085728562001E-2</v>
      </c>
      <c r="CD91" s="714">
        <f t="shared" si="135"/>
        <v>2.4504272126390499E-2</v>
      </c>
      <c r="CE91" s="714">
        <f t="shared" si="135"/>
        <v>2.0564500597049399E-2</v>
      </c>
      <c r="CF91" s="714">
        <f t="shared" si="135"/>
        <v>1.9838955871507701E-2</v>
      </c>
      <c r="CG91" s="714">
        <f t="shared" si="135"/>
        <v>1.7427556802368901E-2</v>
      </c>
      <c r="CH91" s="714">
        <f t="shared" si="135"/>
        <v>1.8332145825911399E-2</v>
      </c>
      <c r="CI91" s="714">
        <f t="shared" si="135"/>
        <v>1.8700731177881898E-2</v>
      </c>
      <c r="CJ91" s="714">
        <f t="shared" si="135"/>
        <v>1.99538582935899E-2</v>
      </c>
      <c r="CK91" s="714">
        <f t="shared" si="135"/>
        <v>2.0841246985450701E-2</v>
      </c>
      <c r="CL91" s="714">
        <f t="shared" si="135"/>
        <v>1.75637158643118E-2</v>
      </c>
      <c r="CM91" s="714">
        <f t="shared" si="135"/>
        <v>1.59293968210177E-2</v>
      </c>
      <c r="CN91" s="714">
        <f t="shared" ref="CN91:CP91" si="136">AB30/AB$34</f>
        <v>1.31070825092347E-2</v>
      </c>
      <c r="CO91" s="714">
        <f t="shared" si="136"/>
        <v>1.3708776201486301E-2</v>
      </c>
      <c r="CP91" s="714">
        <f t="shared" si="136"/>
        <v>1.30362747265684E-2</v>
      </c>
      <c r="CQ91" s="561"/>
      <c r="CR91" s="714">
        <f t="shared" ref="CR91:DC92" si="137">P37/P$41</f>
        <v>5.3143242234101599E-2</v>
      </c>
      <c r="CS91" s="714">
        <f t="shared" si="137"/>
        <v>5.4617937239705101E-2</v>
      </c>
      <c r="CT91" s="714">
        <f t="shared" si="137"/>
        <v>5.22723232802038E-2</v>
      </c>
      <c r="CU91" s="714">
        <f t="shared" si="137"/>
        <v>5.2362013425234402E-2</v>
      </c>
      <c r="CV91" s="714">
        <f t="shared" si="137"/>
        <v>5.4773062123142098E-2</v>
      </c>
      <c r="CW91" s="714">
        <f t="shared" si="137"/>
        <v>6.0065615082756103E-2</v>
      </c>
      <c r="CX91" s="714">
        <f t="shared" si="137"/>
        <v>6.4326231071542894E-2</v>
      </c>
      <c r="CY91" s="714">
        <f t="shared" si="137"/>
        <v>6.4978405352085294E-2</v>
      </c>
      <c r="CZ91" s="714">
        <f t="shared" si="137"/>
        <v>6.4271069245740997E-2</v>
      </c>
      <c r="DA91" s="714">
        <f t="shared" si="137"/>
        <v>6.1179922692774301E-2</v>
      </c>
      <c r="DB91" s="714">
        <f t="shared" si="137"/>
        <v>6.2435900713934699E-2</v>
      </c>
      <c r="DC91" s="714">
        <f t="shared" si="137"/>
        <v>6.3348333460453099E-2</v>
      </c>
      <c r="DD91" s="714">
        <f t="shared" ref="DD91:DF91" si="138">AB37/AB$41</f>
        <v>6.8119275983402297E-2</v>
      </c>
      <c r="DE91" s="714">
        <f t="shared" si="138"/>
        <v>7.0043934083014806E-2</v>
      </c>
      <c r="DF91" s="714">
        <f t="shared" si="138"/>
        <v>7.2601347654112497E-2</v>
      </c>
    </row>
    <row r="92" spans="1:110" s="123" customFormat="1">
      <c r="AF92" s="711">
        <f t="shared" si="128"/>
        <v>7.4516417704963197E-3</v>
      </c>
      <c r="AG92" s="714">
        <f t="shared" si="128"/>
        <v>8.2914734672849006E-3</v>
      </c>
      <c r="AH92" s="714">
        <f t="shared" si="128"/>
        <v>1.20724039764337E-2</v>
      </c>
      <c r="AI92" s="714">
        <f t="shared" si="128"/>
        <v>1.41054083223408E-2</v>
      </c>
      <c r="AJ92" s="714">
        <f t="shared" si="128"/>
        <v>1.8355439307879199E-2</v>
      </c>
      <c r="AK92" s="714">
        <f t="shared" si="128"/>
        <v>2.0563861972201499E-2</v>
      </c>
      <c r="AL92" s="714">
        <f t="shared" si="128"/>
        <v>2.6193454242234699E-2</v>
      </c>
      <c r="AM92" s="714">
        <f t="shared" si="128"/>
        <v>3.01036588252E-2</v>
      </c>
      <c r="AN92" s="714">
        <f t="shared" si="128"/>
        <v>3.7853085210577897E-2</v>
      </c>
      <c r="AO92" s="714">
        <f t="shared" si="128"/>
        <v>4.5208442199384503E-2</v>
      </c>
      <c r="AP92" s="714">
        <f t="shared" si="128"/>
        <v>5.1325580525745103E-2</v>
      </c>
      <c r="AQ92" s="714">
        <f t="shared" si="128"/>
        <v>6.3088815154551101E-2</v>
      </c>
      <c r="AR92" s="714">
        <f t="shared" si="128"/>
        <v>7.1507204540450606E-2</v>
      </c>
      <c r="AS92" s="714">
        <f t="shared" si="129"/>
        <v>8.4323528568287606E-2</v>
      </c>
      <c r="AT92" s="714">
        <f t="shared" si="130"/>
        <v>7.9580731163945803E-2</v>
      </c>
      <c r="AU92" s="561"/>
      <c r="AV92" s="714">
        <f t="shared" si="131"/>
        <v>1.1450741603912099E-3</v>
      </c>
      <c r="AW92" s="714">
        <f t="shared" si="131"/>
        <v>1.74553022578601E-3</v>
      </c>
      <c r="AX92" s="714">
        <f t="shared" si="131"/>
        <v>2.9913643459938601E-3</v>
      </c>
      <c r="AY92" s="714">
        <f t="shared" si="131"/>
        <v>4.4860851959188496E-3</v>
      </c>
      <c r="AZ92" s="714">
        <f t="shared" si="131"/>
        <v>6.8679504450960202E-3</v>
      </c>
      <c r="BA92" s="714">
        <f t="shared" si="131"/>
        <v>8.1063382587479808E-3</v>
      </c>
      <c r="BB92" s="714">
        <f t="shared" si="131"/>
        <v>2.1133799800085701E-2</v>
      </c>
      <c r="BC92" s="714">
        <f t="shared" si="131"/>
        <v>2.1204848254057301E-2</v>
      </c>
      <c r="BD92" s="714">
        <f t="shared" si="131"/>
        <v>1.6203572805552E-2</v>
      </c>
      <c r="BE92" s="714">
        <f t="shared" si="131"/>
        <v>2.0777055194263799E-2</v>
      </c>
      <c r="BF92" s="714">
        <f t="shared" si="131"/>
        <v>2.4143870935372898E-2</v>
      </c>
      <c r="BG92" s="714">
        <f t="shared" si="131"/>
        <v>2.6587551255071298E-2</v>
      </c>
      <c r="BH92" s="714">
        <f t="shared" si="131"/>
        <v>3.2097110515341101E-2</v>
      </c>
      <c r="BI92" s="714">
        <f t="shared" ref="BI92:BJ92" si="139">AC17/AC$20</f>
        <v>3.91272782851248E-2</v>
      </c>
      <c r="BJ92" s="714">
        <f t="shared" si="139"/>
        <v>4.3408360128617401E-2</v>
      </c>
      <c r="BK92" s="561"/>
      <c r="BL92" s="714">
        <f t="shared" si="133"/>
        <v>2.9487384338276901E-3</v>
      </c>
      <c r="BM92" s="714">
        <f t="shared" si="133"/>
        <v>3.4417229729729699E-3</v>
      </c>
      <c r="BN92" s="714">
        <f t="shared" si="133"/>
        <v>3.85134003719143E-3</v>
      </c>
      <c r="BO92" s="714">
        <f t="shared" si="133"/>
        <v>4.4372889342652903E-3</v>
      </c>
      <c r="BP92" s="714">
        <f t="shared" si="133"/>
        <v>6.2410429476214696E-3</v>
      </c>
      <c r="BQ92" s="714">
        <f t="shared" si="133"/>
        <v>8.3731705162309895E-3</v>
      </c>
      <c r="BR92" s="714">
        <f t="shared" si="133"/>
        <v>1.0121699196326101E-2</v>
      </c>
      <c r="BS92" s="714">
        <f t="shared" si="133"/>
        <v>1.2895526346322799E-2</v>
      </c>
      <c r="BT92" s="714">
        <f t="shared" si="133"/>
        <v>1.51329277719894E-2</v>
      </c>
      <c r="BU92" s="714">
        <f t="shared" si="133"/>
        <v>1.61704904465188E-2</v>
      </c>
      <c r="BV92" s="714">
        <f t="shared" si="133"/>
        <v>1.5144769452235699E-2</v>
      </c>
      <c r="BW92" s="714">
        <f t="shared" si="133"/>
        <v>2.0557711026720198E-2</v>
      </c>
      <c r="BX92" s="714">
        <f t="shared" ref="BX92:BZ92" si="140">AB24/AB$27</f>
        <v>2.27030625832224E-2</v>
      </c>
      <c r="BY92" s="714">
        <f t="shared" si="140"/>
        <v>2.4292309290899101E-2</v>
      </c>
      <c r="BZ92" s="714">
        <f t="shared" si="140"/>
        <v>2.6485454517002301E-2</v>
      </c>
      <c r="CA92" s="561"/>
      <c r="CB92" s="714">
        <f t="shared" si="135"/>
        <v>0.59038561172378101</v>
      </c>
      <c r="CC92" s="714">
        <f t="shared" si="135"/>
        <v>0.65275139007512495</v>
      </c>
      <c r="CD92" s="714">
        <f t="shared" si="135"/>
        <v>0.66256880311370103</v>
      </c>
      <c r="CE92" s="714">
        <f t="shared" si="135"/>
        <v>0.69110877855244401</v>
      </c>
      <c r="CF92" s="714">
        <f t="shared" si="135"/>
        <v>0.69751487814499102</v>
      </c>
      <c r="CG92" s="714">
        <f t="shared" si="135"/>
        <v>0.73315967003974203</v>
      </c>
      <c r="CH92" s="714">
        <f t="shared" si="135"/>
        <v>0.74747654672841701</v>
      </c>
      <c r="CI92" s="714">
        <f t="shared" si="135"/>
        <v>0.77823317719638996</v>
      </c>
      <c r="CJ92" s="714">
        <f t="shared" si="135"/>
        <v>0.80055860621501496</v>
      </c>
      <c r="CK92" s="714">
        <f t="shared" si="135"/>
        <v>0.79707555586964796</v>
      </c>
      <c r="CL92" s="714">
        <f t="shared" si="135"/>
        <v>0.83129325614428196</v>
      </c>
      <c r="CM92" s="714">
        <f t="shared" si="135"/>
        <v>0.84189003169786203</v>
      </c>
      <c r="CN92" s="714">
        <f t="shared" ref="CN92:CP92" si="141">AB31/AB$34</f>
        <v>0.87128905100163201</v>
      </c>
      <c r="CO92" s="714">
        <f t="shared" si="141"/>
        <v>0.88970098729687397</v>
      </c>
      <c r="CP92" s="714">
        <f t="shared" si="141"/>
        <v>0.897965786000266</v>
      </c>
      <c r="CQ92" s="561"/>
      <c r="CR92" s="714">
        <f t="shared" si="137"/>
        <v>1.20985000956223E-2</v>
      </c>
      <c r="CS92" s="714">
        <f t="shared" si="137"/>
        <v>1.4137769760139E-2</v>
      </c>
      <c r="CT92" s="714">
        <f t="shared" si="137"/>
        <v>1.83168414607651E-2</v>
      </c>
      <c r="CU92" s="714">
        <f t="shared" si="137"/>
        <v>2.1336404700631698E-2</v>
      </c>
      <c r="CV92" s="714">
        <f t="shared" si="137"/>
        <v>2.4065691755604902E-2</v>
      </c>
      <c r="CW92" s="714">
        <f t="shared" si="137"/>
        <v>2.71977534039081E-2</v>
      </c>
      <c r="CX92" s="714">
        <f t="shared" si="137"/>
        <v>3.4522469963603197E-2</v>
      </c>
      <c r="CY92" s="714">
        <f t="shared" si="137"/>
        <v>4.15363721618799E-2</v>
      </c>
      <c r="CZ92" s="714">
        <f t="shared" si="137"/>
        <v>4.7075796321147403E-2</v>
      </c>
      <c r="DA92" s="714">
        <f t="shared" si="137"/>
        <v>5.4196879496656601E-2</v>
      </c>
      <c r="DB92" s="714">
        <f t="shared" si="137"/>
        <v>6.0876210606460902E-2</v>
      </c>
      <c r="DC92" s="714">
        <f t="shared" si="137"/>
        <v>7.2442986804972895E-2</v>
      </c>
      <c r="DD92" s="714">
        <f t="shared" ref="DD92:DF92" si="142">AB38/AB$41</f>
        <v>8.37924914506923E-2</v>
      </c>
      <c r="DE92" s="714">
        <f t="shared" si="142"/>
        <v>7.6270836968072395E-2</v>
      </c>
      <c r="DF92" s="714">
        <f t="shared" si="142"/>
        <v>9.3172615418288696E-2</v>
      </c>
    </row>
    <row r="93" spans="1:110" s="123" customFormat="1">
      <c r="AF93" s="712">
        <f t="shared" ref="AF93:AR93" si="143">P12/P$13</f>
        <v>4.2937289185654301E-2</v>
      </c>
      <c r="AG93" s="715">
        <f t="shared" si="143"/>
        <v>4.1167568263781602E-2</v>
      </c>
      <c r="AH93" s="715">
        <f t="shared" si="143"/>
        <v>4.4468464079650501E-2</v>
      </c>
      <c r="AI93" s="715">
        <f t="shared" si="143"/>
        <v>4.7352800095934802E-2</v>
      </c>
      <c r="AJ93" s="715">
        <f t="shared" si="143"/>
        <v>4.6275517310757901E-2</v>
      </c>
      <c r="AK93" s="715">
        <f t="shared" si="143"/>
        <v>4.2852340655646699E-2</v>
      </c>
      <c r="AL93" s="715">
        <f t="shared" si="143"/>
        <v>4.3318740879716502E-2</v>
      </c>
      <c r="AM93" s="715">
        <f t="shared" si="143"/>
        <v>4.4682160268850302E-2</v>
      </c>
      <c r="AN93" s="715">
        <f t="shared" si="143"/>
        <v>4.8164544564152798E-2</v>
      </c>
      <c r="AO93" s="715">
        <f t="shared" si="143"/>
        <v>4.8634093944144502E-2</v>
      </c>
      <c r="AP93" s="715">
        <f t="shared" si="143"/>
        <v>5.0517892532625397E-2</v>
      </c>
      <c r="AQ93" s="715">
        <f t="shared" si="143"/>
        <v>5.1434296271105399E-2</v>
      </c>
      <c r="AR93" s="715">
        <f t="shared" si="143"/>
        <v>4.89517332485261E-2</v>
      </c>
      <c r="AS93" s="715">
        <f t="shared" ref="AS93" si="144">AC12/AC$13</f>
        <v>4.9766272500454102E-2</v>
      </c>
      <c r="AT93" s="715">
        <f t="shared" ref="AT93" si="145">AD12/AD$13</f>
        <v>5.34312114239801E-2</v>
      </c>
      <c r="AU93" s="566"/>
      <c r="AV93" s="715">
        <f t="shared" ref="AV93:BH93" si="146">P19/P$20</f>
        <v>1.0085633585249601E-2</v>
      </c>
      <c r="AW93" s="715">
        <f t="shared" si="146"/>
        <v>1.1375318370446801E-2</v>
      </c>
      <c r="AX93" s="715">
        <f t="shared" si="146"/>
        <v>1.2573191989548401E-2</v>
      </c>
      <c r="AY93" s="715">
        <f t="shared" si="146"/>
        <v>1.2527113205981001E-2</v>
      </c>
      <c r="AZ93" s="715">
        <f t="shared" si="146"/>
        <v>1.474848332761E-2</v>
      </c>
      <c r="BA93" s="715">
        <f t="shared" si="146"/>
        <v>1.51670380971493E-2</v>
      </c>
      <c r="BB93" s="715">
        <f t="shared" si="146"/>
        <v>1.47030582952134E-2</v>
      </c>
      <c r="BC93" s="715">
        <f t="shared" si="146"/>
        <v>1.5287332708678899E-2</v>
      </c>
      <c r="BD93" s="715">
        <f t="shared" si="146"/>
        <v>1.54273229661997E-2</v>
      </c>
      <c r="BE93" s="715">
        <f t="shared" si="146"/>
        <v>1.72030459674282E-2</v>
      </c>
      <c r="BF93" s="715">
        <f t="shared" si="146"/>
        <v>1.8574781333794199E-2</v>
      </c>
      <c r="BG93" s="715">
        <f t="shared" si="146"/>
        <v>1.9786084654936802E-2</v>
      </c>
      <c r="BH93" s="715">
        <f t="shared" si="146"/>
        <v>1.7699334723463401E-2</v>
      </c>
      <c r="BI93" s="715">
        <f t="shared" ref="BI93:BJ93" si="147">AC19/AC$20</f>
        <v>1.7805968438347801E-2</v>
      </c>
      <c r="BJ93" s="715">
        <f t="shared" si="147"/>
        <v>1.9167781749915101E-2</v>
      </c>
      <c r="BK93" s="566"/>
      <c r="BL93" s="715">
        <f t="shared" ref="BL93:BW93" si="148">P26/P$27</f>
        <v>9.5870313612131993E-3</v>
      </c>
      <c r="BM93" s="715">
        <f t="shared" si="148"/>
        <v>8.8154560810810804E-3</v>
      </c>
      <c r="BN93" s="715">
        <f t="shared" si="148"/>
        <v>1.15716463817674E-2</v>
      </c>
      <c r="BO93" s="715">
        <f t="shared" si="148"/>
        <v>1.12699285321605E-2</v>
      </c>
      <c r="BP93" s="715">
        <f t="shared" si="148"/>
        <v>1.2620775738523399E-2</v>
      </c>
      <c r="BQ93" s="715">
        <f t="shared" si="148"/>
        <v>1.29376773040943E-2</v>
      </c>
      <c r="BR93" s="715">
        <f t="shared" si="148"/>
        <v>1.2629161882893199E-2</v>
      </c>
      <c r="BS93" s="715">
        <f t="shared" si="148"/>
        <v>1.3459084052974401E-2</v>
      </c>
      <c r="BT93" s="715">
        <f t="shared" si="148"/>
        <v>1.1477834167983101E-2</v>
      </c>
      <c r="BU93" s="715">
        <f t="shared" si="148"/>
        <v>1.2326815798059901E-2</v>
      </c>
      <c r="BV93" s="715">
        <f t="shared" si="148"/>
        <v>1.51596099906505E-2</v>
      </c>
      <c r="BW93" s="715">
        <f t="shared" si="148"/>
        <v>1.53822952797466E-2</v>
      </c>
      <c r="BX93" s="715">
        <f t="shared" ref="BX93:BZ93" si="149">AB26/AB$27</f>
        <v>1.5682793312620201E-2</v>
      </c>
      <c r="BY93" s="715">
        <f t="shared" si="149"/>
        <v>1.5192898600204801E-2</v>
      </c>
      <c r="BZ93" s="715">
        <f t="shared" si="149"/>
        <v>1.34735458429182E-2</v>
      </c>
      <c r="CA93" s="566"/>
      <c r="CB93" s="715">
        <f t="shared" ref="CB93:CM93" si="150">P33/P$34</f>
        <v>1.2375101768929E-2</v>
      </c>
      <c r="CC93" s="715">
        <f t="shared" si="150"/>
        <v>1.01619285004619E-2</v>
      </c>
      <c r="CD93" s="715">
        <f t="shared" si="150"/>
        <v>1.08564980078764E-2</v>
      </c>
      <c r="CE93" s="715">
        <f t="shared" si="150"/>
        <v>1.0978005469743099E-2</v>
      </c>
      <c r="CF93" s="715">
        <f t="shared" si="150"/>
        <v>1.06933987342858E-2</v>
      </c>
      <c r="CG93" s="715">
        <f t="shared" si="150"/>
        <v>9.2314286032350295E-3</v>
      </c>
      <c r="CH93" s="715">
        <f t="shared" si="150"/>
        <v>9.2947195503305206E-3</v>
      </c>
      <c r="CI93" s="715">
        <f t="shared" si="150"/>
        <v>8.2424121253665394E-3</v>
      </c>
      <c r="CJ93" s="715">
        <f t="shared" si="150"/>
        <v>8.2795900469053406E-3</v>
      </c>
      <c r="CK93" s="715">
        <f t="shared" si="150"/>
        <v>9.3108718120864693E-3</v>
      </c>
      <c r="CL93" s="715">
        <f t="shared" si="150"/>
        <v>1.1208634912011701E-2</v>
      </c>
      <c r="CM93" s="715">
        <f t="shared" si="150"/>
        <v>8.6299799122345703E-3</v>
      </c>
      <c r="CN93" s="715">
        <f t="shared" ref="CN93:CP93" si="151">AB33/AB$34</f>
        <v>6.4007254990624401E-3</v>
      </c>
      <c r="CO93" s="715">
        <f t="shared" si="151"/>
        <v>7.4185732577321598E-3</v>
      </c>
      <c r="CP93" s="715">
        <f t="shared" si="151"/>
        <v>5.5217524888086199E-3</v>
      </c>
      <c r="CQ93" s="566"/>
      <c r="CR93" s="715">
        <f t="shared" ref="CR93:DC93" si="152">P40/P$41</f>
        <v>9.2011438250749006E-2</v>
      </c>
      <c r="CS93" s="715">
        <f t="shared" si="152"/>
        <v>9.5899868599808494E-2</v>
      </c>
      <c r="CT93" s="715">
        <f t="shared" si="152"/>
        <v>0.10027058521459201</v>
      </c>
      <c r="CU93" s="715">
        <f t="shared" si="152"/>
        <v>0.10220814512210501</v>
      </c>
      <c r="CV93" s="715">
        <f t="shared" si="152"/>
        <v>0.10233572903813699</v>
      </c>
      <c r="CW93" s="715">
        <f t="shared" si="152"/>
        <v>0.105426481282276</v>
      </c>
      <c r="CX93" s="715">
        <f t="shared" si="152"/>
        <v>0.104471554105112</v>
      </c>
      <c r="CY93" s="715">
        <f t="shared" si="152"/>
        <v>0.105332325478548</v>
      </c>
      <c r="CZ93" s="715">
        <f t="shared" si="152"/>
        <v>0.105761326232539</v>
      </c>
      <c r="DA93" s="715">
        <f t="shared" si="152"/>
        <v>0.10507575543830899</v>
      </c>
      <c r="DB93" s="715">
        <f t="shared" si="152"/>
        <v>0.10806180804731901</v>
      </c>
      <c r="DC93" s="715">
        <f t="shared" si="152"/>
        <v>0.11132941804591601</v>
      </c>
      <c r="DD93" s="715">
        <f t="shared" ref="DD93:DF93" si="153">AB40/AB$41</f>
        <v>0.113880489026585</v>
      </c>
      <c r="DE93" s="715">
        <f t="shared" si="153"/>
        <v>0.11919300861234899</v>
      </c>
      <c r="DF93" s="715">
        <f t="shared" si="153"/>
        <v>0.108744117693041</v>
      </c>
    </row>
    <row r="96" spans="1:110">
      <c r="A96" s="5" t="s">
        <v>421</v>
      </c>
      <c r="B96" t="s">
        <v>423</v>
      </c>
    </row>
    <row r="97" spans="1:98">
      <c r="B97" s="682"/>
      <c r="C97" s="5"/>
      <c r="D97" s="5"/>
      <c r="E97" s="2"/>
      <c r="F97" s="682"/>
      <c r="G97" s="682"/>
      <c r="H97" s="682"/>
      <c r="I97" s="682"/>
      <c r="J97" s="682"/>
      <c r="K97" s="682"/>
      <c r="L97" s="682"/>
      <c r="M97" s="682"/>
    </row>
    <row r="98" spans="1:98">
      <c r="A98" s="553" t="s">
        <v>94</v>
      </c>
      <c r="B98" s="74" t="s">
        <v>424</v>
      </c>
      <c r="C98" s="683">
        <v>2009</v>
      </c>
      <c r="D98" s="683">
        <v>2010</v>
      </c>
      <c r="E98" s="683">
        <v>2011</v>
      </c>
      <c r="F98" s="683">
        <v>2012</v>
      </c>
      <c r="G98" s="683">
        <v>2013</v>
      </c>
      <c r="H98" s="683">
        <v>2014</v>
      </c>
      <c r="I98" s="683">
        <v>2015</v>
      </c>
      <c r="J98" s="683">
        <v>2016</v>
      </c>
      <c r="K98" s="683">
        <v>2017</v>
      </c>
      <c r="L98" s="683">
        <v>2018</v>
      </c>
      <c r="M98" s="683">
        <v>2019</v>
      </c>
      <c r="N98" s="683">
        <v>2020</v>
      </c>
      <c r="O98" s="683">
        <v>2021</v>
      </c>
      <c r="P98" s="692">
        <v>2022</v>
      </c>
      <c r="Q98" s="704">
        <v>2023</v>
      </c>
      <c r="R98" s="704">
        <v>2024</v>
      </c>
    </row>
    <row r="99" spans="1:98">
      <c r="A99" s="1406" t="s">
        <v>186</v>
      </c>
      <c r="B99" s="684">
        <v>1</v>
      </c>
      <c r="C99" s="685">
        <v>11498</v>
      </c>
      <c r="D99" s="685">
        <v>12037</v>
      </c>
      <c r="E99" s="597">
        <v>11697</v>
      </c>
      <c r="F99" s="597">
        <v>12089</v>
      </c>
      <c r="G99" s="597">
        <v>12158</v>
      </c>
      <c r="H99" s="597">
        <v>12202</v>
      </c>
      <c r="I99" s="597">
        <v>12613</v>
      </c>
      <c r="J99" s="597">
        <v>15960</v>
      </c>
      <c r="K99" s="597">
        <v>16717</v>
      </c>
      <c r="L99" s="597">
        <v>18235</v>
      </c>
      <c r="M99" s="597">
        <v>19416</v>
      </c>
      <c r="N99" s="597">
        <v>19481</v>
      </c>
      <c r="O99" s="597">
        <v>17466</v>
      </c>
      <c r="P99" s="693">
        <v>13971</v>
      </c>
      <c r="Q99" s="693">
        <v>17527</v>
      </c>
      <c r="R99" s="597">
        <v>17739</v>
      </c>
    </row>
    <row r="100" spans="1:98">
      <c r="A100" s="1407"/>
      <c r="B100" s="686" t="s">
        <v>425</v>
      </c>
      <c r="C100" s="687">
        <v>3743</v>
      </c>
      <c r="D100" s="687">
        <v>4043</v>
      </c>
      <c r="E100" s="688">
        <v>3491</v>
      </c>
      <c r="F100" s="688">
        <v>3765</v>
      </c>
      <c r="G100" s="688">
        <v>3726</v>
      </c>
      <c r="H100" s="688">
        <v>3761</v>
      </c>
      <c r="I100" s="688">
        <v>3934</v>
      </c>
      <c r="J100" s="688">
        <v>5198</v>
      </c>
      <c r="K100" s="688">
        <v>5364</v>
      </c>
      <c r="L100" s="688">
        <v>6156</v>
      </c>
      <c r="M100" s="688">
        <v>6412</v>
      </c>
      <c r="N100" s="688">
        <v>6481</v>
      </c>
      <c r="O100" s="688">
        <v>5506</v>
      </c>
      <c r="P100" s="694">
        <v>4253</v>
      </c>
      <c r="Q100" s="694">
        <v>5517</v>
      </c>
      <c r="R100" s="688">
        <v>5888</v>
      </c>
    </row>
    <row r="101" spans="1:98">
      <c r="A101" s="1407"/>
      <c r="B101" s="686" t="s">
        <v>426</v>
      </c>
      <c r="C101" s="687">
        <v>593</v>
      </c>
      <c r="D101" s="687">
        <v>659</v>
      </c>
      <c r="E101" s="688">
        <v>538</v>
      </c>
      <c r="F101" s="688">
        <v>586</v>
      </c>
      <c r="G101" s="688">
        <v>613</v>
      </c>
      <c r="H101" s="688">
        <v>561</v>
      </c>
      <c r="I101" s="688">
        <v>602</v>
      </c>
      <c r="J101" s="688">
        <v>794</v>
      </c>
      <c r="K101" s="688">
        <v>808</v>
      </c>
      <c r="L101" s="688">
        <v>965</v>
      </c>
      <c r="M101" s="688">
        <v>996</v>
      </c>
      <c r="N101" s="688">
        <v>1038</v>
      </c>
      <c r="O101" s="688">
        <v>842</v>
      </c>
      <c r="P101" s="694">
        <v>649</v>
      </c>
      <c r="Q101" s="694">
        <v>821</v>
      </c>
      <c r="R101" s="688">
        <v>909</v>
      </c>
      <c r="AE101" s="456"/>
      <c r="AF101" s="456"/>
      <c r="AG101" s="456"/>
      <c r="AH101" s="456"/>
      <c r="AI101" s="456"/>
      <c r="AJ101" s="456"/>
      <c r="AK101" s="456"/>
      <c r="AL101" s="456"/>
      <c r="AM101" s="456"/>
      <c r="AN101" s="456"/>
      <c r="AO101" s="456"/>
      <c r="AP101" s="456"/>
      <c r="AQ101" s="456"/>
      <c r="AR101" s="456"/>
      <c r="AS101" s="456"/>
      <c r="AT101" s="456"/>
      <c r="AU101" s="456"/>
      <c r="AV101" s="456"/>
      <c r="AW101" s="456"/>
      <c r="AX101" s="456"/>
      <c r="AY101" s="456"/>
      <c r="AZ101" s="456"/>
      <c r="BA101" s="456"/>
      <c r="BB101" s="456"/>
      <c r="BC101" s="456"/>
      <c r="BD101" s="456"/>
      <c r="BE101" s="456"/>
      <c r="BF101" s="456"/>
      <c r="BG101" s="456"/>
      <c r="BH101" s="456"/>
      <c r="BI101" s="456"/>
      <c r="BJ101" s="456"/>
      <c r="BK101" s="456"/>
      <c r="BL101" s="456"/>
      <c r="BM101" s="456"/>
      <c r="BN101" s="456"/>
      <c r="BO101" s="456"/>
      <c r="BP101" s="2"/>
    </row>
    <row r="102" spans="1:98">
      <c r="A102" s="1407"/>
      <c r="B102" s="686" t="s">
        <v>427</v>
      </c>
      <c r="C102" s="687">
        <v>526</v>
      </c>
      <c r="D102" s="687">
        <v>619</v>
      </c>
      <c r="E102" s="688">
        <v>511</v>
      </c>
      <c r="F102" s="688">
        <v>534</v>
      </c>
      <c r="G102" s="688">
        <v>544</v>
      </c>
      <c r="H102" s="688">
        <v>554</v>
      </c>
      <c r="I102" s="688">
        <v>567</v>
      </c>
      <c r="J102" s="688">
        <v>740</v>
      </c>
      <c r="K102" s="688">
        <v>776</v>
      </c>
      <c r="L102" s="688">
        <v>889</v>
      </c>
      <c r="M102" s="688">
        <v>960</v>
      </c>
      <c r="N102" s="688">
        <v>932</v>
      </c>
      <c r="O102" s="688">
        <v>815</v>
      </c>
      <c r="P102" s="694">
        <v>641</v>
      </c>
      <c r="Q102" s="694">
        <v>814</v>
      </c>
      <c r="R102" s="688">
        <v>828</v>
      </c>
      <c r="AE102" s="456"/>
      <c r="AF102" s="456"/>
      <c r="AG102" s="456"/>
      <c r="AH102" s="456"/>
      <c r="AI102" s="456"/>
      <c r="AJ102" s="456"/>
      <c r="AK102" s="456"/>
      <c r="AL102" s="456"/>
      <c r="AM102" s="456"/>
      <c r="AN102" s="456"/>
      <c r="AO102" s="456"/>
      <c r="AP102" s="456"/>
      <c r="AQ102" s="456"/>
      <c r="AR102" s="456"/>
      <c r="AS102" s="456"/>
      <c r="AT102" s="456"/>
      <c r="AU102" s="456"/>
      <c r="AV102" s="456"/>
      <c r="AW102" s="456"/>
      <c r="AX102" s="456"/>
      <c r="AY102" s="456"/>
      <c r="AZ102" s="456"/>
      <c r="BA102" s="456"/>
      <c r="BB102" s="456"/>
      <c r="BC102" s="456"/>
      <c r="BD102" s="456"/>
      <c r="BE102" s="456"/>
      <c r="BF102" s="456"/>
      <c r="BG102" s="456"/>
      <c r="BH102" s="456"/>
      <c r="BI102" s="456"/>
      <c r="BJ102" s="456"/>
      <c r="BK102" s="456"/>
      <c r="BL102" s="456"/>
      <c r="BM102" s="456"/>
      <c r="BN102" s="456"/>
      <c r="BO102" s="456"/>
      <c r="BP102" s="2"/>
    </row>
    <row r="103" spans="1:98">
      <c r="A103" s="1407"/>
      <c r="B103" s="686" t="s">
        <v>428</v>
      </c>
      <c r="C103" s="687">
        <v>113</v>
      </c>
      <c r="D103" s="687">
        <v>133</v>
      </c>
      <c r="E103" s="688">
        <v>168</v>
      </c>
      <c r="F103" s="688">
        <v>167</v>
      </c>
      <c r="G103" s="688">
        <v>183</v>
      </c>
      <c r="H103" s="688">
        <v>182</v>
      </c>
      <c r="I103" s="688">
        <v>183</v>
      </c>
      <c r="J103" s="688">
        <v>254</v>
      </c>
      <c r="K103" s="688">
        <v>270</v>
      </c>
      <c r="L103" s="688">
        <v>324</v>
      </c>
      <c r="M103" s="688">
        <v>330</v>
      </c>
      <c r="N103" s="688">
        <v>329</v>
      </c>
      <c r="O103" s="688">
        <v>271</v>
      </c>
      <c r="P103" s="694">
        <v>214</v>
      </c>
      <c r="Q103" s="694">
        <v>260</v>
      </c>
      <c r="R103" s="705">
        <v>274</v>
      </c>
      <c r="AE103" s="2"/>
      <c r="AF103" s="2"/>
      <c r="AG103" s="2"/>
      <c r="AH103" s="456"/>
      <c r="AI103" s="456"/>
      <c r="AJ103" s="2"/>
      <c r="AK103" s="2"/>
      <c r="AL103" s="2"/>
      <c r="AM103" s="2"/>
      <c r="AN103" s="2"/>
      <c r="AO103" s="2"/>
      <c r="AP103" s="2"/>
      <c r="AQ103" s="2"/>
      <c r="AR103" s="2"/>
      <c r="AS103" s="2"/>
      <c r="AT103" s="2"/>
      <c r="AU103" s="456"/>
      <c r="AV103" s="456"/>
      <c r="AW103" s="456"/>
      <c r="AX103" s="456"/>
      <c r="AY103" s="717"/>
      <c r="AZ103" s="2"/>
      <c r="BA103" s="2"/>
      <c r="BB103" s="2"/>
      <c r="BC103" s="2"/>
      <c r="BD103" s="2"/>
      <c r="BE103" s="2"/>
      <c r="BF103" s="2"/>
      <c r="BG103" s="2"/>
      <c r="BH103" s="2"/>
      <c r="BI103" s="2"/>
      <c r="BJ103" s="2"/>
      <c r="BK103" s="2"/>
      <c r="BL103" s="2"/>
      <c r="BM103" s="2"/>
      <c r="BN103" s="2"/>
      <c r="BO103" s="2"/>
      <c r="BP103" s="2"/>
    </row>
    <row r="104" spans="1:98">
      <c r="A104" s="1408"/>
      <c r="B104" s="689" t="s">
        <v>62</v>
      </c>
      <c r="C104" s="690">
        <v>16473</v>
      </c>
      <c r="D104" s="690">
        <v>17491</v>
      </c>
      <c r="E104" s="690">
        <v>16405</v>
      </c>
      <c r="F104" s="690">
        <v>17141</v>
      </c>
      <c r="G104" s="690">
        <v>17224</v>
      </c>
      <c r="H104" s="690">
        <v>17260</v>
      </c>
      <c r="I104" s="690">
        <v>17899</v>
      </c>
      <c r="J104" s="690">
        <v>22946</v>
      </c>
      <c r="K104" s="690">
        <v>23935</v>
      </c>
      <c r="L104" s="690">
        <v>26569</v>
      </c>
      <c r="M104" s="690">
        <v>28114</v>
      </c>
      <c r="N104" s="690">
        <v>28261</v>
      </c>
      <c r="O104" s="690">
        <v>24900</v>
      </c>
      <c r="P104" s="695">
        <f>SUM(P99:P103)</f>
        <v>19728</v>
      </c>
      <c r="Q104" s="706">
        <f>SUM(Q99:Q103)</f>
        <v>24939</v>
      </c>
      <c r="R104" s="706">
        <f>SUM(R99:R103)</f>
        <v>25638</v>
      </c>
      <c r="AE104" s="2"/>
      <c r="AF104" s="2"/>
      <c r="AG104" s="2"/>
      <c r="AH104" s="456"/>
      <c r="AI104" s="456"/>
      <c r="AJ104" s="2"/>
      <c r="AK104" s="2"/>
      <c r="AL104" s="2"/>
      <c r="AM104" s="2"/>
      <c r="AN104" s="2"/>
      <c r="AO104" s="2"/>
      <c r="AP104" s="2"/>
      <c r="AQ104" s="716"/>
      <c r="AR104" s="716"/>
      <c r="AS104" s="716"/>
      <c r="AT104" s="716"/>
      <c r="AU104" s="716"/>
      <c r="AV104" s="716"/>
      <c r="AW104" s="716"/>
      <c r="AX104" s="716"/>
      <c r="AY104" s="718"/>
      <c r="AZ104" s="716"/>
      <c r="BA104" s="716"/>
      <c r="BB104" s="716"/>
      <c r="BC104" s="716"/>
      <c r="BD104" s="716"/>
      <c r="BE104" s="716"/>
      <c r="BF104" s="716"/>
      <c r="BG104" s="716"/>
      <c r="BH104" s="716"/>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row>
    <row r="105" spans="1:98">
      <c r="A105" s="1406" t="s">
        <v>129</v>
      </c>
      <c r="B105" s="684">
        <v>1</v>
      </c>
      <c r="C105" s="685">
        <v>18337</v>
      </c>
      <c r="D105" s="685">
        <v>19406</v>
      </c>
      <c r="E105" s="597">
        <v>19867</v>
      </c>
      <c r="F105" s="597">
        <v>21114</v>
      </c>
      <c r="G105" s="597">
        <v>21050</v>
      </c>
      <c r="H105" s="597">
        <v>19862</v>
      </c>
      <c r="I105" s="696">
        <v>17776</v>
      </c>
      <c r="J105" s="696">
        <v>18223</v>
      </c>
      <c r="K105" s="696">
        <v>18315</v>
      </c>
      <c r="L105" s="696">
        <v>18066</v>
      </c>
      <c r="M105" s="696">
        <v>17933</v>
      </c>
      <c r="N105" s="696">
        <v>18066</v>
      </c>
      <c r="O105" s="696">
        <v>18326</v>
      </c>
      <c r="P105" s="697">
        <v>17218</v>
      </c>
      <c r="Q105" s="707">
        <v>19783</v>
      </c>
      <c r="R105" s="707">
        <v>20351</v>
      </c>
      <c r="AE105" s="2"/>
      <c r="AF105" s="2"/>
      <c r="AG105" s="2"/>
      <c r="AH105" s="2"/>
      <c r="AI105" s="2"/>
      <c r="AJ105" s="2"/>
      <c r="AK105" s="2"/>
      <c r="AL105" s="2"/>
      <c r="AM105" s="2"/>
      <c r="AN105" s="2"/>
      <c r="AO105" s="2"/>
      <c r="AP105" s="2"/>
      <c r="AQ105" s="716"/>
      <c r="AR105" s="716"/>
      <c r="AS105" s="716"/>
      <c r="AT105" s="716"/>
      <c r="AU105" s="716"/>
      <c r="AV105" s="716"/>
      <c r="AW105" s="716"/>
      <c r="AX105" s="716"/>
      <c r="AY105" s="716"/>
      <c r="AZ105" s="716"/>
      <c r="BA105" s="716"/>
      <c r="BB105" s="716"/>
      <c r="BC105" s="716"/>
      <c r="BD105" s="716"/>
      <c r="BE105" s="716"/>
      <c r="BF105" s="716"/>
      <c r="BG105" s="716"/>
      <c r="BH105" s="716"/>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row>
    <row r="106" spans="1:98">
      <c r="A106" s="1407"/>
      <c r="B106" s="686" t="s">
        <v>425</v>
      </c>
      <c r="C106" s="687">
        <v>6414</v>
      </c>
      <c r="D106" s="687">
        <v>7012</v>
      </c>
      <c r="E106" s="688">
        <v>7253</v>
      </c>
      <c r="F106" s="688">
        <v>7969</v>
      </c>
      <c r="G106" s="688">
        <v>7949</v>
      </c>
      <c r="H106" s="688">
        <v>7530</v>
      </c>
      <c r="I106" s="698">
        <v>6900</v>
      </c>
      <c r="J106" s="698">
        <v>7087</v>
      </c>
      <c r="K106" s="698">
        <v>7082</v>
      </c>
      <c r="L106" s="698">
        <v>7004</v>
      </c>
      <c r="M106" s="698">
        <v>7045</v>
      </c>
      <c r="N106" s="698">
        <v>7004</v>
      </c>
      <c r="O106" s="698">
        <v>7117</v>
      </c>
      <c r="P106" s="699">
        <v>7920</v>
      </c>
      <c r="Q106" s="707">
        <v>7540</v>
      </c>
      <c r="R106" s="707">
        <v>8326</v>
      </c>
      <c r="AE106" s="2"/>
      <c r="AF106" s="2"/>
      <c r="AG106" s="2"/>
      <c r="AH106" s="2"/>
      <c r="AI106" s="2"/>
      <c r="AJ106" s="2"/>
      <c r="AK106" s="2"/>
      <c r="AL106" s="2"/>
      <c r="AM106" s="2"/>
      <c r="AN106" s="2"/>
      <c r="AO106" s="2"/>
      <c r="AP106" s="2"/>
      <c r="AQ106" s="716"/>
      <c r="AR106" s="716"/>
      <c r="AS106" s="716"/>
      <c r="AT106" s="716"/>
      <c r="AU106" s="716"/>
      <c r="AV106" s="716"/>
      <c r="AW106" s="716"/>
      <c r="AX106" s="716"/>
      <c r="AY106" s="716"/>
      <c r="AZ106" s="716"/>
      <c r="BA106" s="716"/>
      <c r="BB106" s="716"/>
      <c r="BC106" s="716"/>
      <c r="BD106" s="716"/>
      <c r="BE106" s="716"/>
      <c r="BF106" s="716"/>
      <c r="BG106" s="716"/>
      <c r="BH106" s="716"/>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row>
    <row r="107" spans="1:98">
      <c r="A107" s="1407"/>
      <c r="B107" s="686" t="s">
        <v>426</v>
      </c>
      <c r="C107" s="687">
        <v>1242</v>
      </c>
      <c r="D107" s="687">
        <v>1293</v>
      </c>
      <c r="E107" s="688">
        <v>1383</v>
      </c>
      <c r="F107" s="688">
        <v>1431</v>
      </c>
      <c r="G107" s="688">
        <v>1476</v>
      </c>
      <c r="H107" s="688">
        <v>1316</v>
      </c>
      <c r="I107" s="698">
        <v>1202</v>
      </c>
      <c r="J107" s="698">
        <v>1189</v>
      </c>
      <c r="K107" s="698">
        <v>1190</v>
      </c>
      <c r="L107" s="698">
        <v>1209</v>
      </c>
      <c r="M107" s="698">
        <v>1215</v>
      </c>
      <c r="N107" s="698">
        <v>1209</v>
      </c>
      <c r="O107" s="698">
        <v>1261</v>
      </c>
      <c r="P107" s="699">
        <v>1369</v>
      </c>
      <c r="Q107" s="707">
        <v>1362</v>
      </c>
      <c r="R107" s="707">
        <v>1433</v>
      </c>
      <c r="AE107" s="2"/>
      <c r="AF107" s="2"/>
      <c r="AG107" s="2"/>
      <c r="AH107" s="2"/>
      <c r="AI107" s="2"/>
      <c r="AJ107" s="2"/>
      <c r="AK107" s="2"/>
      <c r="AL107" s="2"/>
      <c r="AM107" s="2"/>
      <c r="AN107" s="2"/>
      <c r="AO107" s="2"/>
      <c r="AP107" s="2"/>
      <c r="AQ107" s="716"/>
      <c r="AR107" s="716"/>
      <c r="AS107" s="716"/>
      <c r="AT107" s="716"/>
      <c r="AU107" s="716"/>
      <c r="AV107" s="716"/>
      <c r="AW107" s="716"/>
      <c r="AX107" s="716"/>
      <c r="AY107" s="716"/>
      <c r="AZ107" s="716"/>
      <c r="BA107" s="716"/>
      <c r="BB107" s="716"/>
      <c r="BC107" s="716"/>
      <c r="BD107" s="716"/>
      <c r="BE107" s="716"/>
      <c r="BF107" s="716"/>
      <c r="BG107" s="716"/>
      <c r="BH107" s="716"/>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row>
    <row r="108" spans="1:98">
      <c r="A108" s="1407"/>
      <c r="B108" s="686" t="s">
        <v>427</v>
      </c>
      <c r="C108" s="687">
        <v>1342</v>
      </c>
      <c r="D108" s="687">
        <v>1509</v>
      </c>
      <c r="E108" s="688">
        <v>1548</v>
      </c>
      <c r="F108" s="688">
        <v>1677</v>
      </c>
      <c r="G108" s="688">
        <v>1677</v>
      </c>
      <c r="H108" s="688">
        <v>1503</v>
      </c>
      <c r="I108" s="698">
        <v>1352</v>
      </c>
      <c r="J108" s="698">
        <v>1416</v>
      </c>
      <c r="K108" s="698">
        <v>1398</v>
      </c>
      <c r="L108" s="698">
        <v>1364</v>
      </c>
      <c r="M108" s="698">
        <v>1264</v>
      </c>
      <c r="N108" s="698">
        <v>1364</v>
      </c>
      <c r="O108" s="698">
        <v>1312</v>
      </c>
      <c r="P108" s="699">
        <v>1465</v>
      </c>
      <c r="Q108" s="707">
        <v>1369</v>
      </c>
      <c r="R108" s="707">
        <v>1488</v>
      </c>
      <c r="AE108" s="2"/>
      <c r="AF108" s="2"/>
      <c r="AG108" s="2"/>
      <c r="AH108" s="2"/>
      <c r="AI108" s="2"/>
      <c r="AJ108" s="2"/>
      <c r="AK108" s="2"/>
      <c r="AL108" s="2"/>
      <c r="AM108" s="2"/>
      <c r="AN108" s="2"/>
      <c r="AO108" s="2"/>
      <c r="AP108" s="2"/>
      <c r="AQ108" s="716"/>
      <c r="AR108" s="716"/>
      <c r="AS108" s="716"/>
      <c r="AT108" s="716"/>
      <c r="AU108" s="716"/>
      <c r="AV108" s="716"/>
      <c r="AW108" s="716"/>
      <c r="AX108" s="716"/>
      <c r="AY108" s="716"/>
      <c r="AZ108" s="716"/>
      <c r="BA108" s="716"/>
      <c r="BB108" s="716"/>
      <c r="BC108" s="716"/>
      <c r="BD108" s="716"/>
      <c r="BE108" s="716"/>
      <c r="BF108" s="716"/>
      <c r="BG108" s="716"/>
      <c r="BH108" s="716"/>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row>
    <row r="109" spans="1:98">
      <c r="A109" s="1407"/>
      <c r="B109" s="686" t="s">
        <v>428</v>
      </c>
      <c r="C109" s="687">
        <v>529</v>
      </c>
      <c r="D109" s="687">
        <v>607</v>
      </c>
      <c r="E109" s="688">
        <v>639</v>
      </c>
      <c r="F109" s="688">
        <v>720</v>
      </c>
      <c r="G109" s="688">
        <v>708</v>
      </c>
      <c r="H109" s="688">
        <v>618</v>
      </c>
      <c r="I109" s="698">
        <v>522</v>
      </c>
      <c r="J109" s="698">
        <v>545</v>
      </c>
      <c r="K109" s="698">
        <v>547</v>
      </c>
      <c r="L109" s="698">
        <v>537</v>
      </c>
      <c r="M109" s="698">
        <v>508</v>
      </c>
      <c r="N109" s="698">
        <v>537</v>
      </c>
      <c r="O109" s="698">
        <v>516</v>
      </c>
      <c r="P109" s="699">
        <v>560</v>
      </c>
      <c r="Q109" s="707">
        <v>522</v>
      </c>
      <c r="R109" s="707">
        <v>553</v>
      </c>
      <c r="AE109" s="2"/>
      <c r="AF109" s="2"/>
      <c r="AG109" s="2"/>
      <c r="AH109" s="2"/>
      <c r="AI109" s="2"/>
      <c r="AJ109" s="2"/>
      <c r="AK109" s="2"/>
      <c r="AL109" s="2"/>
      <c r="AM109" s="2"/>
      <c r="AN109" s="2"/>
      <c r="AO109" s="2"/>
      <c r="AP109" s="2"/>
      <c r="AQ109" s="716"/>
      <c r="AR109" s="716"/>
      <c r="AS109" s="716"/>
      <c r="AT109" s="716"/>
      <c r="AU109" s="716"/>
      <c r="AV109" s="716"/>
      <c r="AW109" s="716"/>
      <c r="AX109" s="716"/>
      <c r="AY109" s="716"/>
      <c r="AZ109" s="716"/>
      <c r="BA109" s="716"/>
      <c r="BB109" s="716"/>
      <c r="BC109" s="716"/>
      <c r="BD109" s="716"/>
      <c r="BE109" s="716"/>
      <c r="BF109" s="716"/>
      <c r="BG109" s="716"/>
      <c r="BH109" s="716"/>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row>
    <row r="110" spans="1:98">
      <c r="A110" s="1408"/>
      <c r="B110" s="689" t="s">
        <v>62</v>
      </c>
      <c r="C110" s="690">
        <v>27864</v>
      </c>
      <c r="D110" s="690">
        <v>29827</v>
      </c>
      <c r="E110" s="690">
        <v>30690</v>
      </c>
      <c r="F110" s="690">
        <v>32911</v>
      </c>
      <c r="G110" s="690">
        <v>32860</v>
      </c>
      <c r="H110" s="690">
        <v>30829</v>
      </c>
      <c r="I110" s="690">
        <v>27752</v>
      </c>
      <c r="J110" s="690">
        <v>28460</v>
      </c>
      <c r="K110" s="690">
        <v>28532</v>
      </c>
      <c r="L110" s="690">
        <v>28180</v>
      </c>
      <c r="M110" s="690">
        <v>27965</v>
      </c>
      <c r="N110" s="690">
        <v>28180</v>
      </c>
      <c r="O110" s="690">
        <v>28532</v>
      </c>
      <c r="P110" s="695">
        <f>SUM(P105:P109)</f>
        <v>28532</v>
      </c>
      <c r="Q110" s="706">
        <f>SUM(Q105:Q109)</f>
        <v>30576</v>
      </c>
      <c r="R110" s="706">
        <f>SUM(R105:R109)</f>
        <v>32151</v>
      </c>
      <c r="AE110" s="2"/>
      <c r="AF110" s="2"/>
      <c r="AG110" s="2"/>
      <c r="AH110" s="2"/>
      <c r="AI110" s="2"/>
      <c r="AJ110" s="2"/>
      <c r="AK110" s="2"/>
      <c r="AL110" s="2"/>
      <c r="AM110" s="2"/>
      <c r="AN110" s="2"/>
      <c r="AO110" s="2"/>
      <c r="AP110" s="2"/>
      <c r="AQ110" s="716"/>
      <c r="AR110" s="716"/>
      <c r="AS110" s="716"/>
      <c r="AT110" s="716"/>
      <c r="AU110" s="716"/>
      <c r="AV110" s="716"/>
      <c r="AW110" s="716"/>
      <c r="AX110" s="716"/>
      <c r="AY110" s="716"/>
      <c r="AZ110" s="716"/>
      <c r="BA110" s="716"/>
      <c r="BB110" s="716"/>
      <c r="BC110" s="716"/>
      <c r="BD110" s="716"/>
      <c r="BE110" s="716"/>
      <c r="BF110" s="716"/>
      <c r="BG110" s="716"/>
      <c r="BH110" s="716"/>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row>
    <row r="111" spans="1:98">
      <c r="A111" s="1406" t="s">
        <v>146</v>
      </c>
      <c r="B111" s="684">
        <v>1</v>
      </c>
      <c r="C111" s="685">
        <v>11601</v>
      </c>
      <c r="D111" s="685">
        <v>13081</v>
      </c>
      <c r="E111" s="597">
        <v>15959</v>
      </c>
      <c r="F111" s="597">
        <v>21123</v>
      </c>
      <c r="G111" s="597">
        <v>27417</v>
      </c>
      <c r="H111" s="597">
        <v>26985</v>
      </c>
      <c r="I111" s="696">
        <v>20086</v>
      </c>
      <c r="J111" s="696">
        <v>21358</v>
      </c>
      <c r="K111" s="696">
        <v>24107</v>
      </c>
      <c r="L111" s="696">
        <v>25159</v>
      </c>
      <c r="M111" s="696">
        <v>26238</v>
      </c>
      <c r="N111" s="696">
        <v>28153</v>
      </c>
      <c r="O111" s="696">
        <v>29527</v>
      </c>
      <c r="P111" s="697">
        <v>27312</v>
      </c>
      <c r="Q111" s="707">
        <v>27449</v>
      </c>
      <c r="R111" s="707">
        <v>25436</v>
      </c>
      <c r="AE111" s="2"/>
      <c r="AF111" s="2"/>
      <c r="AG111" s="2"/>
      <c r="AH111" s="2"/>
      <c r="AI111" s="2"/>
      <c r="AJ111" s="2"/>
      <c r="AK111" s="2"/>
      <c r="AL111" s="2"/>
      <c r="AM111" s="2"/>
      <c r="AN111" s="2"/>
      <c r="AO111" s="2"/>
      <c r="AP111" s="2"/>
      <c r="AQ111" s="716"/>
      <c r="AR111" s="716"/>
      <c r="AS111" s="716"/>
      <c r="AT111" s="716"/>
      <c r="AU111" s="716"/>
      <c r="AV111" s="716"/>
      <c r="AW111" s="716"/>
      <c r="AX111" s="716"/>
      <c r="AY111" s="716"/>
      <c r="AZ111" s="716"/>
      <c r="BA111" s="716"/>
      <c r="BB111" s="716"/>
      <c r="BC111" s="716"/>
      <c r="BD111" s="716"/>
      <c r="BE111" s="716"/>
      <c r="BF111" s="716"/>
      <c r="BG111" s="716"/>
      <c r="BH111" s="716"/>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row>
    <row r="112" spans="1:98">
      <c r="A112" s="1407"/>
      <c r="B112" s="686" t="s">
        <v>425</v>
      </c>
      <c r="C112" s="687">
        <v>4764</v>
      </c>
      <c r="D112" s="687">
        <v>5740</v>
      </c>
      <c r="E112" s="688">
        <v>7483</v>
      </c>
      <c r="F112" s="688">
        <v>8530</v>
      </c>
      <c r="G112" s="688">
        <v>11074</v>
      </c>
      <c r="H112" s="688">
        <v>10966</v>
      </c>
      <c r="I112" s="698">
        <v>7619</v>
      </c>
      <c r="J112" s="698">
        <v>8099</v>
      </c>
      <c r="K112" s="698">
        <v>9290</v>
      </c>
      <c r="L112" s="698">
        <v>9701</v>
      </c>
      <c r="M112" s="698">
        <v>10179</v>
      </c>
      <c r="N112" s="698">
        <v>11095</v>
      </c>
      <c r="O112" s="698">
        <v>11945</v>
      </c>
      <c r="P112" s="699">
        <v>10851</v>
      </c>
      <c r="Q112" s="708">
        <v>10874</v>
      </c>
      <c r="R112" s="708">
        <v>10211</v>
      </c>
      <c r="S112" s="2"/>
      <c r="T112" s="2"/>
      <c r="U112" s="2"/>
      <c r="V112" s="2"/>
      <c r="W112" s="2"/>
      <c r="X112" s="2"/>
      <c r="Y112" s="2"/>
      <c r="Z112" s="2"/>
      <c r="AA112" s="2"/>
      <c r="AB112" s="681"/>
      <c r="AC112" s="2"/>
      <c r="AD112" s="2"/>
      <c r="AE112" s="2"/>
      <c r="AF112" s="2"/>
      <c r="AG112" s="2"/>
      <c r="AH112" s="2"/>
      <c r="AI112" s="2"/>
      <c r="AJ112" s="2"/>
      <c r="AK112" s="2"/>
      <c r="AL112" s="2"/>
      <c r="AM112" s="2"/>
      <c r="AN112" s="2"/>
      <c r="AO112" s="2"/>
      <c r="AP112" s="2"/>
      <c r="AQ112" s="716"/>
      <c r="AR112" s="716"/>
      <c r="AS112" s="716"/>
      <c r="AT112" s="716"/>
      <c r="AU112" s="716"/>
      <c r="AV112" s="716"/>
      <c r="AW112" s="716"/>
      <c r="AX112" s="716"/>
      <c r="AY112" s="716"/>
      <c r="AZ112" s="716"/>
      <c r="BA112" s="716"/>
      <c r="BB112" s="716"/>
      <c r="BC112" s="716"/>
      <c r="BD112" s="716"/>
      <c r="BE112" s="716"/>
      <c r="BF112" s="716"/>
      <c r="BG112" s="716"/>
      <c r="BH112" s="716"/>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row>
    <row r="113" spans="1:97">
      <c r="A113" s="1407"/>
      <c r="B113" s="686" t="s">
        <v>426</v>
      </c>
      <c r="C113" s="687">
        <v>495</v>
      </c>
      <c r="D113" s="687">
        <v>611</v>
      </c>
      <c r="E113" s="688">
        <v>881</v>
      </c>
      <c r="F113" s="688">
        <v>1002</v>
      </c>
      <c r="G113" s="688">
        <v>1303</v>
      </c>
      <c r="H113" s="688">
        <v>1197</v>
      </c>
      <c r="I113" s="698">
        <v>812</v>
      </c>
      <c r="J113" s="698">
        <v>835</v>
      </c>
      <c r="K113" s="698">
        <v>963</v>
      </c>
      <c r="L113" s="698">
        <v>955</v>
      </c>
      <c r="M113" s="698">
        <v>985</v>
      </c>
      <c r="N113" s="698">
        <v>1063</v>
      </c>
      <c r="O113" s="698">
        <v>1222</v>
      </c>
      <c r="P113" s="699">
        <v>1129</v>
      </c>
      <c r="Q113" s="708">
        <v>1167</v>
      </c>
      <c r="R113" s="708">
        <v>1098</v>
      </c>
      <c r="S113" s="2"/>
      <c r="T113" s="2"/>
      <c r="U113" s="2"/>
      <c r="V113" s="2"/>
      <c r="W113" s="2"/>
      <c r="X113" s="2"/>
      <c r="Y113" s="2"/>
      <c r="Z113" s="2"/>
      <c r="AA113" s="2"/>
      <c r="AB113" s="681"/>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row>
    <row r="114" spans="1:97">
      <c r="A114" s="1407"/>
      <c r="B114" s="686" t="s">
        <v>427</v>
      </c>
      <c r="C114" s="687">
        <v>357</v>
      </c>
      <c r="D114" s="687">
        <v>461</v>
      </c>
      <c r="E114" s="688">
        <v>592</v>
      </c>
      <c r="F114" s="688">
        <v>705</v>
      </c>
      <c r="G114" s="688">
        <v>819</v>
      </c>
      <c r="H114" s="688">
        <v>850</v>
      </c>
      <c r="I114" s="698">
        <v>600</v>
      </c>
      <c r="J114" s="698">
        <v>641</v>
      </c>
      <c r="K114" s="698">
        <v>679</v>
      </c>
      <c r="L114" s="698">
        <v>694</v>
      </c>
      <c r="M114" s="698">
        <v>723</v>
      </c>
      <c r="N114" s="698">
        <v>739</v>
      </c>
      <c r="O114" s="698">
        <v>809</v>
      </c>
      <c r="P114" s="699">
        <v>751</v>
      </c>
      <c r="Q114" s="708">
        <v>755</v>
      </c>
      <c r="R114" s="708">
        <v>763</v>
      </c>
      <c r="S114" s="2"/>
      <c r="T114" s="2"/>
      <c r="U114" s="2"/>
      <c r="V114" s="2"/>
      <c r="W114" s="2"/>
      <c r="X114" s="2"/>
      <c r="Y114" s="2"/>
      <c r="Z114" s="2"/>
      <c r="AA114" s="2"/>
      <c r="AB114" s="681"/>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row>
    <row r="115" spans="1:97">
      <c r="A115" s="1407"/>
      <c r="B115" s="686" t="s">
        <v>428</v>
      </c>
      <c r="C115" s="687">
        <v>110</v>
      </c>
      <c r="D115" s="687">
        <v>135</v>
      </c>
      <c r="E115" s="688">
        <v>195</v>
      </c>
      <c r="F115" s="688">
        <v>235</v>
      </c>
      <c r="G115" s="688">
        <v>279</v>
      </c>
      <c r="H115" s="688">
        <v>279</v>
      </c>
      <c r="I115" s="698">
        <v>224</v>
      </c>
      <c r="J115" s="698">
        <v>224</v>
      </c>
      <c r="K115" s="698">
        <v>250</v>
      </c>
      <c r="L115" s="698">
        <v>235</v>
      </c>
      <c r="M115" s="698">
        <v>239</v>
      </c>
      <c r="N115" s="698">
        <v>256</v>
      </c>
      <c r="O115" s="698">
        <v>279</v>
      </c>
      <c r="P115" s="699">
        <v>261</v>
      </c>
      <c r="Q115" s="708">
        <v>264</v>
      </c>
      <c r="R115" s="708">
        <v>250</v>
      </c>
      <c r="S115" s="2"/>
      <c r="T115" s="2"/>
      <c r="U115" s="2"/>
      <c r="V115" s="2"/>
      <c r="W115" s="2"/>
      <c r="X115" s="2"/>
      <c r="Y115" s="2"/>
      <c r="Z115" s="2"/>
      <c r="AA115" s="2"/>
      <c r="AB115" s="681"/>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row>
    <row r="116" spans="1:97">
      <c r="A116" s="1408"/>
      <c r="B116" s="689" t="s">
        <v>62</v>
      </c>
      <c r="C116" s="690">
        <v>17327</v>
      </c>
      <c r="D116" s="690">
        <v>20028</v>
      </c>
      <c r="E116" s="690">
        <v>25110</v>
      </c>
      <c r="F116" s="690">
        <v>31595</v>
      </c>
      <c r="G116" s="690">
        <v>40892</v>
      </c>
      <c r="H116" s="690">
        <v>40277</v>
      </c>
      <c r="I116" s="690">
        <v>29341</v>
      </c>
      <c r="J116" s="690">
        <v>31157</v>
      </c>
      <c r="K116" s="690">
        <v>35289</v>
      </c>
      <c r="L116" s="690">
        <v>36744</v>
      </c>
      <c r="M116" s="690">
        <v>38364</v>
      </c>
      <c r="N116" s="690">
        <v>41306</v>
      </c>
      <c r="O116" s="690">
        <v>43782</v>
      </c>
      <c r="P116" s="695">
        <f>SUM(P111:P115)</f>
        <v>40304</v>
      </c>
      <c r="Q116" s="706">
        <f>SUM(Q111:Q115)</f>
        <v>40509</v>
      </c>
      <c r="R116" s="706">
        <f>SUM(R111:R115)</f>
        <v>37758</v>
      </c>
      <c r="S116" s="2"/>
      <c r="T116" s="2"/>
      <c r="U116" s="2"/>
      <c r="V116" s="2"/>
      <c r="W116" s="2"/>
      <c r="X116" s="2"/>
      <c r="Y116" s="2"/>
      <c r="Z116" s="2"/>
      <c r="AA116" s="2"/>
      <c r="AB116" s="681"/>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row>
    <row r="117" spans="1:97">
      <c r="A117" s="1406" t="s">
        <v>156</v>
      </c>
      <c r="B117" s="684">
        <v>1</v>
      </c>
      <c r="C117" s="685"/>
      <c r="D117" s="691">
        <v>24194</v>
      </c>
      <c r="E117" s="16">
        <v>30086</v>
      </c>
      <c r="F117" s="597">
        <v>35799</v>
      </c>
      <c r="G117" s="16">
        <v>36153</v>
      </c>
      <c r="H117" s="597">
        <v>38371</v>
      </c>
      <c r="I117" s="696">
        <v>50644</v>
      </c>
      <c r="J117" s="696">
        <v>55914</v>
      </c>
      <c r="K117" s="700">
        <v>58928</v>
      </c>
      <c r="L117" s="700">
        <v>61677</v>
      </c>
      <c r="M117" s="700">
        <v>60190</v>
      </c>
      <c r="N117" s="700">
        <v>64822</v>
      </c>
      <c r="O117" s="701">
        <v>89190</v>
      </c>
      <c r="P117" s="701">
        <v>98525</v>
      </c>
      <c r="Q117" s="708">
        <v>111475</v>
      </c>
      <c r="R117" s="708">
        <v>131888</v>
      </c>
      <c r="S117" s="2"/>
      <c r="T117" s="2"/>
      <c r="U117" s="2"/>
      <c r="V117" s="2"/>
      <c r="W117" s="2"/>
      <c r="X117" s="2"/>
      <c r="Y117" s="2"/>
      <c r="Z117" s="2"/>
      <c r="AA117" s="2"/>
      <c r="AB117" s="681"/>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row>
    <row r="118" spans="1:97">
      <c r="A118" s="1407"/>
      <c r="B118" s="686" t="s">
        <v>425</v>
      </c>
      <c r="C118" s="687"/>
      <c r="D118" s="687">
        <v>8056</v>
      </c>
      <c r="E118" s="688">
        <v>11042</v>
      </c>
      <c r="F118" s="688">
        <v>14310</v>
      </c>
      <c r="G118" s="688">
        <v>14502</v>
      </c>
      <c r="H118" s="688">
        <v>16036</v>
      </c>
      <c r="I118" s="698">
        <v>24105</v>
      </c>
      <c r="J118" s="698">
        <v>27161</v>
      </c>
      <c r="K118" s="702">
        <v>27317</v>
      </c>
      <c r="L118" s="702">
        <v>28988</v>
      </c>
      <c r="M118" s="702">
        <v>26733</v>
      </c>
      <c r="N118" s="702">
        <v>30760</v>
      </c>
      <c r="O118" s="703">
        <v>42930</v>
      </c>
      <c r="P118" s="703">
        <v>49990</v>
      </c>
      <c r="Q118" s="708">
        <v>60703</v>
      </c>
      <c r="R118" s="708">
        <v>78508</v>
      </c>
      <c r="S118" s="2"/>
      <c r="T118" s="2"/>
      <c r="U118" s="2"/>
      <c r="V118" s="2"/>
      <c r="W118" s="2"/>
      <c r="X118" s="2"/>
      <c r="Y118" s="2"/>
      <c r="Z118" s="2"/>
      <c r="AA118" s="2"/>
      <c r="AB118" s="681"/>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716"/>
      <c r="BX118" s="716"/>
      <c r="BY118" s="716"/>
      <c r="BZ118" s="716"/>
      <c r="CA118" s="716"/>
      <c r="CB118" s="716"/>
      <c r="CC118" s="2"/>
      <c r="CD118" s="2"/>
      <c r="CE118" s="2"/>
      <c r="CF118" s="2"/>
      <c r="CG118" s="2"/>
      <c r="CH118" s="2"/>
      <c r="CI118" s="2"/>
      <c r="CJ118" s="2"/>
      <c r="CK118" s="2"/>
      <c r="CL118" s="2"/>
      <c r="CM118" s="2"/>
      <c r="CN118" s="2"/>
      <c r="CO118" s="2"/>
      <c r="CP118" s="2"/>
      <c r="CQ118" s="716"/>
      <c r="CR118" s="716"/>
      <c r="CS118" s="2"/>
    </row>
    <row r="119" spans="1:97">
      <c r="A119" s="1407"/>
      <c r="B119" s="686" t="s">
        <v>426</v>
      </c>
      <c r="C119" s="687"/>
      <c r="D119" s="687">
        <v>1147</v>
      </c>
      <c r="E119" s="688">
        <v>1545</v>
      </c>
      <c r="F119" s="688">
        <v>2014</v>
      </c>
      <c r="G119" s="688">
        <v>2072</v>
      </c>
      <c r="H119" s="688">
        <v>2377</v>
      </c>
      <c r="I119" s="698">
        <v>3843</v>
      </c>
      <c r="J119" s="698">
        <v>4382</v>
      </c>
      <c r="K119" s="702">
        <v>4301</v>
      </c>
      <c r="L119" s="702">
        <v>4671</v>
      </c>
      <c r="M119" s="702">
        <v>4280</v>
      </c>
      <c r="N119" s="702">
        <v>5336</v>
      </c>
      <c r="O119" s="703">
        <v>6885</v>
      </c>
      <c r="P119" s="703">
        <v>7413</v>
      </c>
      <c r="Q119" s="708">
        <v>9889</v>
      </c>
      <c r="R119" s="708">
        <v>12812</v>
      </c>
      <c r="S119" s="2"/>
      <c r="T119" s="2"/>
      <c r="U119" s="2"/>
      <c r="V119" s="2"/>
      <c r="W119" s="2"/>
      <c r="X119" s="2"/>
      <c r="Y119" s="2"/>
      <c r="Z119" s="2"/>
      <c r="AA119" s="2"/>
      <c r="AB119" s="681"/>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716"/>
      <c r="BX119" s="716"/>
      <c r="BY119" s="716"/>
      <c r="BZ119" s="716"/>
      <c r="CA119" s="716"/>
      <c r="CB119" s="716"/>
      <c r="CC119" s="2"/>
      <c r="CD119" s="2"/>
      <c r="CE119" s="2"/>
      <c r="CF119" s="2"/>
      <c r="CG119" s="2"/>
      <c r="CH119" s="2"/>
      <c r="CI119" s="2"/>
      <c r="CJ119" s="2"/>
      <c r="CK119" s="2"/>
      <c r="CL119" s="2"/>
      <c r="CM119" s="2"/>
      <c r="CN119" s="2"/>
      <c r="CO119" s="2"/>
      <c r="CP119" s="2"/>
      <c r="CQ119" s="716"/>
      <c r="CR119" s="716"/>
      <c r="CS119" s="2"/>
    </row>
    <row r="120" spans="1:97">
      <c r="A120" s="1407"/>
      <c r="B120" s="686" t="s">
        <v>427</v>
      </c>
      <c r="C120" s="687"/>
      <c r="D120" s="687">
        <v>1064</v>
      </c>
      <c r="E120" s="688">
        <v>1349</v>
      </c>
      <c r="F120" s="688">
        <v>1772</v>
      </c>
      <c r="G120" s="688">
        <v>1789</v>
      </c>
      <c r="H120" s="688">
        <v>1989</v>
      </c>
      <c r="I120" s="698">
        <v>3040</v>
      </c>
      <c r="J120" s="698">
        <v>3513</v>
      </c>
      <c r="K120" s="702">
        <v>3316</v>
      </c>
      <c r="L120" s="702">
        <v>3446</v>
      </c>
      <c r="M120" s="702">
        <v>3334</v>
      </c>
      <c r="N120" s="702">
        <v>4010</v>
      </c>
      <c r="O120" s="703">
        <v>5182</v>
      </c>
      <c r="P120" s="703">
        <v>5989</v>
      </c>
      <c r="Q120" s="708">
        <v>7746</v>
      </c>
      <c r="R120" s="708">
        <v>9302</v>
      </c>
      <c r="S120" s="2"/>
      <c r="T120" s="2"/>
      <c r="U120" s="2"/>
      <c r="V120" s="2"/>
      <c r="W120" s="2"/>
      <c r="X120" s="2"/>
      <c r="Y120" s="2"/>
      <c r="Z120" s="2"/>
      <c r="AA120" s="2"/>
      <c r="AB120" s="681"/>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716"/>
      <c r="BX120" s="716"/>
      <c r="BY120" s="716"/>
      <c r="BZ120" s="716"/>
      <c r="CA120" s="716"/>
      <c r="CB120" s="716"/>
      <c r="CC120" s="2"/>
      <c r="CD120" s="2"/>
      <c r="CE120" s="2"/>
      <c r="CF120" s="2"/>
      <c r="CG120" s="2"/>
      <c r="CH120" s="2"/>
      <c r="CI120" s="2"/>
      <c r="CJ120" s="2"/>
      <c r="CK120" s="2"/>
      <c r="CL120" s="2"/>
      <c r="CM120" s="2"/>
      <c r="CN120" s="2"/>
      <c r="CO120" s="2"/>
      <c r="CP120" s="2"/>
      <c r="CQ120" s="716"/>
      <c r="CR120" s="716"/>
      <c r="CS120" s="2"/>
    </row>
    <row r="121" spans="1:97">
      <c r="A121" s="1407"/>
      <c r="B121" s="686" t="s">
        <v>428</v>
      </c>
      <c r="C121" s="687"/>
      <c r="D121" s="687">
        <v>291</v>
      </c>
      <c r="E121" s="688">
        <v>412</v>
      </c>
      <c r="F121" s="688">
        <v>507</v>
      </c>
      <c r="G121" s="688">
        <v>477</v>
      </c>
      <c r="H121" s="688">
        <v>533</v>
      </c>
      <c r="I121" s="698">
        <v>783</v>
      </c>
      <c r="J121" s="698">
        <v>891</v>
      </c>
      <c r="K121" s="702">
        <v>954</v>
      </c>
      <c r="L121" s="702">
        <v>941</v>
      </c>
      <c r="M121" s="702">
        <v>1046</v>
      </c>
      <c r="N121" s="702">
        <v>1177</v>
      </c>
      <c r="O121" s="703">
        <v>1456</v>
      </c>
      <c r="P121" s="703">
        <v>1692</v>
      </c>
      <c r="Q121" s="708">
        <v>1921</v>
      </c>
      <c r="R121" s="708">
        <v>1917</v>
      </c>
      <c r="S121" s="2"/>
      <c r="T121" s="2"/>
      <c r="U121" s="2"/>
      <c r="V121" s="2"/>
      <c r="W121" s="2"/>
      <c r="X121" s="2"/>
      <c r="Y121" s="2"/>
      <c r="Z121" s="2"/>
      <c r="AA121" s="2"/>
      <c r="AB121" s="681"/>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716"/>
      <c r="BX121" s="716"/>
      <c r="BY121" s="716"/>
      <c r="BZ121" s="716"/>
      <c r="CA121" s="716"/>
      <c r="CB121" s="716"/>
      <c r="CC121" s="2"/>
      <c r="CD121" s="2"/>
      <c r="CE121" s="2"/>
      <c r="CF121" s="2"/>
      <c r="CG121" s="2"/>
      <c r="CH121" s="2"/>
      <c r="CI121" s="2"/>
      <c r="CJ121" s="2"/>
      <c r="CK121" s="2"/>
      <c r="CL121" s="2"/>
      <c r="CM121" s="2"/>
      <c r="CN121" s="2"/>
      <c r="CO121" s="2"/>
      <c r="CP121" s="2"/>
      <c r="CQ121" s="716"/>
      <c r="CR121" s="716"/>
      <c r="CS121" s="2"/>
    </row>
    <row r="122" spans="1:97">
      <c r="A122" s="1408"/>
      <c r="B122" s="689" t="s">
        <v>62</v>
      </c>
      <c r="C122" s="690">
        <v>0</v>
      </c>
      <c r="D122" s="690">
        <v>34752</v>
      </c>
      <c r="E122" s="690">
        <v>44434</v>
      </c>
      <c r="F122" s="690">
        <v>54402</v>
      </c>
      <c r="G122" s="690">
        <v>54993</v>
      </c>
      <c r="H122" s="690">
        <v>59306</v>
      </c>
      <c r="I122" s="690">
        <v>82415</v>
      </c>
      <c r="J122" s="690">
        <v>91861</v>
      </c>
      <c r="K122" s="690">
        <v>94816</v>
      </c>
      <c r="L122" s="22">
        <v>99723</v>
      </c>
      <c r="M122" s="22">
        <v>95583</v>
      </c>
      <c r="N122" s="22">
        <v>106105</v>
      </c>
      <c r="O122" s="44">
        <v>145643</v>
      </c>
      <c r="P122" s="44">
        <f>SUM(P117:P121)</f>
        <v>163609</v>
      </c>
      <c r="Q122" s="709">
        <f>SUM(Q117:Q121)</f>
        <v>191734</v>
      </c>
      <c r="R122" s="709">
        <f>SUM(R117:R121)</f>
        <v>234427</v>
      </c>
      <c r="S122" s="2"/>
      <c r="T122" s="2"/>
      <c r="U122" s="2"/>
      <c r="V122" s="2"/>
      <c r="W122" s="2"/>
      <c r="X122" s="2"/>
      <c r="Y122" s="2"/>
      <c r="Z122" s="2"/>
      <c r="AA122" s="2"/>
      <c r="AB122" s="681"/>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716"/>
      <c r="BX122" s="716"/>
      <c r="BY122" s="716"/>
      <c r="BZ122" s="716"/>
      <c r="CA122" s="716"/>
      <c r="CB122" s="716"/>
      <c r="CC122" s="2"/>
      <c r="CD122" s="2"/>
      <c r="CE122" s="2"/>
      <c r="CF122" s="2"/>
      <c r="CG122" s="2"/>
      <c r="CH122" s="2"/>
      <c r="CI122" s="2"/>
      <c r="CJ122" s="2"/>
      <c r="CK122" s="2"/>
      <c r="CL122" s="2"/>
      <c r="CM122" s="2"/>
      <c r="CN122" s="2"/>
      <c r="CO122" s="2"/>
      <c r="CP122" s="2"/>
      <c r="CQ122" s="716"/>
      <c r="CR122" s="716"/>
      <c r="CS122" s="2"/>
    </row>
    <row r="123" spans="1:97">
      <c r="A123" s="1406" t="s">
        <v>170</v>
      </c>
      <c r="B123" s="684">
        <v>1</v>
      </c>
      <c r="C123" s="691">
        <v>14995</v>
      </c>
      <c r="D123" s="685">
        <v>17650</v>
      </c>
      <c r="E123" s="16">
        <v>30686</v>
      </c>
      <c r="F123" s="597">
        <v>33594</v>
      </c>
      <c r="G123" s="16">
        <v>36468</v>
      </c>
      <c r="H123" s="597">
        <v>38195</v>
      </c>
      <c r="I123" s="696">
        <v>37864</v>
      </c>
      <c r="J123" s="696">
        <v>38339</v>
      </c>
      <c r="K123" s="700">
        <v>39873</v>
      </c>
      <c r="L123" s="700">
        <v>40370</v>
      </c>
      <c r="M123" s="700">
        <v>44633</v>
      </c>
      <c r="N123" s="700">
        <v>45579</v>
      </c>
      <c r="O123" s="700">
        <v>45001</v>
      </c>
      <c r="P123" s="701">
        <v>45342</v>
      </c>
      <c r="Q123" s="708">
        <v>40497</v>
      </c>
      <c r="R123" s="708">
        <v>50873</v>
      </c>
      <c r="S123" s="2"/>
      <c r="T123" s="2"/>
      <c r="U123" s="2"/>
      <c r="V123" s="2"/>
      <c r="W123" s="2"/>
      <c r="X123" s="2"/>
      <c r="Y123" s="2"/>
      <c r="Z123" s="2"/>
      <c r="AA123" s="2"/>
      <c r="AB123" s="681"/>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716"/>
      <c r="BX123" s="716"/>
      <c r="BY123" s="716"/>
      <c r="BZ123" s="716"/>
      <c r="CA123" s="716"/>
      <c r="CB123" s="716"/>
      <c r="CC123" s="2"/>
      <c r="CD123" s="2"/>
      <c r="CE123" s="2"/>
      <c r="CF123" s="2"/>
      <c r="CG123" s="2"/>
      <c r="CH123" s="2"/>
      <c r="CI123" s="2"/>
      <c r="CJ123" s="2"/>
      <c r="CK123" s="2"/>
      <c r="CL123" s="2"/>
      <c r="CM123" s="2"/>
      <c r="CN123" s="2"/>
      <c r="CO123" s="2"/>
      <c r="CP123" s="2"/>
      <c r="CQ123" s="716"/>
      <c r="CR123" s="716"/>
      <c r="CS123" s="2"/>
    </row>
    <row r="124" spans="1:97">
      <c r="A124" s="1407"/>
      <c r="B124" s="686" t="s">
        <v>425</v>
      </c>
      <c r="C124" s="687">
        <v>6449</v>
      </c>
      <c r="D124" s="687">
        <v>8181</v>
      </c>
      <c r="E124" s="688">
        <v>9517</v>
      </c>
      <c r="F124" s="688">
        <v>10694</v>
      </c>
      <c r="G124" s="688">
        <v>11755</v>
      </c>
      <c r="H124" s="688">
        <v>12327</v>
      </c>
      <c r="I124" s="698">
        <v>12148</v>
      </c>
      <c r="J124" s="698">
        <v>12385</v>
      </c>
      <c r="K124" s="702">
        <v>13419</v>
      </c>
      <c r="L124" s="702">
        <v>12966</v>
      </c>
      <c r="M124" s="702">
        <v>14704</v>
      </c>
      <c r="N124" s="702">
        <v>14595</v>
      </c>
      <c r="O124" s="702">
        <v>14571</v>
      </c>
      <c r="P124" s="703">
        <v>13960</v>
      </c>
      <c r="Q124" s="708">
        <v>13928</v>
      </c>
      <c r="R124" s="708">
        <v>19243</v>
      </c>
      <c r="S124" s="2"/>
      <c r="T124" s="2"/>
      <c r="U124" s="2"/>
      <c r="V124" s="2"/>
      <c r="W124" s="2"/>
      <c r="X124" s="2"/>
      <c r="Y124" s="2"/>
      <c r="Z124" s="2"/>
      <c r="AA124" s="2"/>
      <c r="AB124" s="681"/>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row>
    <row r="125" spans="1:97">
      <c r="A125" s="1407"/>
      <c r="B125" s="686" t="s">
        <v>426</v>
      </c>
      <c r="C125" s="687">
        <v>1182</v>
      </c>
      <c r="D125" s="687">
        <v>1470</v>
      </c>
      <c r="E125" s="688">
        <v>1589</v>
      </c>
      <c r="F125" s="688">
        <v>1772</v>
      </c>
      <c r="G125" s="688">
        <v>1931</v>
      </c>
      <c r="H125" s="688">
        <v>1996</v>
      </c>
      <c r="I125" s="698">
        <v>2137</v>
      </c>
      <c r="J125" s="698">
        <v>2096</v>
      </c>
      <c r="K125" s="702">
        <v>2259</v>
      </c>
      <c r="L125" s="702">
        <v>2172</v>
      </c>
      <c r="M125" s="702">
        <v>2453</v>
      </c>
      <c r="N125" s="702">
        <v>2538</v>
      </c>
      <c r="O125" s="702">
        <v>2323</v>
      </c>
      <c r="P125" s="703">
        <v>2340</v>
      </c>
      <c r="Q125" s="708">
        <v>2438</v>
      </c>
      <c r="R125" s="708">
        <v>2943</v>
      </c>
      <c r="S125" s="2"/>
      <c r="T125" s="2"/>
      <c r="U125" s="2"/>
      <c r="V125" s="2"/>
      <c r="W125" s="2"/>
      <c r="X125" s="2"/>
      <c r="Y125" s="2"/>
      <c r="Z125" s="2"/>
      <c r="AA125" s="2"/>
      <c r="AB125" s="681"/>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row>
    <row r="126" spans="1:97">
      <c r="A126" s="1407"/>
      <c r="B126" s="686" t="s">
        <v>427</v>
      </c>
      <c r="C126" s="687">
        <v>1190</v>
      </c>
      <c r="D126" s="687">
        <v>1527</v>
      </c>
      <c r="E126" s="688">
        <v>1584</v>
      </c>
      <c r="F126" s="688">
        <v>1724</v>
      </c>
      <c r="G126" s="688">
        <v>1865</v>
      </c>
      <c r="H126" s="688">
        <v>2032</v>
      </c>
      <c r="I126" s="698">
        <v>2009</v>
      </c>
      <c r="J126" s="698">
        <v>2063</v>
      </c>
      <c r="K126" s="702">
        <v>2166</v>
      </c>
      <c r="L126" s="702">
        <v>2146</v>
      </c>
      <c r="M126" s="702">
        <v>2406</v>
      </c>
      <c r="N126" s="702">
        <v>2398</v>
      </c>
      <c r="O126" s="702">
        <v>2287</v>
      </c>
      <c r="P126" s="703">
        <v>2276</v>
      </c>
      <c r="Q126" s="708">
        <v>2306</v>
      </c>
      <c r="R126" s="708">
        <v>2725</v>
      </c>
      <c r="S126" s="2"/>
      <c r="T126" s="2"/>
      <c r="U126" s="2"/>
      <c r="V126" s="2"/>
      <c r="W126" s="2"/>
      <c r="X126" s="2"/>
      <c r="Y126" s="2"/>
      <c r="Z126" s="2"/>
      <c r="AA126" s="2"/>
      <c r="AB126" s="681"/>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row>
    <row r="127" spans="1:97">
      <c r="A127" s="1407"/>
      <c r="B127" s="686" t="s">
        <v>428</v>
      </c>
      <c r="C127" s="687">
        <v>378</v>
      </c>
      <c r="D127" s="687">
        <v>498</v>
      </c>
      <c r="E127" s="688">
        <v>505</v>
      </c>
      <c r="F127" s="688">
        <v>584</v>
      </c>
      <c r="G127" s="688">
        <v>634</v>
      </c>
      <c r="H127" s="688">
        <v>690</v>
      </c>
      <c r="I127" s="698">
        <v>688</v>
      </c>
      <c r="J127" s="698">
        <v>691</v>
      </c>
      <c r="K127" s="702">
        <v>750</v>
      </c>
      <c r="L127" s="702">
        <v>714</v>
      </c>
      <c r="M127" s="702">
        <v>820</v>
      </c>
      <c r="N127" s="702">
        <v>793</v>
      </c>
      <c r="O127" s="702">
        <v>739</v>
      </c>
      <c r="P127" s="703">
        <v>733</v>
      </c>
      <c r="Q127" s="708">
        <v>742</v>
      </c>
      <c r="R127" s="708">
        <v>829</v>
      </c>
      <c r="S127" s="2"/>
      <c r="T127" s="2"/>
      <c r="U127" s="2"/>
      <c r="V127" s="2"/>
      <c r="W127" s="2"/>
      <c r="X127" s="2"/>
      <c r="Y127" s="2"/>
      <c r="Z127" s="2"/>
      <c r="AA127" s="2"/>
      <c r="AB127" s="681"/>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row>
    <row r="128" spans="1:97">
      <c r="A128" s="1408"/>
      <c r="B128" s="689" t="s">
        <v>62</v>
      </c>
      <c r="C128" s="690">
        <v>24194</v>
      </c>
      <c r="D128" s="690">
        <v>29326</v>
      </c>
      <c r="E128" s="690">
        <v>43881</v>
      </c>
      <c r="F128" s="690">
        <v>48368</v>
      </c>
      <c r="G128" s="690">
        <v>52653</v>
      </c>
      <c r="H128" s="690">
        <v>55240</v>
      </c>
      <c r="I128" s="690">
        <v>54846</v>
      </c>
      <c r="J128" s="690">
        <v>55574</v>
      </c>
      <c r="K128" s="690">
        <v>58467</v>
      </c>
      <c r="L128" s="22">
        <v>58368</v>
      </c>
      <c r="M128" s="22">
        <v>65016</v>
      </c>
      <c r="N128" s="22">
        <v>65903</v>
      </c>
      <c r="O128" s="22">
        <v>64921</v>
      </c>
      <c r="P128" s="44">
        <f>SUM(P123:P127)</f>
        <v>64651</v>
      </c>
      <c r="Q128" s="709">
        <f>SUM(Q123:Q127)</f>
        <v>59911</v>
      </c>
      <c r="R128" s="709">
        <f>SUM(R123:R127)</f>
        <v>76613</v>
      </c>
      <c r="S128" s="2"/>
      <c r="T128" s="2"/>
      <c r="U128" s="2"/>
      <c r="V128" s="2"/>
      <c r="W128" s="2"/>
      <c r="X128" s="2"/>
      <c r="Y128" s="2"/>
      <c r="Z128" s="2"/>
      <c r="AA128" s="2"/>
      <c r="AB128" s="681"/>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row>
    <row r="129" spans="1:109">
      <c r="A129" s="2"/>
      <c r="B129" s="2"/>
      <c r="C129" s="2"/>
      <c r="D129" s="2"/>
      <c r="E129" s="2"/>
      <c r="F129" s="2"/>
      <c r="G129" s="2"/>
      <c r="H129" s="2"/>
      <c r="I129" s="2"/>
      <c r="J129" s="2"/>
      <c r="K129" s="2"/>
      <c r="L129" s="2"/>
      <c r="M129" s="2"/>
      <c r="N129" s="2"/>
      <c r="O129" s="2"/>
      <c r="P129" s="2"/>
      <c r="Q129" s="730"/>
      <c r="R129" s="730"/>
      <c r="S129" s="2"/>
      <c r="T129" s="2"/>
      <c r="U129" s="2"/>
      <c r="V129" s="2"/>
      <c r="W129" s="2"/>
      <c r="X129" s="2"/>
      <c r="Y129" s="2"/>
      <c r="Z129" s="2"/>
      <c r="AA129" s="2"/>
      <c r="AB129" s="681"/>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row>
    <row r="130" spans="1:109">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681"/>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row>
    <row r="131" spans="1:109">
      <c r="A131" s="553" t="s">
        <v>94</v>
      </c>
      <c r="B131" s="74" t="s">
        <v>424</v>
      </c>
      <c r="C131" s="683">
        <v>2009</v>
      </c>
      <c r="D131" s="683">
        <v>2010</v>
      </c>
      <c r="E131" s="683">
        <v>2011</v>
      </c>
      <c r="F131" s="683">
        <v>2012</v>
      </c>
      <c r="G131" s="683">
        <v>2013</v>
      </c>
      <c r="H131" s="683">
        <v>2014</v>
      </c>
      <c r="I131" s="683">
        <v>2015</v>
      </c>
      <c r="J131" s="683">
        <v>2016</v>
      </c>
      <c r="K131" s="683">
        <v>2017</v>
      </c>
      <c r="L131" s="683">
        <v>2018</v>
      </c>
      <c r="M131" s="683">
        <v>2019</v>
      </c>
      <c r="N131" s="683">
        <v>2020</v>
      </c>
      <c r="O131" s="683">
        <v>2021</v>
      </c>
      <c r="P131" s="683">
        <v>2022</v>
      </c>
      <c r="Q131" s="683">
        <v>2023</v>
      </c>
      <c r="R131" s="683">
        <v>2024</v>
      </c>
      <c r="S131" s="2"/>
      <c r="T131" s="2"/>
      <c r="U131" s="2"/>
      <c r="V131" s="2"/>
      <c r="W131" s="2"/>
      <c r="X131" s="2"/>
      <c r="Y131" s="2"/>
      <c r="Z131" s="2"/>
      <c r="AA131" s="2"/>
      <c r="AB131" s="681"/>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row>
    <row r="132" spans="1:109">
      <c r="A132" s="1406" t="s">
        <v>186</v>
      </c>
      <c r="B132" s="684">
        <v>1</v>
      </c>
      <c r="C132" s="719">
        <f t="shared" ref="C132:N132" si="154">C99/C$104</f>
        <v>0.69799065136890703</v>
      </c>
      <c r="D132" s="719">
        <f t="shared" si="154"/>
        <v>0.688182493853982</v>
      </c>
      <c r="E132" s="720">
        <f t="shared" si="154"/>
        <v>0.71301432490094496</v>
      </c>
      <c r="F132" s="720">
        <f t="shared" si="154"/>
        <v>0.70526807070765996</v>
      </c>
      <c r="G132" s="720">
        <f t="shared" si="154"/>
        <v>0.70587552252670704</v>
      </c>
      <c r="H132" s="720">
        <f t="shared" si="154"/>
        <v>0.70695249130938598</v>
      </c>
      <c r="I132" s="729">
        <f t="shared" si="154"/>
        <v>0.70467623889602804</v>
      </c>
      <c r="J132" s="729">
        <f t="shared" si="154"/>
        <v>0.69554606467358104</v>
      </c>
      <c r="K132" s="729">
        <f t="shared" si="154"/>
        <v>0.69843325673699597</v>
      </c>
      <c r="L132" s="729">
        <f t="shared" si="154"/>
        <v>0.68632616959614601</v>
      </c>
      <c r="M132" s="729">
        <f t="shared" si="154"/>
        <v>0.69061677456071702</v>
      </c>
      <c r="N132" s="720">
        <f t="shared" si="154"/>
        <v>0.68932451080995005</v>
      </c>
      <c r="O132" s="720">
        <f t="shared" ref="O132:P136" si="155">O99/O$104</f>
        <v>0.70144578313253003</v>
      </c>
      <c r="P132" s="720">
        <f t="shared" si="155"/>
        <v>0.70818126520681302</v>
      </c>
      <c r="Q132" s="720">
        <f t="shared" ref="Q132:R132" si="156">Q99/Q$104</f>
        <v>0.70279481935923604</v>
      </c>
      <c r="R132" s="720">
        <f t="shared" si="156"/>
        <v>0.69190264451205197</v>
      </c>
      <c r="S132" s="2"/>
      <c r="T132" s="2"/>
      <c r="U132" s="2"/>
      <c r="V132" s="2"/>
      <c r="W132" s="2"/>
      <c r="X132" s="2"/>
      <c r="Y132" s="2"/>
      <c r="Z132" s="2"/>
      <c r="AA132" s="2"/>
      <c r="AB132" s="681"/>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row>
    <row r="133" spans="1:109">
      <c r="A133" s="1407"/>
      <c r="B133" s="686" t="s">
        <v>425</v>
      </c>
      <c r="C133" s="721">
        <f t="shared" ref="C133:N133" si="157">C100/C$104</f>
        <v>0.22722029988466</v>
      </c>
      <c r="D133" s="721">
        <f t="shared" si="157"/>
        <v>0.23114744725858999</v>
      </c>
      <c r="E133" s="722">
        <f t="shared" si="157"/>
        <v>0.21280097531240499</v>
      </c>
      <c r="F133" s="722">
        <f t="shared" si="157"/>
        <v>0.219648795286156</v>
      </c>
      <c r="G133" s="722">
        <f t="shared" si="157"/>
        <v>0.21632605666511801</v>
      </c>
      <c r="H133" s="722">
        <f t="shared" si="157"/>
        <v>0.217902665121669</v>
      </c>
      <c r="I133" s="725">
        <f t="shared" si="157"/>
        <v>0.219788815017599</v>
      </c>
      <c r="J133" s="725">
        <f t="shared" si="157"/>
        <v>0.22653185740434101</v>
      </c>
      <c r="K133" s="725">
        <f t="shared" si="157"/>
        <v>0.22410695634008801</v>
      </c>
      <c r="L133" s="725">
        <f t="shared" si="157"/>
        <v>0.231698596108246</v>
      </c>
      <c r="M133" s="725">
        <f t="shared" si="157"/>
        <v>0.228071423490076</v>
      </c>
      <c r="N133" s="722">
        <f t="shared" si="157"/>
        <v>0.229326633877074</v>
      </c>
      <c r="O133" s="722">
        <f t="shared" si="155"/>
        <v>0.22112449799196801</v>
      </c>
      <c r="P133" s="722">
        <f t="shared" si="155"/>
        <v>0.215581914030819</v>
      </c>
      <c r="Q133" s="722">
        <f t="shared" ref="Q133:R133" si="158">Q100/Q$104</f>
        <v>0.22121977625406</v>
      </c>
      <c r="R133" s="722">
        <f t="shared" si="158"/>
        <v>0.229659099773773</v>
      </c>
      <c r="S133" s="2"/>
      <c r="T133" s="2"/>
      <c r="U133" s="2"/>
      <c r="V133" s="2"/>
      <c r="W133" s="2"/>
      <c r="X133" s="2"/>
      <c r="Y133" s="2"/>
      <c r="Z133" s="2"/>
      <c r="AA133" s="2"/>
      <c r="AB133" s="681"/>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row>
    <row r="134" spans="1:109">
      <c r="A134" s="1407"/>
      <c r="B134" s="686" t="s">
        <v>426</v>
      </c>
      <c r="C134" s="721">
        <f t="shared" ref="C134:N134" si="159">C101/C$104</f>
        <v>3.5998300248892098E-2</v>
      </c>
      <c r="D134" s="721">
        <f t="shared" si="159"/>
        <v>3.7676519352810002E-2</v>
      </c>
      <c r="E134" s="722">
        <f t="shared" si="159"/>
        <v>3.2794879609874997E-2</v>
      </c>
      <c r="F134" s="722">
        <f t="shared" si="159"/>
        <v>3.4187036929000603E-2</v>
      </c>
      <c r="G134" s="722">
        <f t="shared" si="159"/>
        <v>3.5589874593590302E-2</v>
      </c>
      <c r="H134" s="722">
        <f t="shared" si="159"/>
        <v>3.2502896871378903E-2</v>
      </c>
      <c r="I134" s="725">
        <f t="shared" si="159"/>
        <v>3.3633163863902998E-2</v>
      </c>
      <c r="J134" s="725">
        <f t="shared" si="159"/>
        <v>3.4602980911705702E-2</v>
      </c>
      <c r="K134" s="725">
        <f t="shared" si="159"/>
        <v>3.3758094840192203E-2</v>
      </c>
      <c r="L134" s="725">
        <f t="shared" si="159"/>
        <v>3.63205239188528E-2</v>
      </c>
      <c r="M134" s="725">
        <f t="shared" si="159"/>
        <v>3.54271893007043E-2</v>
      </c>
      <c r="N134" s="722">
        <f t="shared" si="159"/>
        <v>3.67290612504865E-2</v>
      </c>
      <c r="O134" s="722">
        <f t="shared" si="155"/>
        <v>3.3815261044176703E-2</v>
      </c>
      <c r="P134" s="722">
        <f t="shared" si="155"/>
        <v>3.2897404703974002E-2</v>
      </c>
      <c r="Q134" s="722">
        <f t="shared" ref="Q134:R134" si="160">Q101/Q$104</f>
        <v>3.2920325594450503E-2</v>
      </c>
      <c r="R134" s="722">
        <f t="shared" si="160"/>
        <v>3.5455183711678002E-2</v>
      </c>
      <c r="S134" s="2"/>
      <c r="T134" s="2"/>
      <c r="U134" s="2"/>
      <c r="V134" s="2"/>
      <c r="W134" s="2"/>
      <c r="X134" s="2"/>
      <c r="Y134" s="2"/>
      <c r="Z134" s="2"/>
      <c r="AA134" s="2"/>
      <c r="AB134" s="681"/>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row>
    <row r="135" spans="1:109">
      <c r="A135" s="1407"/>
      <c r="B135" s="686" t="s">
        <v>427</v>
      </c>
      <c r="C135" s="721">
        <f t="shared" ref="C135:N135" si="161">C102/C$104</f>
        <v>3.1931038669337698E-2</v>
      </c>
      <c r="D135" s="721">
        <f t="shared" si="161"/>
        <v>3.5389628952032501E-2</v>
      </c>
      <c r="E135" s="722">
        <f t="shared" si="161"/>
        <v>3.1149039926851599E-2</v>
      </c>
      <c r="F135" s="722">
        <f t="shared" si="161"/>
        <v>3.1153374948952799E-2</v>
      </c>
      <c r="G135" s="722">
        <f t="shared" si="161"/>
        <v>3.15838365071993E-2</v>
      </c>
      <c r="H135" s="722">
        <f t="shared" si="161"/>
        <v>3.2097334878331399E-2</v>
      </c>
      <c r="I135" s="725">
        <f t="shared" si="161"/>
        <v>3.1677747360187698E-2</v>
      </c>
      <c r="J135" s="725">
        <f t="shared" si="161"/>
        <v>3.2249629565065802E-2</v>
      </c>
      <c r="K135" s="725">
        <f t="shared" si="161"/>
        <v>3.2421140589095503E-2</v>
      </c>
      <c r="L135" s="725">
        <f t="shared" si="161"/>
        <v>3.3460047423689299E-2</v>
      </c>
      <c r="M135" s="725">
        <f t="shared" si="161"/>
        <v>3.4146688482606498E-2</v>
      </c>
      <c r="N135" s="722">
        <f t="shared" si="161"/>
        <v>3.2978309330880001E-2</v>
      </c>
      <c r="O135" s="722">
        <f t="shared" si="155"/>
        <v>3.2730923694779097E-2</v>
      </c>
      <c r="P135" s="722">
        <f t="shared" si="155"/>
        <v>3.2491889699918897E-2</v>
      </c>
      <c r="Q135" s="722">
        <f t="shared" ref="Q135:R135" si="162">Q102/Q$104</f>
        <v>3.2639640723364997E-2</v>
      </c>
      <c r="R135" s="722">
        <f t="shared" si="162"/>
        <v>3.2295810905686902E-2</v>
      </c>
      <c r="S135" s="2"/>
      <c r="T135" s="2"/>
      <c r="U135" s="2"/>
      <c r="V135" s="2"/>
      <c r="W135" s="2"/>
      <c r="X135" s="2"/>
      <c r="Y135" s="2"/>
      <c r="Z135" s="2"/>
      <c r="AA135" s="2"/>
      <c r="AB135" s="681"/>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row>
    <row r="136" spans="1:109">
      <c r="A136" s="1407"/>
      <c r="B136" s="686" t="s">
        <v>428</v>
      </c>
      <c r="C136" s="721">
        <f t="shared" ref="C136:N136" si="163">C103/C$104</f>
        <v>6.8597098282037298E-3</v>
      </c>
      <c r="D136" s="721">
        <f t="shared" si="163"/>
        <v>7.60391058258533E-3</v>
      </c>
      <c r="E136" s="722">
        <f t="shared" si="163"/>
        <v>1.02407802499238E-2</v>
      </c>
      <c r="F136" s="722">
        <f t="shared" si="163"/>
        <v>9.7427221282305604E-3</v>
      </c>
      <c r="G136" s="722">
        <f t="shared" si="163"/>
        <v>1.0624709707385001E-2</v>
      </c>
      <c r="H136" s="722">
        <f t="shared" si="163"/>
        <v>1.0544611819235199E-2</v>
      </c>
      <c r="I136" s="725">
        <f t="shared" si="163"/>
        <v>1.0224034862282801E-2</v>
      </c>
      <c r="J136" s="725">
        <f t="shared" si="163"/>
        <v>1.1069467445306401E-2</v>
      </c>
      <c r="K136" s="725">
        <f t="shared" si="163"/>
        <v>1.12805514936286E-2</v>
      </c>
      <c r="L136" s="725">
        <f t="shared" si="163"/>
        <v>1.2194662953065601E-2</v>
      </c>
      <c r="M136" s="725">
        <f t="shared" si="163"/>
        <v>1.1737924165896E-2</v>
      </c>
      <c r="N136" s="722">
        <f t="shared" si="163"/>
        <v>1.1641484731608901E-2</v>
      </c>
      <c r="O136" s="722">
        <f t="shared" si="155"/>
        <v>1.08835341365462E-2</v>
      </c>
      <c r="P136" s="722">
        <f t="shared" si="155"/>
        <v>1.0847526358475299E-2</v>
      </c>
      <c r="Q136" s="722">
        <f t="shared" ref="Q136:R136" si="164">Q103/Q$104</f>
        <v>1.04254380688881E-2</v>
      </c>
      <c r="R136" s="722">
        <f t="shared" si="164"/>
        <v>1.0687261096809401E-2</v>
      </c>
      <c r="S136" s="2"/>
      <c r="T136" s="2"/>
      <c r="U136" s="2"/>
      <c r="V136" s="2"/>
      <c r="W136" s="2"/>
      <c r="X136" s="2"/>
      <c r="Y136" s="2"/>
      <c r="Z136" s="2"/>
      <c r="AA136" s="2"/>
      <c r="AB136" s="681"/>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row>
    <row r="137" spans="1:109" s="123" customFormat="1">
      <c r="A137" s="1408"/>
      <c r="B137" s="689" t="s">
        <v>62</v>
      </c>
      <c r="C137" s="723">
        <f t="shared" ref="C137:Q137" si="165">SUM(C132:C136)</f>
        <v>1</v>
      </c>
      <c r="D137" s="723">
        <f t="shared" si="165"/>
        <v>1</v>
      </c>
      <c r="E137" s="724">
        <f t="shared" si="165"/>
        <v>1</v>
      </c>
      <c r="F137" s="724">
        <f t="shared" si="165"/>
        <v>1</v>
      </c>
      <c r="G137" s="724">
        <f t="shared" si="165"/>
        <v>1</v>
      </c>
      <c r="H137" s="724">
        <f t="shared" si="165"/>
        <v>1</v>
      </c>
      <c r="I137" s="724">
        <f t="shared" si="165"/>
        <v>1</v>
      </c>
      <c r="J137" s="724">
        <f t="shared" si="165"/>
        <v>1</v>
      </c>
      <c r="K137" s="724">
        <f t="shared" si="165"/>
        <v>1</v>
      </c>
      <c r="L137" s="724">
        <f t="shared" si="165"/>
        <v>1</v>
      </c>
      <c r="M137" s="724">
        <f t="shared" si="165"/>
        <v>1</v>
      </c>
      <c r="N137" s="724">
        <f t="shared" si="165"/>
        <v>1</v>
      </c>
      <c r="O137" s="724">
        <f t="shared" si="165"/>
        <v>1</v>
      </c>
      <c r="P137" s="724">
        <f t="shared" si="165"/>
        <v>1</v>
      </c>
      <c r="Q137" s="724">
        <f t="shared" si="165"/>
        <v>1</v>
      </c>
      <c r="R137" s="724">
        <f t="shared" ref="R137" si="166">SUM(R132:R136)</f>
        <v>1</v>
      </c>
      <c r="S137" s="2"/>
      <c r="T137" s="2"/>
      <c r="U137" s="2"/>
      <c r="V137" s="2"/>
      <c r="W137" s="2"/>
      <c r="X137" s="2"/>
      <c r="Y137" s="2"/>
      <c r="Z137" s="2"/>
      <c r="AA137" s="2"/>
      <c r="AB137" s="681"/>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row>
    <row r="138" spans="1:109" s="123" customFormat="1">
      <c r="A138" s="1409" t="s">
        <v>129</v>
      </c>
      <c r="B138" s="684">
        <v>1</v>
      </c>
      <c r="C138" s="720">
        <f t="shared" ref="C138:N138" si="167">C105/C$110</f>
        <v>0.65808929084122902</v>
      </c>
      <c r="D138" s="720">
        <f t="shared" si="167"/>
        <v>0.65061856707010401</v>
      </c>
      <c r="E138" s="720">
        <f t="shared" si="167"/>
        <v>0.64734441186054104</v>
      </c>
      <c r="F138" s="720">
        <f t="shared" si="167"/>
        <v>0.64154841846191202</v>
      </c>
      <c r="G138" s="720">
        <f t="shared" si="167"/>
        <v>0.64059646987218499</v>
      </c>
      <c r="H138" s="720">
        <f t="shared" si="167"/>
        <v>0.64426351811605997</v>
      </c>
      <c r="I138" s="720">
        <f t="shared" si="167"/>
        <v>0.64053041222254203</v>
      </c>
      <c r="J138" s="720">
        <f t="shared" si="167"/>
        <v>0.64030217849613502</v>
      </c>
      <c r="K138" s="720">
        <f t="shared" si="167"/>
        <v>0.64191083695499795</v>
      </c>
      <c r="L138" s="720">
        <f t="shared" si="167"/>
        <v>0.64109297374024099</v>
      </c>
      <c r="M138" s="720">
        <f t="shared" si="167"/>
        <v>0.64126586804934704</v>
      </c>
      <c r="N138" s="720">
        <f t="shared" si="167"/>
        <v>0.64109297374024099</v>
      </c>
      <c r="O138" s="720">
        <f t="shared" ref="O138:P142" si="168">O105/O$110</f>
        <v>0.64229636898920495</v>
      </c>
      <c r="P138" s="720">
        <f t="shared" si="168"/>
        <v>0.60346277863451603</v>
      </c>
      <c r="Q138" s="720">
        <f t="shared" ref="Q138:R138" si="169">Q105/Q$110</f>
        <v>0.64701072736787002</v>
      </c>
      <c r="R138" s="720">
        <f t="shared" si="169"/>
        <v>0.63298186681596202</v>
      </c>
      <c r="S138" s="2"/>
      <c r="T138" s="2"/>
      <c r="U138" s="2"/>
      <c r="V138" s="2"/>
      <c r="W138" s="2"/>
      <c r="X138" s="2"/>
      <c r="Y138" s="2"/>
      <c r="Z138" s="2"/>
      <c r="AA138" s="2"/>
      <c r="AB138" s="681"/>
      <c r="AC138" s="2"/>
      <c r="AD138" s="2"/>
      <c r="AE138" s="731"/>
      <c r="AF138" s="732" t="s">
        <v>186</v>
      </c>
      <c r="AG138" s="732"/>
      <c r="AH138" s="732"/>
      <c r="AI138" s="732"/>
      <c r="AJ138" s="732"/>
      <c r="AK138" s="732"/>
      <c r="AL138" s="732"/>
      <c r="AM138" s="732"/>
      <c r="AN138" s="732"/>
      <c r="AO138" s="732"/>
      <c r="AP138" s="732"/>
      <c r="AQ138" s="732"/>
      <c r="AR138" s="732"/>
      <c r="AS138" s="732"/>
      <c r="AT138" s="732"/>
      <c r="AU138" s="732"/>
      <c r="AV138" s="732" t="s">
        <v>129</v>
      </c>
      <c r="AW138" s="732"/>
      <c r="AX138" s="732"/>
      <c r="AY138" s="732"/>
      <c r="AZ138" s="732"/>
      <c r="BA138" s="732"/>
      <c r="BB138" s="732"/>
      <c r="BC138" s="732"/>
      <c r="BD138" s="732"/>
      <c r="BE138" s="732"/>
      <c r="BF138" s="732"/>
      <c r="BG138" s="732"/>
      <c r="BH138" s="732"/>
      <c r="BI138" s="732"/>
      <c r="BJ138" s="732"/>
      <c r="BK138" s="732"/>
      <c r="BL138" s="732" t="s">
        <v>146</v>
      </c>
      <c r="BM138" s="732"/>
      <c r="BN138" s="732"/>
      <c r="BO138" s="732"/>
      <c r="BP138" s="732"/>
      <c r="BQ138" s="732"/>
      <c r="BR138" s="732"/>
      <c r="BS138" s="732"/>
      <c r="BT138" s="732"/>
      <c r="BU138" s="732"/>
      <c r="BV138" s="732"/>
      <c r="BW138" s="732"/>
      <c r="BX138" s="732"/>
      <c r="BY138" s="732"/>
      <c r="BZ138" s="732"/>
      <c r="CA138" s="732"/>
      <c r="CB138" s="732" t="s">
        <v>156</v>
      </c>
      <c r="CC138" s="732"/>
      <c r="CD138" s="732"/>
      <c r="CE138" s="732"/>
      <c r="CF138" s="732"/>
      <c r="CG138" s="732"/>
      <c r="CH138" s="732"/>
      <c r="CI138" s="732"/>
      <c r="CJ138" s="732"/>
      <c r="CK138" s="732"/>
      <c r="CL138" s="732"/>
      <c r="CM138" s="732"/>
      <c r="CN138" s="732"/>
      <c r="CO138" s="732"/>
      <c r="CP138" s="732"/>
      <c r="CQ138" s="732"/>
      <c r="CR138" s="732" t="s">
        <v>170</v>
      </c>
      <c r="CS138" s="732"/>
      <c r="CT138" s="732"/>
      <c r="CU138" s="732"/>
      <c r="CV138" s="732"/>
      <c r="CW138" s="732"/>
      <c r="CX138" s="732"/>
      <c r="CY138" s="732"/>
      <c r="CZ138" s="732"/>
      <c r="DA138" s="732"/>
      <c r="DB138" s="732"/>
      <c r="DC138" s="732"/>
      <c r="DD138" s="732"/>
      <c r="DE138" s="744"/>
    </row>
    <row r="139" spans="1:109" s="123" customFormat="1">
      <c r="A139" s="1410"/>
      <c r="B139" s="686" t="s">
        <v>425</v>
      </c>
      <c r="C139" s="722">
        <f t="shared" ref="C139:N139" si="170">C106/C$110</f>
        <v>0.23018949181739901</v>
      </c>
      <c r="D139" s="722">
        <f t="shared" si="170"/>
        <v>0.235089013310088</v>
      </c>
      <c r="E139" s="722">
        <f t="shared" si="170"/>
        <v>0.23633105246008501</v>
      </c>
      <c r="F139" s="722">
        <f t="shared" si="170"/>
        <v>0.24213788702865299</v>
      </c>
      <c r="G139" s="722">
        <f t="shared" si="170"/>
        <v>0.241905051734632</v>
      </c>
      <c r="H139" s="722">
        <f t="shared" si="170"/>
        <v>0.244250543319602</v>
      </c>
      <c r="I139" s="722">
        <f t="shared" si="170"/>
        <v>0.24863072931680599</v>
      </c>
      <c r="J139" s="722">
        <f t="shared" si="170"/>
        <v>0.24901616303584001</v>
      </c>
      <c r="K139" s="722">
        <f t="shared" si="170"/>
        <v>0.248212533295948</v>
      </c>
      <c r="L139" s="722">
        <f t="shared" si="170"/>
        <v>0.248545067423705</v>
      </c>
      <c r="M139" s="722">
        <f t="shared" si="170"/>
        <v>0.25192204541391</v>
      </c>
      <c r="N139" s="722">
        <f t="shared" si="170"/>
        <v>0.248545067423705</v>
      </c>
      <c r="O139" s="722">
        <f t="shared" si="168"/>
        <v>0.24943922613206199</v>
      </c>
      <c r="P139" s="722">
        <f t="shared" si="168"/>
        <v>0.27758306462918803</v>
      </c>
      <c r="Q139" s="722">
        <f t="shared" ref="Q139:R139" si="171">Q106/Q$110</f>
        <v>0.246598639455782</v>
      </c>
      <c r="R139" s="722">
        <f t="shared" si="171"/>
        <v>0.25896550651612699</v>
      </c>
      <c r="S139" s="2"/>
      <c r="T139" s="2"/>
      <c r="U139" s="2"/>
      <c r="V139" s="2"/>
      <c r="W139" s="2"/>
      <c r="X139" s="2"/>
      <c r="Y139" s="2"/>
      <c r="Z139" s="2"/>
      <c r="AA139" s="2"/>
      <c r="AB139" s="681"/>
      <c r="AC139" s="2"/>
      <c r="AD139" s="2"/>
      <c r="AE139" s="733"/>
      <c r="AF139" s="734">
        <f t="shared" ref="AF139:AR139" si="172">D131</f>
        <v>2010</v>
      </c>
      <c r="AG139" s="734">
        <f t="shared" si="172"/>
        <v>2011</v>
      </c>
      <c r="AH139" s="734">
        <f t="shared" si="172"/>
        <v>2012</v>
      </c>
      <c r="AI139" s="734">
        <f t="shared" si="172"/>
        <v>2013</v>
      </c>
      <c r="AJ139" s="734">
        <f t="shared" si="172"/>
        <v>2014</v>
      </c>
      <c r="AK139" s="734">
        <f t="shared" si="172"/>
        <v>2015</v>
      </c>
      <c r="AL139" s="734">
        <f t="shared" si="172"/>
        <v>2016</v>
      </c>
      <c r="AM139" s="734">
        <f t="shared" si="172"/>
        <v>2017</v>
      </c>
      <c r="AN139" s="734">
        <f t="shared" si="172"/>
        <v>2018</v>
      </c>
      <c r="AO139" s="734">
        <f t="shared" si="172"/>
        <v>2019</v>
      </c>
      <c r="AP139" s="734">
        <f t="shared" si="172"/>
        <v>2020</v>
      </c>
      <c r="AQ139" s="734">
        <f t="shared" si="172"/>
        <v>2021</v>
      </c>
      <c r="AR139" s="734">
        <f t="shared" si="172"/>
        <v>2022</v>
      </c>
      <c r="AS139" s="734">
        <f t="shared" ref="AS139:AS144" si="173">Q131</f>
        <v>2023</v>
      </c>
      <c r="AT139" s="734">
        <f t="shared" ref="AT139:AT144" si="174">R131</f>
        <v>2024</v>
      </c>
      <c r="AU139" s="734"/>
      <c r="AV139" s="734">
        <f t="shared" ref="AV139:BG139" si="175">AF139</f>
        <v>2010</v>
      </c>
      <c r="AW139" s="734">
        <f t="shared" si="175"/>
        <v>2011</v>
      </c>
      <c r="AX139" s="734">
        <f t="shared" si="175"/>
        <v>2012</v>
      </c>
      <c r="AY139" s="734">
        <f t="shared" si="175"/>
        <v>2013</v>
      </c>
      <c r="AZ139" s="734">
        <f t="shared" si="175"/>
        <v>2014</v>
      </c>
      <c r="BA139" s="734">
        <f t="shared" si="175"/>
        <v>2015</v>
      </c>
      <c r="BB139" s="734">
        <f t="shared" si="175"/>
        <v>2016</v>
      </c>
      <c r="BC139" s="734">
        <f t="shared" si="175"/>
        <v>2017</v>
      </c>
      <c r="BD139" s="734">
        <f t="shared" si="175"/>
        <v>2018</v>
      </c>
      <c r="BE139" s="734">
        <f t="shared" si="175"/>
        <v>2019</v>
      </c>
      <c r="BF139" s="734">
        <f t="shared" si="175"/>
        <v>2020</v>
      </c>
      <c r="BG139" s="734">
        <f t="shared" si="175"/>
        <v>2021</v>
      </c>
      <c r="BH139" s="734">
        <f t="shared" ref="BH139:BJ139" si="176">AR139</f>
        <v>2022</v>
      </c>
      <c r="BI139" s="734">
        <f t="shared" si="176"/>
        <v>2023</v>
      </c>
      <c r="BJ139" s="734">
        <f t="shared" si="176"/>
        <v>2024</v>
      </c>
      <c r="BK139" s="734"/>
      <c r="BL139" s="734">
        <f t="shared" ref="BL139:BZ139" si="177">AV139</f>
        <v>2010</v>
      </c>
      <c r="BM139" s="734">
        <f t="shared" si="177"/>
        <v>2011</v>
      </c>
      <c r="BN139" s="734">
        <f t="shared" si="177"/>
        <v>2012</v>
      </c>
      <c r="BO139" s="734">
        <f t="shared" si="177"/>
        <v>2013</v>
      </c>
      <c r="BP139" s="734">
        <f t="shared" si="177"/>
        <v>2014</v>
      </c>
      <c r="BQ139" s="734">
        <f t="shared" si="177"/>
        <v>2015</v>
      </c>
      <c r="BR139" s="734">
        <f t="shared" si="177"/>
        <v>2016</v>
      </c>
      <c r="BS139" s="734">
        <f t="shared" si="177"/>
        <v>2017</v>
      </c>
      <c r="BT139" s="734">
        <f t="shared" si="177"/>
        <v>2018</v>
      </c>
      <c r="BU139" s="734">
        <f t="shared" si="177"/>
        <v>2019</v>
      </c>
      <c r="BV139" s="734">
        <f t="shared" si="177"/>
        <v>2020</v>
      </c>
      <c r="BW139" s="734">
        <f t="shared" si="177"/>
        <v>2021</v>
      </c>
      <c r="BX139" s="734">
        <f t="shared" si="177"/>
        <v>2022</v>
      </c>
      <c r="BY139" s="734">
        <f t="shared" si="177"/>
        <v>2023</v>
      </c>
      <c r="BZ139" s="734">
        <f t="shared" si="177"/>
        <v>2024</v>
      </c>
      <c r="CA139" s="734"/>
      <c r="CB139" s="734">
        <f t="shared" ref="CB139:CM139" si="178">BL139</f>
        <v>2010</v>
      </c>
      <c r="CC139" s="734">
        <f t="shared" si="178"/>
        <v>2011</v>
      </c>
      <c r="CD139" s="734">
        <f t="shared" si="178"/>
        <v>2012</v>
      </c>
      <c r="CE139" s="734">
        <f t="shared" si="178"/>
        <v>2013</v>
      </c>
      <c r="CF139" s="734">
        <f t="shared" si="178"/>
        <v>2014</v>
      </c>
      <c r="CG139" s="734">
        <f t="shared" si="178"/>
        <v>2015</v>
      </c>
      <c r="CH139" s="734">
        <f t="shared" si="178"/>
        <v>2016</v>
      </c>
      <c r="CI139" s="734">
        <f t="shared" si="178"/>
        <v>2017</v>
      </c>
      <c r="CJ139" s="734">
        <f t="shared" si="178"/>
        <v>2018</v>
      </c>
      <c r="CK139" s="734">
        <f t="shared" si="178"/>
        <v>2019</v>
      </c>
      <c r="CL139" s="734">
        <f t="shared" si="178"/>
        <v>2020</v>
      </c>
      <c r="CM139" s="734">
        <f t="shared" si="178"/>
        <v>2021</v>
      </c>
      <c r="CN139" s="734">
        <f t="shared" ref="CN139:CP139" si="179">BX139</f>
        <v>2022</v>
      </c>
      <c r="CO139" s="734">
        <f t="shared" si="179"/>
        <v>2023</v>
      </c>
      <c r="CP139" s="734">
        <f t="shared" si="179"/>
        <v>2024</v>
      </c>
      <c r="CQ139" s="734"/>
      <c r="CR139" s="734">
        <f t="shared" ref="CR139:DC139" si="180">CB139</f>
        <v>2010</v>
      </c>
      <c r="CS139" s="734">
        <f t="shared" si="180"/>
        <v>2011</v>
      </c>
      <c r="CT139" s="734">
        <f t="shared" si="180"/>
        <v>2012</v>
      </c>
      <c r="CU139" s="734">
        <f t="shared" si="180"/>
        <v>2013</v>
      </c>
      <c r="CV139" s="734">
        <f t="shared" si="180"/>
        <v>2014</v>
      </c>
      <c r="CW139" s="734">
        <f t="shared" si="180"/>
        <v>2015</v>
      </c>
      <c r="CX139" s="734">
        <f t="shared" si="180"/>
        <v>2016</v>
      </c>
      <c r="CY139" s="734">
        <f t="shared" si="180"/>
        <v>2017</v>
      </c>
      <c r="CZ139" s="734">
        <f t="shared" si="180"/>
        <v>2018</v>
      </c>
      <c r="DA139" s="734">
        <f t="shared" si="180"/>
        <v>2019</v>
      </c>
      <c r="DB139" s="734">
        <f t="shared" si="180"/>
        <v>2020</v>
      </c>
      <c r="DC139" s="734">
        <f t="shared" si="180"/>
        <v>2021</v>
      </c>
      <c r="DD139" s="734">
        <v>2022</v>
      </c>
      <c r="DE139" s="745">
        <v>2023</v>
      </c>
    </row>
    <row r="140" spans="1:109" s="123" customFormat="1">
      <c r="A140" s="1410"/>
      <c r="B140" s="686" t="s">
        <v>426</v>
      </c>
      <c r="C140" s="722">
        <f t="shared" ref="C140:N140" si="181">C107/C$110</f>
        <v>4.4573643410852702E-2</v>
      </c>
      <c r="D140" s="722">
        <f t="shared" si="181"/>
        <v>4.3349984912998303E-2</v>
      </c>
      <c r="E140" s="722">
        <f t="shared" si="181"/>
        <v>4.5063538611925698E-2</v>
      </c>
      <c r="F140" s="722">
        <f t="shared" si="181"/>
        <v>4.3480903041536297E-2</v>
      </c>
      <c r="G140" s="722">
        <f t="shared" si="181"/>
        <v>4.4917833231892898E-2</v>
      </c>
      <c r="H140" s="722">
        <f t="shared" si="181"/>
        <v>4.2687080346427098E-2</v>
      </c>
      <c r="I140" s="722">
        <f t="shared" si="181"/>
        <v>4.33121937157682E-2</v>
      </c>
      <c r="J140" s="722">
        <f t="shared" si="181"/>
        <v>4.1777933942375299E-2</v>
      </c>
      <c r="K140" s="722">
        <f t="shared" si="181"/>
        <v>4.1707556427870503E-2</v>
      </c>
      <c r="L140" s="722">
        <f t="shared" si="181"/>
        <v>4.2902767920511002E-2</v>
      </c>
      <c r="M140" s="722">
        <f t="shared" si="181"/>
        <v>4.3447166100482701E-2</v>
      </c>
      <c r="N140" s="722">
        <f t="shared" si="181"/>
        <v>4.2902767920511002E-2</v>
      </c>
      <c r="O140" s="722">
        <f t="shared" si="168"/>
        <v>4.41959904668442E-2</v>
      </c>
      <c r="P140" s="722">
        <f t="shared" si="168"/>
        <v>4.7981214075424099E-2</v>
      </c>
      <c r="Q140" s="722">
        <f t="shared" ref="Q140:R140" si="182">Q107/Q$110</f>
        <v>4.4544740973312402E-2</v>
      </c>
      <c r="R140" s="722">
        <f t="shared" si="182"/>
        <v>4.4570930919722598E-2</v>
      </c>
      <c r="S140" s="2"/>
      <c r="T140" s="2"/>
      <c r="U140" s="2"/>
      <c r="V140" s="2"/>
      <c r="W140" s="2"/>
      <c r="X140" s="2"/>
      <c r="Y140" s="2"/>
      <c r="Z140" s="2"/>
      <c r="AA140" s="2"/>
      <c r="AB140" s="681"/>
      <c r="AC140" s="2"/>
      <c r="AD140" s="2"/>
      <c r="AE140" s="735">
        <f>B132</f>
        <v>1</v>
      </c>
      <c r="AF140" s="736">
        <f>D132</f>
        <v>0.688182493853982</v>
      </c>
      <c r="AG140" s="736">
        <f t="shared" ref="AG140:AR140" si="183">E132</f>
        <v>0.71301432490094496</v>
      </c>
      <c r="AH140" s="736">
        <f t="shared" si="183"/>
        <v>0.70526807070765996</v>
      </c>
      <c r="AI140" s="736">
        <f t="shared" si="183"/>
        <v>0.70587552252670704</v>
      </c>
      <c r="AJ140" s="736">
        <f t="shared" si="183"/>
        <v>0.70695249130938598</v>
      </c>
      <c r="AK140" s="736">
        <f t="shared" si="183"/>
        <v>0.70467623889602804</v>
      </c>
      <c r="AL140" s="736">
        <f t="shared" si="183"/>
        <v>0.69554606467358104</v>
      </c>
      <c r="AM140" s="736">
        <f t="shared" si="183"/>
        <v>0.69843325673699597</v>
      </c>
      <c r="AN140" s="736">
        <f t="shared" si="183"/>
        <v>0.68632616959614601</v>
      </c>
      <c r="AO140" s="736">
        <f t="shared" si="183"/>
        <v>0.69061677456071702</v>
      </c>
      <c r="AP140" s="736">
        <f t="shared" si="183"/>
        <v>0.68932451080995005</v>
      </c>
      <c r="AQ140" s="736">
        <f t="shared" si="183"/>
        <v>0.70144578313253003</v>
      </c>
      <c r="AR140" s="736">
        <f t="shared" si="183"/>
        <v>0.70818126520681302</v>
      </c>
      <c r="AS140" s="736">
        <f t="shared" si="173"/>
        <v>0.70279481935923604</v>
      </c>
      <c r="AT140" s="736">
        <f t="shared" si="174"/>
        <v>0.69190264451205197</v>
      </c>
      <c r="AU140" s="734"/>
      <c r="AV140" s="736">
        <f t="shared" ref="AV140:BI140" si="184">D138</f>
        <v>0.65061856707010401</v>
      </c>
      <c r="AW140" s="736">
        <f t="shared" si="184"/>
        <v>0.64734441186054104</v>
      </c>
      <c r="AX140" s="736">
        <f t="shared" si="184"/>
        <v>0.64154841846191202</v>
      </c>
      <c r="AY140" s="736">
        <f t="shared" si="184"/>
        <v>0.64059646987218499</v>
      </c>
      <c r="AZ140" s="736">
        <f t="shared" si="184"/>
        <v>0.64426351811605997</v>
      </c>
      <c r="BA140" s="736">
        <f t="shared" si="184"/>
        <v>0.64053041222254203</v>
      </c>
      <c r="BB140" s="736">
        <f t="shared" si="184"/>
        <v>0.64030217849613502</v>
      </c>
      <c r="BC140" s="736">
        <f t="shared" si="184"/>
        <v>0.64191083695499795</v>
      </c>
      <c r="BD140" s="736">
        <f t="shared" si="184"/>
        <v>0.64109297374024099</v>
      </c>
      <c r="BE140" s="736">
        <f t="shared" si="184"/>
        <v>0.64126586804934704</v>
      </c>
      <c r="BF140" s="736">
        <f t="shared" si="184"/>
        <v>0.64109297374024099</v>
      </c>
      <c r="BG140" s="736">
        <f t="shared" si="184"/>
        <v>0.64229636898920495</v>
      </c>
      <c r="BH140" s="736">
        <f t="shared" si="184"/>
        <v>0.60346277863451603</v>
      </c>
      <c r="BI140" s="736">
        <f t="shared" si="184"/>
        <v>0.64701072736787002</v>
      </c>
      <c r="BJ140" s="736">
        <f>Q138</f>
        <v>0.64701072736787002</v>
      </c>
      <c r="BK140" s="734"/>
      <c r="BL140" s="736">
        <f t="shared" ref="BL140:BX144" si="185">D144</f>
        <v>0.65313561014579602</v>
      </c>
      <c r="BM140" s="736">
        <f t="shared" si="185"/>
        <v>0.63556352050975695</v>
      </c>
      <c r="BN140" s="736">
        <f t="shared" si="185"/>
        <v>0.66855515113150799</v>
      </c>
      <c r="BO140" s="736">
        <f t="shared" si="185"/>
        <v>0.67047344223809102</v>
      </c>
      <c r="BP140" s="736">
        <f t="shared" si="185"/>
        <v>0.66998535144126903</v>
      </c>
      <c r="BQ140" s="736">
        <f t="shared" si="185"/>
        <v>0.68457107801370098</v>
      </c>
      <c r="BR140" s="736">
        <f t="shared" si="185"/>
        <v>0.685496036203742</v>
      </c>
      <c r="BS140" s="736">
        <f t="shared" si="185"/>
        <v>0.68313072062115698</v>
      </c>
      <c r="BT140" s="736">
        <f t="shared" si="185"/>
        <v>0.68471042891356404</v>
      </c>
      <c r="BU140" s="736">
        <f t="shared" si="185"/>
        <v>0.68392242727557095</v>
      </c>
      <c r="BV140" s="736">
        <f t="shared" si="185"/>
        <v>0.681571684501041</v>
      </c>
      <c r="BW140" s="736">
        <f t="shared" si="185"/>
        <v>0.67440957471106799</v>
      </c>
      <c r="BX140" s="736">
        <f t="shared" si="185"/>
        <v>0.67764986105597502</v>
      </c>
      <c r="BY140" s="736">
        <f t="shared" ref="BY140:BZ140" si="186">Q144</f>
        <v>0.67760250808462297</v>
      </c>
      <c r="BZ140" s="736">
        <f t="shared" si="186"/>
        <v>0.67365856242385702</v>
      </c>
      <c r="CA140" s="734"/>
      <c r="CB140" s="743">
        <f t="shared" ref="CB140:CN144" si="187">D150</f>
        <v>0.69619014732965001</v>
      </c>
      <c r="CC140" s="743">
        <f t="shared" si="187"/>
        <v>0.67709411711752299</v>
      </c>
      <c r="CD140" s="743">
        <f t="shared" si="187"/>
        <v>0.65804566008602605</v>
      </c>
      <c r="CE140" s="743">
        <f t="shared" si="187"/>
        <v>0.65741094321095395</v>
      </c>
      <c r="CF140" s="743">
        <f t="shared" si="187"/>
        <v>0.647000303510606</v>
      </c>
      <c r="CG140" s="743">
        <f t="shared" si="187"/>
        <v>0.61449978766001301</v>
      </c>
      <c r="CH140" s="743">
        <f t="shared" si="187"/>
        <v>0.60868050641730398</v>
      </c>
      <c r="CI140" s="743">
        <f t="shared" si="187"/>
        <v>0.62149848126898399</v>
      </c>
      <c r="CJ140" s="743">
        <f t="shared" si="187"/>
        <v>0.61848319845973299</v>
      </c>
      <c r="CK140" s="743">
        <f t="shared" si="187"/>
        <v>0.62971448897816595</v>
      </c>
      <c r="CL140" s="743">
        <f t="shared" si="187"/>
        <v>0.61092314217049104</v>
      </c>
      <c r="CM140" s="743">
        <f t="shared" si="187"/>
        <v>0.61238782502420297</v>
      </c>
      <c r="CN140" s="743">
        <f t="shared" si="187"/>
        <v>0.60219792309714004</v>
      </c>
      <c r="CO140" s="743">
        <f t="shared" ref="CO140:CO144" si="188">Q150</f>
        <v>0.58140444574253902</v>
      </c>
      <c r="CP140" s="743">
        <f t="shared" ref="CP140:CP144" si="189">R150</f>
        <v>0.56259731174310101</v>
      </c>
      <c r="CQ140" s="734"/>
      <c r="CR140" s="743">
        <f t="shared" ref="CR140:DE144" si="190">D156</f>
        <v>0.60185500920684698</v>
      </c>
      <c r="CS140" s="743">
        <f t="shared" si="190"/>
        <v>0.69930038057473598</v>
      </c>
      <c r="CT140" s="743">
        <f t="shared" si="190"/>
        <v>0.69455011577902703</v>
      </c>
      <c r="CU140" s="743">
        <f t="shared" si="190"/>
        <v>0.69261010768617204</v>
      </c>
      <c r="CV140" s="743">
        <f t="shared" si="190"/>
        <v>0.69143736422881996</v>
      </c>
      <c r="CW140" s="743">
        <f t="shared" si="190"/>
        <v>0.69036939795062502</v>
      </c>
      <c r="CX140" s="743">
        <f t="shared" si="190"/>
        <v>0.68987296217655703</v>
      </c>
      <c r="CY140" s="743">
        <f t="shared" si="190"/>
        <v>0.681974447124019</v>
      </c>
      <c r="CZ140" s="743">
        <f t="shared" si="190"/>
        <v>0.69164610745613997</v>
      </c>
      <c r="DA140" s="743">
        <f t="shared" si="190"/>
        <v>0.68649255567860201</v>
      </c>
      <c r="DB140" s="743">
        <f t="shared" si="190"/>
        <v>0.69160736233555398</v>
      </c>
      <c r="DC140" s="743">
        <f t="shared" si="190"/>
        <v>0.69316553965588901</v>
      </c>
      <c r="DD140" s="743">
        <f t="shared" si="190"/>
        <v>0.70133485947626495</v>
      </c>
      <c r="DE140" s="746">
        <f t="shared" si="190"/>
        <v>0.67595266311695701</v>
      </c>
    </row>
    <row r="141" spans="1:109" s="123" customFormat="1">
      <c r="A141" s="1410"/>
      <c r="B141" s="686" t="s">
        <v>427</v>
      </c>
      <c r="C141" s="725">
        <f t="shared" ref="C141:N141" si="191">C108/C$110</f>
        <v>4.8162503588860199E-2</v>
      </c>
      <c r="D141" s="725">
        <f t="shared" si="191"/>
        <v>5.0591745733731201E-2</v>
      </c>
      <c r="E141" s="725">
        <f t="shared" si="191"/>
        <v>5.0439882697947198E-2</v>
      </c>
      <c r="F141" s="725">
        <f t="shared" si="191"/>
        <v>5.0955607547628401E-2</v>
      </c>
      <c r="G141" s="725">
        <f t="shared" si="191"/>
        <v>5.1034692635422998E-2</v>
      </c>
      <c r="H141" s="725">
        <f t="shared" si="191"/>
        <v>4.8752797690486203E-2</v>
      </c>
      <c r="I141" s="725">
        <f t="shared" si="191"/>
        <v>4.8717209570481403E-2</v>
      </c>
      <c r="J141" s="725">
        <f t="shared" si="191"/>
        <v>4.9754040758959901E-2</v>
      </c>
      <c r="K141" s="725">
        <f t="shared" si="191"/>
        <v>4.8997616711061301E-2</v>
      </c>
      <c r="L141" s="725">
        <f t="shared" si="191"/>
        <v>4.8403122782114998E-2</v>
      </c>
      <c r="M141" s="725">
        <f t="shared" si="191"/>
        <v>4.5199356338279997E-2</v>
      </c>
      <c r="N141" s="725">
        <f t="shared" si="191"/>
        <v>4.8403122782114998E-2</v>
      </c>
      <c r="O141" s="725">
        <f t="shared" si="168"/>
        <v>4.5983457170895803E-2</v>
      </c>
      <c r="P141" s="725">
        <f t="shared" si="168"/>
        <v>5.1345857283050599E-2</v>
      </c>
      <c r="Q141" s="725">
        <f t="shared" ref="Q141:R141" si="192">Q108/Q$110</f>
        <v>4.4773678702250103E-2</v>
      </c>
      <c r="R141" s="725">
        <f t="shared" si="192"/>
        <v>4.6281608659139703E-2</v>
      </c>
      <c r="S141" s="2"/>
      <c r="T141" s="2"/>
      <c r="U141" s="2"/>
      <c r="V141" s="2"/>
      <c r="W141" s="2"/>
      <c r="X141" s="2"/>
      <c r="Y141" s="2"/>
      <c r="Z141" s="2"/>
      <c r="AA141" s="2"/>
      <c r="AB141" s="681"/>
      <c r="AC141" s="2"/>
      <c r="AD141" s="2"/>
      <c r="AE141" s="735" t="str">
        <f t="shared" ref="AE141:AE144" si="193">B133</f>
        <v>2 to 5</v>
      </c>
      <c r="AF141" s="736">
        <f t="shared" ref="AF141:AR141" si="194">D133</f>
        <v>0.23114744725858999</v>
      </c>
      <c r="AG141" s="736">
        <f t="shared" si="194"/>
        <v>0.21280097531240499</v>
      </c>
      <c r="AH141" s="736">
        <f t="shared" si="194"/>
        <v>0.219648795286156</v>
      </c>
      <c r="AI141" s="736">
        <f t="shared" si="194"/>
        <v>0.21632605666511801</v>
      </c>
      <c r="AJ141" s="736">
        <f t="shared" si="194"/>
        <v>0.217902665121669</v>
      </c>
      <c r="AK141" s="736">
        <f t="shared" si="194"/>
        <v>0.219788815017599</v>
      </c>
      <c r="AL141" s="736">
        <f t="shared" si="194"/>
        <v>0.22653185740434101</v>
      </c>
      <c r="AM141" s="736">
        <f t="shared" si="194"/>
        <v>0.22410695634008801</v>
      </c>
      <c r="AN141" s="736">
        <f t="shared" si="194"/>
        <v>0.231698596108246</v>
      </c>
      <c r="AO141" s="736">
        <f t="shared" si="194"/>
        <v>0.228071423490076</v>
      </c>
      <c r="AP141" s="736">
        <f t="shared" si="194"/>
        <v>0.229326633877074</v>
      </c>
      <c r="AQ141" s="736">
        <f t="shared" si="194"/>
        <v>0.22112449799196801</v>
      </c>
      <c r="AR141" s="736">
        <f t="shared" si="194"/>
        <v>0.215581914030819</v>
      </c>
      <c r="AS141" s="736">
        <f t="shared" si="173"/>
        <v>0.22121977625406</v>
      </c>
      <c r="AT141" s="736">
        <f t="shared" si="174"/>
        <v>0.229659099773773</v>
      </c>
      <c r="AU141" s="734"/>
      <c r="AV141" s="736">
        <f t="shared" ref="AV141:BH144" si="195">D139</f>
        <v>0.235089013310088</v>
      </c>
      <c r="AW141" s="736">
        <f t="shared" si="195"/>
        <v>0.23633105246008501</v>
      </c>
      <c r="AX141" s="736">
        <f t="shared" si="195"/>
        <v>0.24213788702865299</v>
      </c>
      <c r="AY141" s="736">
        <f t="shared" si="195"/>
        <v>0.241905051734632</v>
      </c>
      <c r="AZ141" s="736">
        <f t="shared" si="195"/>
        <v>0.244250543319602</v>
      </c>
      <c r="BA141" s="736">
        <f t="shared" si="195"/>
        <v>0.24863072931680599</v>
      </c>
      <c r="BB141" s="736">
        <f t="shared" si="195"/>
        <v>0.24901616303584001</v>
      </c>
      <c r="BC141" s="736">
        <f t="shared" si="195"/>
        <v>0.248212533295948</v>
      </c>
      <c r="BD141" s="736">
        <f t="shared" si="195"/>
        <v>0.248545067423705</v>
      </c>
      <c r="BE141" s="736">
        <f t="shared" si="195"/>
        <v>0.25192204541391</v>
      </c>
      <c r="BF141" s="736">
        <f t="shared" si="195"/>
        <v>0.248545067423705</v>
      </c>
      <c r="BG141" s="736">
        <f t="shared" si="195"/>
        <v>0.24943922613206199</v>
      </c>
      <c r="BH141" s="736">
        <f t="shared" si="195"/>
        <v>0.27758306462918803</v>
      </c>
      <c r="BI141" s="736">
        <f t="shared" ref="BI141:BJ141" si="196">Q139</f>
        <v>0.246598639455782</v>
      </c>
      <c r="BJ141" s="736">
        <f t="shared" si="196"/>
        <v>0.25896550651612699</v>
      </c>
      <c r="BK141" s="734"/>
      <c r="BL141" s="736">
        <f t="shared" si="185"/>
        <v>0.28659876173357302</v>
      </c>
      <c r="BM141" s="736">
        <f t="shared" si="185"/>
        <v>0.29800876144962202</v>
      </c>
      <c r="BN141" s="736">
        <f t="shared" si="185"/>
        <v>0.26997942712454498</v>
      </c>
      <c r="BO141" s="736">
        <f t="shared" si="185"/>
        <v>0.270810916560696</v>
      </c>
      <c r="BP141" s="736">
        <f t="shared" si="185"/>
        <v>0.27226456786751702</v>
      </c>
      <c r="BQ141" s="736">
        <f t="shared" si="185"/>
        <v>0.25967076786748899</v>
      </c>
      <c r="BR141" s="736">
        <f t="shared" si="185"/>
        <v>0.25994158616041302</v>
      </c>
      <c r="BS141" s="736">
        <f t="shared" si="185"/>
        <v>0.26325483861826598</v>
      </c>
      <c r="BT141" s="736">
        <f t="shared" si="185"/>
        <v>0.26401589375136097</v>
      </c>
      <c r="BU141" s="736">
        <f t="shared" si="185"/>
        <v>0.26532686893963098</v>
      </c>
      <c r="BV141" s="736">
        <f t="shared" si="185"/>
        <v>0.26860504527187301</v>
      </c>
      <c r="BW141" s="736">
        <f t="shared" si="185"/>
        <v>0.272829016490795</v>
      </c>
      <c r="BX141" s="736">
        <f t="shared" si="185"/>
        <v>0.26922886065899199</v>
      </c>
      <c r="BY141" s="736">
        <f t="shared" ref="BY141:BZ141" si="197">Q145</f>
        <v>0.26843417512157802</v>
      </c>
      <c r="BZ141" s="736">
        <f t="shared" si="197"/>
        <v>0.27043275597224398</v>
      </c>
      <c r="CA141" s="734"/>
      <c r="CB141" s="743">
        <f t="shared" si="187"/>
        <v>0.231813996316759</v>
      </c>
      <c r="CC141" s="743">
        <f t="shared" si="187"/>
        <v>0.24850339829859999</v>
      </c>
      <c r="CD141" s="743">
        <f t="shared" si="187"/>
        <v>0.26304179993382598</v>
      </c>
      <c r="CE141" s="743">
        <f t="shared" si="187"/>
        <v>0.26370628989144101</v>
      </c>
      <c r="CF141" s="743">
        <f t="shared" si="187"/>
        <v>0.27039422655380602</v>
      </c>
      <c r="CG141" s="743">
        <f t="shared" si="187"/>
        <v>0.29248316447248701</v>
      </c>
      <c r="CH141" s="743">
        <f t="shared" si="187"/>
        <v>0.29567498720893498</v>
      </c>
      <c r="CI141" s="743">
        <f t="shared" si="187"/>
        <v>0.28810538305771199</v>
      </c>
      <c r="CJ141" s="743">
        <f t="shared" si="187"/>
        <v>0.29068519799845599</v>
      </c>
      <c r="CK141" s="743">
        <f t="shared" si="187"/>
        <v>0.27968362574934902</v>
      </c>
      <c r="CL141" s="743">
        <f t="shared" si="187"/>
        <v>0.28990151265256098</v>
      </c>
      <c r="CM141" s="743">
        <f t="shared" si="187"/>
        <v>0.29476184917915699</v>
      </c>
      <c r="CN141" s="743">
        <f t="shared" si="187"/>
        <v>0.30554553844837401</v>
      </c>
      <c r="CO141" s="743">
        <f t="shared" si="188"/>
        <v>0.316600081362721</v>
      </c>
      <c r="CP141" s="743">
        <f t="shared" si="189"/>
        <v>0.334893165036451</v>
      </c>
      <c r="CQ141" s="734"/>
      <c r="CR141" s="743">
        <f t="shared" si="190"/>
        <v>0.27896746914001203</v>
      </c>
      <c r="CS141" s="743">
        <f t="shared" si="190"/>
        <v>0.21688202183177199</v>
      </c>
      <c r="CT141" s="743">
        <f t="shared" si="190"/>
        <v>0.22109659278862101</v>
      </c>
      <c r="CU141" s="743">
        <f t="shared" si="190"/>
        <v>0.223254135566824</v>
      </c>
      <c r="CV141" s="743">
        <f t="shared" si="190"/>
        <v>0.22315351194786401</v>
      </c>
      <c r="CW141" s="743">
        <f t="shared" si="190"/>
        <v>0.22149290741348501</v>
      </c>
      <c r="CX141" s="743">
        <f t="shared" si="190"/>
        <v>0.22285601180408099</v>
      </c>
      <c r="CY141" s="743">
        <f t="shared" si="190"/>
        <v>0.22951408486838701</v>
      </c>
      <c r="CZ141" s="743">
        <f t="shared" si="190"/>
        <v>0.22214226973684201</v>
      </c>
      <c r="DA141" s="743">
        <f t="shared" si="190"/>
        <v>0.226159714531808</v>
      </c>
      <c r="DB141" s="743">
        <f t="shared" si="190"/>
        <v>0.22146184543951</v>
      </c>
      <c r="DC141" s="743">
        <f t="shared" si="190"/>
        <v>0.22444201414026299</v>
      </c>
      <c r="DD141" s="743">
        <f t="shared" si="190"/>
        <v>0.21592860125906799</v>
      </c>
      <c r="DE141" s="746">
        <f t="shared" si="190"/>
        <v>0.232478175961009</v>
      </c>
    </row>
    <row r="142" spans="1:109" s="123" customFormat="1">
      <c r="A142" s="1410"/>
      <c r="B142" s="686" t="s">
        <v>428</v>
      </c>
      <c r="C142" s="722">
        <f t="shared" ref="C142:N142" si="198">C109/C$110</f>
        <v>1.8985070341659499E-2</v>
      </c>
      <c r="D142" s="722">
        <f t="shared" si="198"/>
        <v>2.0350688973078099E-2</v>
      </c>
      <c r="E142" s="722">
        <f t="shared" si="198"/>
        <v>2.0821114369501501E-2</v>
      </c>
      <c r="F142" s="722">
        <f t="shared" si="198"/>
        <v>2.1877183920269799E-2</v>
      </c>
      <c r="G142" s="722">
        <f t="shared" si="198"/>
        <v>2.1545952525867301E-2</v>
      </c>
      <c r="H142" s="722">
        <f t="shared" si="198"/>
        <v>2.00460605274255E-2</v>
      </c>
      <c r="I142" s="722">
        <f t="shared" si="198"/>
        <v>1.8809455174401801E-2</v>
      </c>
      <c r="J142" s="722">
        <f t="shared" si="198"/>
        <v>1.9149683766690101E-2</v>
      </c>
      <c r="K142" s="722">
        <f t="shared" si="198"/>
        <v>1.9171456610122001E-2</v>
      </c>
      <c r="L142" s="722">
        <f t="shared" si="198"/>
        <v>1.9056068133428E-2</v>
      </c>
      <c r="M142" s="722">
        <f t="shared" si="198"/>
        <v>1.8165564097979599E-2</v>
      </c>
      <c r="N142" s="722">
        <f t="shared" si="198"/>
        <v>1.9056068133428E-2</v>
      </c>
      <c r="O142" s="722">
        <f t="shared" si="168"/>
        <v>1.80849572409926E-2</v>
      </c>
      <c r="P142" s="722">
        <f t="shared" si="168"/>
        <v>1.9627085377821402E-2</v>
      </c>
      <c r="Q142" s="722">
        <f t="shared" ref="Q142:R142" si="199">Q109/Q$110</f>
        <v>1.7072213500784899E-2</v>
      </c>
      <c r="R142" s="722">
        <f t="shared" si="199"/>
        <v>1.7200087089048601E-2</v>
      </c>
      <c r="S142" s="682"/>
      <c r="T142" s="682"/>
      <c r="U142" s="682"/>
      <c r="V142" s="682"/>
      <c r="W142" s="682"/>
      <c r="X142" s="682"/>
      <c r="Y142" s="682"/>
      <c r="Z142" s="682"/>
      <c r="AA142" s="737"/>
      <c r="AB142" s="738"/>
      <c r="AC142" s="682"/>
      <c r="AD142" s="737"/>
      <c r="AE142" s="735" t="str">
        <f t="shared" si="193"/>
        <v>6 to 10</v>
      </c>
      <c r="AF142" s="736">
        <f t="shared" ref="AF142:AR142" si="200">D134</f>
        <v>3.7676519352810002E-2</v>
      </c>
      <c r="AG142" s="736">
        <f t="shared" si="200"/>
        <v>3.2794879609874997E-2</v>
      </c>
      <c r="AH142" s="736">
        <f t="shared" si="200"/>
        <v>3.4187036929000603E-2</v>
      </c>
      <c r="AI142" s="736">
        <f t="shared" si="200"/>
        <v>3.5589874593590302E-2</v>
      </c>
      <c r="AJ142" s="736">
        <f t="shared" si="200"/>
        <v>3.2502896871378903E-2</v>
      </c>
      <c r="AK142" s="736">
        <f t="shared" si="200"/>
        <v>3.3633163863902998E-2</v>
      </c>
      <c r="AL142" s="736">
        <f t="shared" si="200"/>
        <v>3.4602980911705702E-2</v>
      </c>
      <c r="AM142" s="736">
        <f t="shared" si="200"/>
        <v>3.3758094840192203E-2</v>
      </c>
      <c r="AN142" s="736">
        <f t="shared" si="200"/>
        <v>3.63205239188528E-2</v>
      </c>
      <c r="AO142" s="736">
        <f t="shared" si="200"/>
        <v>3.54271893007043E-2</v>
      </c>
      <c r="AP142" s="736">
        <f t="shared" si="200"/>
        <v>3.67290612504865E-2</v>
      </c>
      <c r="AQ142" s="736">
        <f t="shared" si="200"/>
        <v>3.3815261044176703E-2</v>
      </c>
      <c r="AR142" s="736">
        <f t="shared" si="200"/>
        <v>3.2897404703974002E-2</v>
      </c>
      <c r="AS142" s="736">
        <f t="shared" si="173"/>
        <v>3.2920325594450503E-2</v>
      </c>
      <c r="AT142" s="736">
        <f t="shared" si="174"/>
        <v>3.5455183711678002E-2</v>
      </c>
      <c r="AU142" s="734"/>
      <c r="AV142" s="736">
        <f t="shared" si="195"/>
        <v>4.3349984912998303E-2</v>
      </c>
      <c r="AW142" s="736">
        <f t="shared" si="195"/>
        <v>4.5063538611925698E-2</v>
      </c>
      <c r="AX142" s="736">
        <f t="shared" si="195"/>
        <v>4.3480903041536297E-2</v>
      </c>
      <c r="AY142" s="736">
        <f t="shared" si="195"/>
        <v>4.4917833231892898E-2</v>
      </c>
      <c r="AZ142" s="736">
        <f t="shared" si="195"/>
        <v>4.2687080346427098E-2</v>
      </c>
      <c r="BA142" s="736">
        <f t="shared" si="195"/>
        <v>4.33121937157682E-2</v>
      </c>
      <c r="BB142" s="736">
        <f t="shared" si="195"/>
        <v>4.1777933942375299E-2</v>
      </c>
      <c r="BC142" s="736">
        <f t="shared" si="195"/>
        <v>4.1707556427870503E-2</v>
      </c>
      <c r="BD142" s="736">
        <f t="shared" si="195"/>
        <v>4.2902767920511002E-2</v>
      </c>
      <c r="BE142" s="736">
        <f t="shared" si="195"/>
        <v>4.3447166100482701E-2</v>
      </c>
      <c r="BF142" s="736">
        <f t="shared" si="195"/>
        <v>4.2902767920511002E-2</v>
      </c>
      <c r="BG142" s="736">
        <f t="shared" si="195"/>
        <v>4.41959904668442E-2</v>
      </c>
      <c r="BH142" s="736">
        <f t="shared" si="195"/>
        <v>4.7981214075424099E-2</v>
      </c>
      <c r="BI142" s="736">
        <f t="shared" ref="BI142:BJ142" si="201">Q140</f>
        <v>4.4544740973312402E-2</v>
      </c>
      <c r="BJ142" s="736">
        <f t="shared" si="201"/>
        <v>4.4570930919722598E-2</v>
      </c>
      <c r="BK142" s="734"/>
      <c r="BL142" s="736">
        <f t="shared" si="185"/>
        <v>3.0507289794288E-2</v>
      </c>
      <c r="BM142" s="736">
        <f t="shared" si="185"/>
        <v>3.5085623257666301E-2</v>
      </c>
      <c r="BN142" s="736">
        <f t="shared" si="185"/>
        <v>3.1713878778287699E-2</v>
      </c>
      <c r="BO142" s="736">
        <f t="shared" si="185"/>
        <v>3.1864423359092203E-2</v>
      </c>
      <c r="BP142" s="736">
        <f t="shared" si="185"/>
        <v>2.9719194577550501E-2</v>
      </c>
      <c r="BQ142" s="736">
        <f t="shared" si="185"/>
        <v>2.7674585051634198E-2</v>
      </c>
      <c r="BR142" s="736">
        <f t="shared" si="185"/>
        <v>2.6799756074076499E-2</v>
      </c>
      <c r="BS142" s="736">
        <f t="shared" si="185"/>
        <v>2.72889568987503E-2</v>
      </c>
      <c r="BT142" s="736">
        <f t="shared" si="185"/>
        <v>2.59906379272806E-2</v>
      </c>
      <c r="BU142" s="736">
        <f t="shared" si="185"/>
        <v>2.56751120842456E-2</v>
      </c>
      <c r="BV142" s="736">
        <f t="shared" si="185"/>
        <v>2.5734760083280898E-2</v>
      </c>
      <c r="BW142" s="736">
        <f t="shared" si="185"/>
        <v>2.7911013658581198E-2</v>
      </c>
      <c r="BX142" s="736">
        <f t="shared" si="185"/>
        <v>2.8012107979356899E-2</v>
      </c>
      <c r="BY142" s="736">
        <f t="shared" ref="BY142:BZ142" si="202">Q146</f>
        <v>2.8808412945271401E-2</v>
      </c>
      <c r="BZ142" s="736">
        <f t="shared" si="202"/>
        <v>2.9079930081042399E-2</v>
      </c>
      <c r="CA142" s="734"/>
      <c r="CB142" s="743">
        <f t="shared" si="187"/>
        <v>3.3005294659300202E-2</v>
      </c>
      <c r="CC142" s="743">
        <f t="shared" si="187"/>
        <v>3.4770671107710302E-2</v>
      </c>
      <c r="CD142" s="743">
        <f t="shared" si="187"/>
        <v>3.7020697768464401E-2</v>
      </c>
      <c r="CE142" s="743">
        <f t="shared" si="187"/>
        <v>3.76775225937847E-2</v>
      </c>
      <c r="CF142" s="743">
        <f t="shared" si="187"/>
        <v>4.0080261693589199E-2</v>
      </c>
      <c r="CG142" s="743">
        <f t="shared" si="187"/>
        <v>4.6629861068980198E-2</v>
      </c>
      <c r="CH142" s="743">
        <f t="shared" si="187"/>
        <v>4.7702507048693103E-2</v>
      </c>
      <c r="CI142" s="743">
        <f t="shared" si="187"/>
        <v>4.5361542355720597E-2</v>
      </c>
      <c r="CJ142" s="743">
        <f t="shared" si="187"/>
        <v>4.6839746096687798E-2</v>
      </c>
      <c r="CK142" s="743">
        <f t="shared" si="187"/>
        <v>4.4777837063076101E-2</v>
      </c>
      <c r="CL142" s="743">
        <f t="shared" si="187"/>
        <v>5.0289807266387099E-2</v>
      </c>
      <c r="CM142" s="743">
        <f t="shared" si="187"/>
        <v>4.7273126755147901E-2</v>
      </c>
      <c r="CN142" s="743">
        <f t="shared" si="187"/>
        <v>4.5309243379031701E-2</v>
      </c>
      <c r="CO142" s="743">
        <f t="shared" si="188"/>
        <v>5.15766635025608E-2</v>
      </c>
      <c r="CP142" s="743">
        <f t="shared" si="189"/>
        <v>5.4652407785792598E-2</v>
      </c>
      <c r="CQ142" s="734"/>
      <c r="CR142" s="743">
        <f t="shared" si="190"/>
        <v>5.0126167905612799E-2</v>
      </c>
      <c r="CS142" s="743">
        <f t="shared" si="190"/>
        <v>3.6211572206649799E-2</v>
      </c>
      <c r="CT142" s="743">
        <f t="shared" si="190"/>
        <v>3.6635792259344997E-2</v>
      </c>
      <c r="CU142" s="743">
        <f t="shared" si="190"/>
        <v>3.6674073652023603E-2</v>
      </c>
      <c r="CV142" s="743">
        <f t="shared" si="190"/>
        <v>3.6133236784938502E-2</v>
      </c>
      <c r="CW142" s="743">
        <f t="shared" si="190"/>
        <v>3.8963643656784501E-2</v>
      </c>
      <c r="CX142" s="743">
        <f t="shared" si="190"/>
        <v>3.7715478461150899E-2</v>
      </c>
      <c r="CY142" s="743">
        <f t="shared" si="190"/>
        <v>3.8637179947662803E-2</v>
      </c>
      <c r="CZ142" s="743">
        <f t="shared" si="190"/>
        <v>3.7212171052631603E-2</v>
      </c>
      <c r="DA142" s="743">
        <f t="shared" si="190"/>
        <v>3.7729174357081299E-2</v>
      </c>
      <c r="DB142" s="743">
        <f t="shared" si="190"/>
        <v>3.8511145167898303E-2</v>
      </c>
      <c r="DC142" s="743">
        <f t="shared" si="190"/>
        <v>3.5781950370450198E-2</v>
      </c>
      <c r="DD142" s="743">
        <f t="shared" si="190"/>
        <v>3.6194335741133198E-2</v>
      </c>
      <c r="DE142" s="746">
        <f t="shared" si="190"/>
        <v>4.0693695648545303E-2</v>
      </c>
    </row>
    <row r="143" spans="1:109" s="123" customFormat="1">
      <c r="A143" s="1411"/>
      <c r="B143" s="689" t="s">
        <v>62</v>
      </c>
      <c r="C143" s="724">
        <f t="shared" ref="C143:Q143" si="203">SUM(C138:C142)</f>
        <v>1</v>
      </c>
      <c r="D143" s="724">
        <f t="shared" si="203"/>
        <v>1</v>
      </c>
      <c r="E143" s="724">
        <f t="shared" si="203"/>
        <v>1</v>
      </c>
      <c r="F143" s="724">
        <f t="shared" si="203"/>
        <v>1</v>
      </c>
      <c r="G143" s="724">
        <f t="shared" si="203"/>
        <v>1</v>
      </c>
      <c r="H143" s="724">
        <f t="shared" si="203"/>
        <v>1</v>
      </c>
      <c r="I143" s="724">
        <f t="shared" si="203"/>
        <v>1</v>
      </c>
      <c r="J143" s="724">
        <f t="shared" si="203"/>
        <v>1</v>
      </c>
      <c r="K143" s="724">
        <f t="shared" si="203"/>
        <v>1</v>
      </c>
      <c r="L143" s="724">
        <f t="shared" si="203"/>
        <v>1</v>
      </c>
      <c r="M143" s="724">
        <f t="shared" si="203"/>
        <v>1</v>
      </c>
      <c r="N143" s="724">
        <f t="shared" si="203"/>
        <v>1</v>
      </c>
      <c r="O143" s="724">
        <f t="shared" si="203"/>
        <v>1</v>
      </c>
      <c r="P143" s="724">
        <f t="shared" si="203"/>
        <v>1</v>
      </c>
      <c r="Q143" s="724">
        <f t="shared" si="203"/>
        <v>1</v>
      </c>
      <c r="R143" s="724">
        <f t="shared" ref="R143" si="204">SUM(R138:R142)</f>
        <v>1</v>
      </c>
      <c r="AA143" s="2"/>
      <c r="AB143" s="739"/>
      <c r="AD143" s="2"/>
      <c r="AE143" s="735" t="str">
        <f t="shared" si="193"/>
        <v>11 to 50</v>
      </c>
      <c r="AF143" s="736">
        <f t="shared" ref="AF143:AR143" si="205">D135</f>
        <v>3.5389628952032501E-2</v>
      </c>
      <c r="AG143" s="736">
        <f t="shared" si="205"/>
        <v>3.1149039926851599E-2</v>
      </c>
      <c r="AH143" s="736">
        <f t="shared" si="205"/>
        <v>3.1153374948952799E-2</v>
      </c>
      <c r="AI143" s="736">
        <f t="shared" si="205"/>
        <v>3.15838365071993E-2</v>
      </c>
      <c r="AJ143" s="736">
        <f t="shared" si="205"/>
        <v>3.2097334878331399E-2</v>
      </c>
      <c r="AK143" s="736">
        <f t="shared" si="205"/>
        <v>3.1677747360187698E-2</v>
      </c>
      <c r="AL143" s="736">
        <f t="shared" si="205"/>
        <v>3.2249629565065802E-2</v>
      </c>
      <c r="AM143" s="736">
        <f t="shared" si="205"/>
        <v>3.2421140589095503E-2</v>
      </c>
      <c r="AN143" s="736">
        <f t="shared" si="205"/>
        <v>3.3460047423689299E-2</v>
      </c>
      <c r="AO143" s="736">
        <f t="shared" si="205"/>
        <v>3.4146688482606498E-2</v>
      </c>
      <c r="AP143" s="736">
        <f t="shared" si="205"/>
        <v>3.2978309330880001E-2</v>
      </c>
      <c r="AQ143" s="736">
        <f t="shared" si="205"/>
        <v>3.2730923694779097E-2</v>
      </c>
      <c r="AR143" s="736">
        <f t="shared" si="205"/>
        <v>3.2491889699918897E-2</v>
      </c>
      <c r="AS143" s="736">
        <f t="shared" si="173"/>
        <v>3.2639640723364997E-2</v>
      </c>
      <c r="AT143" s="736">
        <f t="shared" si="174"/>
        <v>3.2295810905686902E-2</v>
      </c>
      <c r="AU143" s="734"/>
      <c r="AV143" s="736">
        <f t="shared" si="195"/>
        <v>5.0591745733731201E-2</v>
      </c>
      <c r="AW143" s="736">
        <f t="shared" si="195"/>
        <v>5.0439882697947198E-2</v>
      </c>
      <c r="AX143" s="736">
        <f t="shared" si="195"/>
        <v>5.0955607547628401E-2</v>
      </c>
      <c r="AY143" s="736">
        <f t="shared" si="195"/>
        <v>5.1034692635422998E-2</v>
      </c>
      <c r="AZ143" s="736">
        <f t="shared" si="195"/>
        <v>4.8752797690486203E-2</v>
      </c>
      <c r="BA143" s="736">
        <f t="shared" si="195"/>
        <v>4.8717209570481403E-2</v>
      </c>
      <c r="BB143" s="736">
        <f t="shared" si="195"/>
        <v>4.9754040758959901E-2</v>
      </c>
      <c r="BC143" s="736">
        <f t="shared" si="195"/>
        <v>4.8997616711061301E-2</v>
      </c>
      <c r="BD143" s="736">
        <f t="shared" si="195"/>
        <v>4.8403122782114998E-2</v>
      </c>
      <c r="BE143" s="736">
        <f t="shared" si="195"/>
        <v>4.5199356338279997E-2</v>
      </c>
      <c r="BF143" s="736">
        <f t="shared" si="195"/>
        <v>4.8403122782114998E-2</v>
      </c>
      <c r="BG143" s="736">
        <f t="shared" si="195"/>
        <v>4.5983457170895803E-2</v>
      </c>
      <c r="BH143" s="736">
        <f t="shared" si="195"/>
        <v>5.1345857283050599E-2</v>
      </c>
      <c r="BI143" s="736">
        <f t="shared" ref="BI143:BJ143" si="206">Q141</f>
        <v>4.4773678702250103E-2</v>
      </c>
      <c r="BJ143" s="736">
        <f t="shared" si="206"/>
        <v>4.6281608659139703E-2</v>
      </c>
      <c r="BK143" s="734"/>
      <c r="BL143" s="736">
        <f t="shared" si="185"/>
        <v>2.3017775114839201E-2</v>
      </c>
      <c r="BM143" s="736">
        <f t="shared" si="185"/>
        <v>2.3576264436479501E-2</v>
      </c>
      <c r="BN143" s="736">
        <f t="shared" si="185"/>
        <v>2.2313657224244301E-2</v>
      </c>
      <c r="BO143" s="736">
        <f t="shared" si="185"/>
        <v>2.0028367406827698E-2</v>
      </c>
      <c r="BP143" s="736">
        <f t="shared" si="185"/>
        <v>2.1103855798594699E-2</v>
      </c>
      <c r="BQ143" s="736">
        <f t="shared" si="185"/>
        <v>2.04492007770696E-2</v>
      </c>
      <c r="BR143" s="736">
        <f t="shared" si="185"/>
        <v>2.0573225920338899E-2</v>
      </c>
      <c r="BS143" s="736">
        <f t="shared" si="185"/>
        <v>1.9241123296211301E-2</v>
      </c>
      <c r="BT143" s="736">
        <f t="shared" si="185"/>
        <v>1.88874374047464E-2</v>
      </c>
      <c r="BU143" s="736">
        <f t="shared" si="185"/>
        <v>1.8845792930872698E-2</v>
      </c>
      <c r="BV143" s="736">
        <f t="shared" si="185"/>
        <v>1.7890863312835899E-2</v>
      </c>
      <c r="BW143" s="736">
        <f t="shared" si="185"/>
        <v>1.8477913297702299E-2</v>
      </c>
      <c r="BX143" s="736">
        <f t="shared" si="185"/>
        <v>1.8633386264390601E-2</v>
      </c>
      <c r="BY143" s="736">
        <f t="shared" ref="BY143:BZ143" si="207">Q147</f>
        <v>1.8637833567849101E-2</v>
      </c>
      <c r="BZ143" s="736">
        <f t="shared" si="207"/>
        <v>2.0207638116425699E-2</v>
      </c>
      <c r="CA143" s="734"/>
      <c r="CB143" s="743">
        <f t="shared" si="187"/>
        <v>3.0616942909760601E-2</v>
      </c>
      <c r="CC143" s="743">
        <f t="shared" si="187"/>
        <v>3.0359634514110799E-2</v>
      </c>
      <c r="CD143" s="743">
        <f t="shared" si="187"/>
        <v>3.2572331899562497E-2</v>
      </c>
      <c r="CE143" s="743">
        <f t="shared" si="187"/>
        <v>3.2531413088938602E-2</v>
      </c>
      <c r="CF143" s="743">
        <f t="shared" si="187"/>
        <v>3.35379219640509E-2</v>
      </c>
      <c r="CG143" s="743">
        <f t="shared" si="187"/>
        <v>3.68864891099921E-2</v>
      </c>
      <c r="CH143" s="743">
        <f t="shared" si="187"/>
        <v>3.8242562131916701E-2</v>
      </c>
      <c r="CI143" s="743">
        <f t="shared" si="187"/>
        <v>3.4973000337495799E-2</v>
      </c>
      <c r="CJ143" s="743">
        <f t="shared" si="187"/>
        <v>3.4555719342578901E-2</v>
      </c>
      <c r="CK143" s="743">
        <f t="shared" si="187"/>
        <v>3.48806796187607E-2</v>
      </c>
      <c r="CL143" s="743">
        <f t="shared" si="187"/>
        <v>3.77927524621837E-2</v>
      </c>
      <c r="CM143" s="743">
        <f t="shared" si="187"/>
        <v>3.5580151466256503E-2</v>
      </c>
      <c r="CN143" s="743">
        <f t="shared" si="187"/>
        <v>3.66055657084879E-2</v>
      </c>
      <c r="CO143" s="743">
        <f t="shared" si="188"/>
        <v>4.0399720446034598E-2</v>
      </c>
      <c r="CP143" s="743">
        <f t="shared" si="189"/>
        <v>3.9679729723965197E-2</v>
      </c>
      <c r="CQ143" s="734"/>
      <c r="CR143" s="743">
        <f t="shared" si="190"/>
        <v>5.2069835640728403E-2</v>
      </c>
      <c r="CS143" s="743">
        <f t="shared" si="190"/>
        <v>3.60976276748479E-2</v>
      </c>
      <c r="CT143" s="743">
        <f t="shared" si="190"/>
        <v>3.5643400595434999E-2</v>
      </c>
      <c r="CU143" s="743">
        <f t="shared" si="190"/>
        <v>3.5420583822384298E-2</v>
      </c>
      <c r="CV143" s="743">
        <f t="shared" si="190"/>
        <v>3.6784938450398298E-2</v>
      </c>
      <c r="CW143" s="743">
        <f t="shared" si="190"/>
        <v>3.6629836268825398E-2</v>
      </c>
      <c r="CX143" s="743">
        <f t="shared" si="190"/>
        <v>3.7121675603699597E-2</v>
      </c>
      <c r="CY143" s="743">
        <f t="shared" si="190"/>
        <v>3.7046539073323399E-2</v>
      </c>
      <c r="CZ143" s="743">
        <f t="shared" si="190"/>
        <v>3.6766721491228102E-2</v>
      </c>
      <c r="DA143" s="743">
        <f t="shared" si="190"/>
        <v>3.7006275378368397E-2</v>
      </c>
      <c r="DB143" s="743">
        <f t="shared" si="190"/>
        <v>3.6386810919078E-2</v>
      </c>
      <c r="DC143" s="743">
        <f t="shared" si="190"/>
        <v>3.5227430261394597E-2</v>
      </c>
      <c r="DD143" s="743">
        <f t="shared" si="190"/>
        <v>3.52044051909483E-2</v>
      </c>
      <c r="DE143" s="746">
        <f t="shared" si="190"/>
        <v>3.849042746741E-2</v>
      </c>
    </row>
    <row r="144" spans="1:109" s="123" customFormat="1">
      <c r="A144" s="1406" t="s">
        <v>146</v>
      </c>
      <c r="B144" s="684">
        <v>1</v>
      </c>
      <c r="C144" s="720">
        <f t="shared" ref="C144:N144" si="208">C111/C$116</f>
        <v>0.66953309863219301</v>
      </c>
      <c r="D144" s="720">
        <f t="shared" si="208"/>
        <v>0.65313561014579602</v>
      </c>
      <c r="E144" s="720">
        <f t="shared" si="208"/>
        <v>0.63556352050975695</v>
      </c>
      <c r="F144" s="720">
        <f t="shared" si="208"/>
        <v>0.66855515113150799</v>
      </c>
      <c r="G144" s="720">
        <f t="shared" si="208"/>
        <v>0.67047344223809102</v>
      </c>
      <c r="H144" s="720">
        <f t="shared" si="208"/>
        <v>0.66998535144126903</v>
      </c>
      <c r="I144" s="720">
        <f t="shared" si="208"/>
        <v>0.68457107801370098</v>
      </c>
      <c r="J144" s="720">
        <f t="shared" si="208"/>
        <v>0.685496036203742</v>
      </c>
      <c r="K144" s="720">
        <f t="shared" si="208"/>
        <v>0.68313072062115698</v>
      </c>
      <c r="L144" s="720">
        <f t="shared" si="208"/>
        <v>0.68471042891356404</v>
      </c>
      <c r="M144" s="720">
        <f t="shared" si="208"/>
        <v>0.68392242727557095</v>
      </c>
      <c r="N144" s="720">
        <f t="shared" si="208"/>
        <v>0.681571684501041</v>
      </c>
      <c r="O144" s="720">
        <f t="shared" ref="O144:P148" si="209">O111/O$116</f>
        <v>0.67440957471106799</v>
      </c>
      <c r="P144" s="720">
        <f t="shared" si="209"/>
        <v>0.67764986105597502</v>
      </c>
      <c r="Q144" s="720">
        <f t="shared" ref="Q144:R144" si="210">Q111/Q$116</f>
        <v>0.67760250808462297</v>
      </c>
      <c r="R144" s="720">
        <f t="shared" si="210"/>
        <v>0.67365856242385702</v>
      </c>
      <c r="AA144" s="2"/>
      <c r="AB144" s="571"/>
      <c r="AD144" s="2"/>
      <c r="AE144" s="735" t="str">
        <f t="shared" si="193"/>
        <v>51 and more</v>
      </c>
      <c r="AF144" s="736">
        <f t="shared" ref="AF144:AR144" si="211">D136</f>
        <v>7.60391058258533E-3</v>
      </c>
      <c r="AG144" s="736">
        <f t="shared" si="211"/>
        <v>1.02407802499238E-2</v>
      </c>
      <c r="AH144" s="736">
        <f t="shared" si="211"/>
        <v>9.7427221282305604E-3</v>
      </c>
      <c r="AI144" s="736">
        <f t="shared" si="211"/>
        <v>1.0624709707385001E-2</v>
      </c>
      <c r="AJ144" s="736">
        <f t="shared" si="211"/>
        <v>1.0544611819235199E-2</v>
      </c>
      <c r="AK144" s="736">
        <f t="shared" si="211"/>
        <v>1.0224034862282801E-2</v>
      </c>
      <c r="AL144" s="736">
        <f t="shared" si="211"/>
        <v>1.1069467445306401E-2</v>
      </c>
      <c r="AM144" s="736">
        <f t="shared" si="211"/>
        <v>1.12805514936286E-2</v>
      </c>
      <c r="AN144" s="736">
        <f t="shared" si="211"/>
        <v>1.2194662953065601E-2</v>
      </c>
      <c r="AO144" s="736">
        <f t="shared" si="211"/>
        <v>1.1737924165896E-2</v>
      </c>
      <c r="AP144" s="736">
        <f t="shared" si="211"/>
        <v>1.1641484731608901E-2</v>
      </c>
      <c r="AQ144" s="736">
        <f t="shared" si="211"/>
        <v>1.08835341365462E-2</v>
      </c>
      <c r="AR144" s="736">
        <f t="shared" si="211"/>
        <v>1.0847526358475299E-2</v>
      </c>
      <c r="AS144" s="736">
        <f t="shared" si="173"/>
        <v>1.04254380688881E-2</v>
      </c>
      <c r="AT144" s="736">
        <f t="shared" si="174"/>
        <v>1.0687261096809401E-2</v>
      </c>
      <c r="AU144" s="734"/>
      <c r="AV144" s="736">
        <f t="shared" si="195"/>
        <v>2.0350688973078099E-2</v>
      </c>
      <c r="AW144" s="736">
        <f t="shared" si="195"/>
        <v>2.0821114369501501E-2</v>
      </c>
      <c r="AX144" s="736">
        <f t="shared" si="195"/>
        <v>2.1877183920269799E-2</v>
      </c>
      <c r="AY144" s="736">
        <f t="shared" si="195"/>
        <v>2.1545952525867301E-2</v>
      </c>
      <c r="AZ144" s="736">
        <f t="shared" si="195"/>
        <v>2.00460605274255E-2</v>
      </c>
      <c r="BA144" s="736">
        <f t="shared" si="195"/>
        <v>1.8809455174401801E-2</v>
      </c>
      <c r="BB144" s="736">
        <f t="shared" si="195"/>
        <v>1.9149683766690101E-2</v>
      </c>
      <c r="BC144" s="736">
        <f t="shared" si="195"/>
        <v>1.9171456610122001E-2</v>
      </c>
      <c r="BD144" s="736">
        <f t="shared" si="195"/>
        <v>1.9056068133428E-2</v>
      </c>
      <c r="BE144" s="736">
        <f t="shared" si="195"/>
        <v>1.8165564097979599E-2</v>
      </c>
      <c r="BF144" s="736">
        <f t="shared" si="195"/>
        <v>1.9056068133428E-2</v>
      </c>
      <c r="BG144" s="736">
        <f t="shared" si="195"/>
        <v>1.80849572409926E-2</v>
      </c>
      <c r="BH144" s="736">
        <f t="shared" si="195"/>
        <v>1.9627085377821402E-2</v>
      </c>
      <c r="BI144" s="736">
        <f t="shared" ref="BI144:BJ144" si="212">Q142</f>
        <v>1.7072213500784899E-2</v>
      </c>
      <c r="BJ144" s="736">
        <f t="shared" si="212"/>
        <v>1.7200087089048601E-2</v>
      </c>
      <c r="BK144" s="734"/>
      <c r="BL144" s="736">
        <f t="shared" si="185"/>
        <v>6.7405632115038897E-3</v>
      </c>
      <c r="BM144" s="736">
        <f t="shared" si="185"/>
        <v>7.7658303464755102E-3</v>
      </c>
      <c r="BN144" s="736">
        <f t="shared" si="185"/>
        <v>7.4378857414147802E-3</v>
      </c>
      <c r="BO144" s="736">
        <f t="shared" si="185"/>
        <v>6.8228504352929702E-3</v>
      </c>
      <c r="BP144" s="736">
        <f t="shared" si="185"/>
        <v>6.9270303150681502E-3</v>
      </c>
      <c r="BQ144" s="736">
        <f t="shared" si="185"/>
        <v>7.6343682901059903E-3</v>
      </c>
      <c r="BR144" s="736">
        <f t="shared" si="185"/>
        <v>7.1893956414288904E-3</v>
      </c>
      <c r="BS144" s="736">
        <f t="shared" si="185"/>
        <v>7.0843605656153502E-3</v>
      </c>
      <c r="BT144" s="736">
        <f t="shared" si="185"/>
        <v>6.3956020030481201E-3</v>
      </c>
      <c r="BU144" s="736">
        <f t="shared" si="185"/>
        <v>6.22979876967991E-3</v>
      </c>
      <c r="BV144" s="736">
        <f t="shared" si="185"/>
        <v>6.1976468309688703E-3</v>
      </c>
      <c r="BW144" s="736">
        <f t="shared" si="185"/>
        <v>6.3724818418528202E-3</v>
      </c>
      <c r="BX144" s="736">
        <f t="shared" si="185"/>
        <v>6.4757840412862202E-3</v>
      </c>
      <c r="BY144" s="736">
        <f t="shared" ref="BY144:BZ144" si="213">Q148</f>
        <v>6.5170702806783701E-3</v>
      </c>
      <c r="BZ144" s="736">
        <f t="shared" si="213"/>
        <v>6.6211134064304298E-3</v>
      </c>
      <c r="CA144" s="734"/>
      <c r="CB144" s="743">
        <f t="shared" si="187"/>
        <v>8.3736187845303896E-3</v>
      </c>
      <c r="CC144" s="743">
        <f t="shared" si="187"/>
        <v>9.2721789620560796E-3</v>
      </c>
      <c r="CD144" s="743">
        <f t="shared" si="187"/>
        <v>9.3195103121208808E-3</v>
      </c>
      <c r="CE144" s="743">
        <f t="shared" si="187"/>
        <v>8.67383121488189E-3</v>
      </c>
      <c r="CF144" s="743">
        <f t="shared" si="187"/>
        <v>8.9872862779482691E-3</v>
      </c>
      <c r="CG144" s="743">
        <f t="shared" si="187"/>
        <v>9.5006976885275707E-3</v>
      </c>
      <c r="CH144" s="743">
        <f t="shared" si="187"/>
        <v>9.6994371931505199E-3</v>
      </c>
      <c r="CI144" s="743">
        <f t="shared" si="187"/>
        <v>1.00615929800877E-2</v>
      </c>
      <c r="CJ144" s="743">
        <f t="shared" si="187"/>
        <v>9.4361381025440498E-3</v>
      </c>
      <c r="CK144" s="743">
        <f t="shared" si="187"/>
        <v>1.0943368590649E-2</v>
      </c>
      <c r="CL144" s="743">
        <f t="shared" si="187"/>
        <v>1.1092785448376601E-2</v>
      </c>
      <c r="CM144" s="743">
        <f t="shared" si="187"/>
        <v>9.9970475752353405E-3</v>
      </c>
      <c r="CN144" s="743">
        <f t="shared" si="187"/>
        <v>1.0341729366966399E-2</v>
      </c>
      <c r="CO144" s="743">
        <f t="shared" si="188"/>
        <v>1.0019088946144099E-2</v>
      </c>
      <c r="CP144" s="743">
        <f t="shared" si="189"/>
        <v>8.1773857106903197E-3</v>
      </c>
      <c r="CQ144" s="734"/>
      <c r="CR144" s="743">
        <f t="shared" si="190"/>
        <v>1.69815181067994E-2</v>
      </c>
      <c r="CS144" s="743">
        <f t="shared" si="190"/>
        <v>1.1508397711993801E-2</v>
      </c>
      <c r="CT144" s="743">
        <f t="shared" si="190"/>
        <v>1.20740985775719E-2</v>
      </c>
      <c r="CU144" s="743">
        <f t="shared" si="190"/>
        <v>1.20410992725961E-2</v>
      </c>
      <c r="CV144" s="743">
        <f t="shared" si="190"/>
        <v>1.24909485879797E-2</v>
      </c>
      <c r="CW144" s="743">
        <f t="shared" si="190"/>
        <v>1.2544214710279699E-2</v>
      </c>
      <c r="CX144" s="743">
        <f t="shared" si="190"/>
        <v>1.2433871954511099E-2</v>
      </c>
      <c r="CY144" s="743">
        <f t="shared" si="190"/>
        <v>1.2827748986607801E-2</v>
      </c>
      <c r="CZ144" s="743">
        <f t="shared" si="190"/>
        <v>1.2232730263157901E-2</v>
      </c>
      <c r="DA144" s="743">
        <f t="shared" si="190"/>
        <v>1.2612280054140499E-2</v>
      </c>
      <c r="DB144" s="743">
        <f t="shared" si="190"/>
        <v>1.2032836137960299E-2</v>
      </c>
      <c r="DC144" s="743">
        <f t="shared" si="190"/>
        <v>1.1383065572002899E-2</v>
      </c>
      <c r="DD144" s="743">
        <f t="shared" si="190"/>
        <v>1.13377983325857E-2</v>
      </c>
      <c r="DE144" s="746">
        <f t="shared" si="190"/>
        <v>1.2385037806079E-2</v>
      </c>
    </row>
    <row r="145" spans="1:109" s="123" customFormat="1">
      <c r="A145" s="1407"/>
      <c r="B145" s="686" t="s">
        <v>425</v>
      </c>
      <c r="C145" s="722">
        <f t="shared" ref="C145:N145" si="214">C112/C$116</f>
        <v>0.27494661510936702</v>
      </c>
      <c r="D145" s="722">
        <f t="shared" si="214"/>
        <v>0.28659876173357302</v>
      </c>
      <c r="E145" s="722">
        <f t="shared" si="214"/>
        <v>0.29800876144962202</v>
      </c>
      <c r="F145" s="722">
        <f t="shared" si="214"/>
        <v>0.26997942712454498</v>
      </c>
      <c r="G145" s="722">
        <f t="shared" si="214"/>
        <v>0.270810916560696</v>
      </c>
      <c r="H145" s="722">
        <f t="shared" si="214"/>
        <v>0.27226456786751702</v>
      </c>
      <c r="I145" s="722">
        <f t="shared" si="214"/>
        <v>0.25967076786748899</v>
      </c>
      <c r="J145" s="722">
        <f t="shared" si="214"/>
        <v>0.25994158616041302</v>
      </c>
      <c r="K145" s="722">
        <f t="shared" si="214"/>
        <v>0.26325483861826598</v>
      </c>
      <c r="L145" s="722">
        <f t="shared" si="214"/>
        <v>0.26401589375136097</v>
      </c>
      <c r="M145" s="722">
        <f t="shared" si="214"/>
        <v>0.26532686893963098</v>
      </c>
      <c r="N145" s="722">
        <f t="shared" si="214"/>
        <v>0.26860504527187301</v>
      </c>
      <c r="O145" s="722">
        <f t="shared" si="209"/>
        <v>0.272829016490795</v>
      </c>
      <c r="P145" s="722">
        <f t="shared" si="209"/>
        <v>0.26922886065899199</v>
      </c>
      <c r="Q145" s="722">
        <f t="shared" ref="Q145:R145" si="215">Q112/Q$116</f>
        <v>0.26843417512157802</v>
      </c>
      <c r="R145" s="722">
        <f t="shared" si="215"/>
        <v>0.27043275597224398</v>
      </c>
      <c r="AA145" s="2"/>
      <c r="AB145" s="571"/>
      <c r="AD145" s="2"/>
      <c r="AE145" s="740"/>
      <c r="AF145" s="741">
        <f>D104</f>
        <v>17491</v>
      </c>
      <c r="AG145" s="741">
        <f t="shared" ref="AG145:AR145" si="216">E104</f>
        <v>16405</v>
      </c>
      <c r="AH145" s="741">
        <f t="shared" si="216"/>
        <v>17141</v>
      </c>
      <c r="AI145" s="741">
        <f t="shared" si="216"/>
        <v>17224</v>
      </c>
      <c r="AJ145" s="741">
        <f t="shared" si="216"/>
        <v>17260</v>
      </c>
      <c r="AK145" s="741">
        <f t="shared" si="216"/>
        <v>17899</v>
      </c>
      <c r="AL145" s="741">
        <f t="shared" si="216"/>
        <v>22946</v>
      </c>
      <c r="AM145" s="741">
        <f t="shared" si="216"/>
        <v>23935</v>
      </c>
      <c r="AN145" s="741">
        <f t="shared" si="216"/>
        <v>26569</v>
      </c>
      <c r="AO145" s="741">
        <f t="shared" si="216"/>
        <v>28114</v>
      </c>
      <c r="AP145" s="741">
        <f t="shared" si="216"/>
        <v>28261</v>
      </c>
      <c r="AQ145" s="741">
        <f t="shared" si="216"/>
        <v>24900</v>
      </c>
      <c r="AR145" s="741">
        <f t="shared" si="216"/>
        <v>19728</v>
      </c>
      <c r="AS145" s="741">
        <f t="shared" ref="AS145" si="217">Q104</f>
        <v>24939</v>
      </c>
      <c r="AT145" s="741">
        <f t="shared" ref="AT145" si="218">R104</f>
        <v>25638</v>
      </c>
      <c r="AU145" s="742"/>
      <c r="AV145" s="741">
        <f t="shared" ref="AV145:BH145" si="219">D110</f>
        <v>29827</v>
      </c>
      <c r="AW145" s="741">
        <f t="shared" si="219"/>
        <v>30690</v>
      </c>
      <c r="AX145" s="741">
        <f t="shared" si="219"/>
        <v>32911</v>
      </c>
      <c r="AY145" s="741">
        <f t="shared" si="219"/>
        <v>32860</v>
      </c>
      <c r="AZ145" s="741">
        <f t="shared" si="219"/>
        <v>30829</v>
      </c>
      <c r="BA145" s="741">
        <f t="shared" si="219"/>
        <v>27752</v>
      </c>
      <c r="BB145" s="741">
        <f t="shared" si="219"/>
        <v>28460</v>
      </c>
      <c r="BC145" s="741">
        <f t="shared" si="219"/>
        <v>28532</v>
      </c>
      <c r="BD145" s="741">
        <f t="shared" si="219"/>
        <v>28180</v>
      </c>
      <c r="BE145" s="741">
        <f t="shared" si="219"/>
        <v>27965</v>
      </c>
      <c r="BF145" s="741">
        <f t="shared" si="219"/>
        <v>28180</v>
      </c>
      <c r="BG145" s="741">
        <f t="shared" si="219"/>
        <v>28532</v>
      </c>
      <c r="BH145" s="741">
        <f t="shared" si="219"/>
        <v>28532</v>
      </c>
      <c r="BI145" s="741">
        <f t="shared" ref="BI145:BJ145" si="220">Q110</f>
        <v>30576</v>
      </c>
      <c r="BJ145" s="741">
        <f t="shared" si="220"/>
        <v>32151</v>
      </c>
      <c r="BK145" s="742"/>
      <c r="BL145" s="741">
        <f t="shared" ref="BL145:BX145" si="221">D116</f>
        <v>20028</v>
      </c>
      <c r="BM145" s="741">
        <f t="shared" si="221"/>
        <v>25110</v>
      </c>
      <c r="BN145" s="741">
        <f t="shared" si="221"/>
        <v>31595</v>
      </c>
      <c r="BO145" s="741">
        <f t="shared" si="221"/>
        <v>40892</v>
      </c>
      <c r="BP145" s="741">
        <f t="shared" si="221"/>
        <v>40277</v>
      </c>
      <c r="BQ145" s="741">
        <f t="shared" si="221"/>
        <v>29341</v>
      </c>
      <c r="BR145" s="741">
        <f t="shared" si="221"/>
        <v>31157</v>
      </c>
      <c r="BS145" s="741">
        <f t="shared" si="221"/>
        <v>35289</v>
      </c>
      <c r="BT145" s="741">
        <f t="shared" si="221"/>
        <v>36744</v>
      </c>
      <c r="BU145" s="741">
        <f t="shared" si="221"/>
        <v>38364</v>
      </c>
      <c r="BV145" s="741">
        <f t="shared" si="221"/>
        <v>41306</v>
      </c>
      <c r="BW145" s="741">
        <f t="shared" si="221"/>
        <v>43782</v>
      </c>
      <c r="BX145" s="741">
        <f t="shared" si="221"/>
        <v>40304</v>
      </c>
      <c r="BY145" s="741">
        <f t="shared" ref="BY145:BZ145" si="222">Q116</f>
        <v>40509</v>
      </c>
      <c r="BZ145" s="741">
        <f t="shared" si="222"/>
        <v>37758</v>
      </c>
      <c r="CA145" s="742"/>
      <c r="CB145" s="741">
        <f t="shared" ref="CB145:CN145" si="223">D117</f>
        <v>24194</v>
      </c>
      <c r="CC145" s="741">
        <f t="shared" si="223"/>
        <v>30086</v>
      </c>
      <c r="CD145" s="741">
        <f t="shared" si="223"/>
        <v>35799</v>
      </c>
      <c r="CE145" s="741">
        <f t="shared" si="223"/>
        <v>36153</v>
      </c>
      <c r="CF145" s="741">
        <f t="shared" si="223"/>
        <v>38371</v>
      </c>
      <c r="CG145" s="741">
        <f t="shared" si="223"/>
        <v>50644</v>
      </c>
      <c r="CH145" s="741">
        <f t="shared" si="223"/>
        <v>55914</v>
      </c>
      <c r="CI145" s="741">
        <f t="shared" si="223"/>
        <v>58928</v>
      </c>
      <c r="CJ145" s="741">
        <f t="shared" si="223"/>
        <v>61677</v>
      </c>
      <c r="CK145" s="741">
        <f t="shared" si="223"/>
        <v>60190</v>
      </c>
      <c r="CL145" s="741">
        <f t="shared" si="223"/>
        <v>64822</v>
      </c>
      <c r="CM145" s="741">
        <f t="shared" si="223"/>
        <v>89190</v>
      </c>
      <c r="CN145" s="741">
        <f t="shared" si="223"/>
        <v>98525</v>
      </c>
      <c r="CO145" s="741">
        <f t="shared" ref="CO145:CP145" si="224">Q117</f>
        <v>111475</v>
      </c>
      <c r="CP145" s="741">
        <f t="shared" si="224"/>
        <v>131888</v>
      </c>
      <c r="CQ145" s="742"/>
      <c r="CR145" s="741">
        <f t="shared" ref="CR145:DE145" si="225">D123</f>
        <v>17650</v>
      </c>
      <c r="CS145" s="741">
        <f t="shared" si="225"/>
        <v>30686</v>
      </c>
      <c r="CT145" s="741">
        <f t="shared" si="225"/>
        <v>33594</v>
      </c>
      <c r="CU145" s="741">
        <f t="shared" si="225"/>
        <v>36468</v>
      </c>
      <c r="CV145" s="741">
        <f t="shared" si="225"/>
        <v>38195</v>
      </c>
      <c r="CW145" s="741">
        <f t="shared" si="225"/>
        <v>37864</v>
      </c>
      <c r="CX145" s="741">
        <f t="shared" si="225"/>
        <v>38339</v>
      </c>
      <c r="CY145" s="741">
        <f t="shared" si="225"/>
        <v>39873</v>
      </c>
      <c r="CZ145" s="741">
        <f t="shared" si="225"/>
        <v>40370</v>
      </c>
      <c r="DA145" s="741">
        <f t="shared" si="225"/>
        <v>44633</v>
      </c>
      <c r="DB145" s="741">
        <f t="shared" si="225"/>
        <v>45579</v>
      </c>
      <c r="DC145" s="741">
        <f t="shared" si="225"/>
        <v>45001</v>
      </c>
      <c r="DD145" s="741">
        <f t="shared" si="225"/>
        <v>45342</v>
      </c>
      <c r="DE145" s="747">
        <f t="shared" si="225"/>
        <v>40497</v>
      </c>
    </row>
    <row r="146" spans="1:109" s="123" customFormat="1">
      <c r="A146" s="1407"/>
      <c r="B146" s="686" t="s">
        <v>426</v>
      </c>
      <c r="C146" s="722">
        <f t="shared" ref="C146:N146" si="226">C113/C$116</f>
        <v>2.8568130663126901E-2</v>
      </c>
      <c r="D146" s="722">
        <f t="shared" si="226"/>
        <v>3.0507289794288E-2</v>
      </c>
      <c r="E146" s="722">
        <f t="shared" si="226"/>
        <v>3.5085623257666301E-2</v>
      </c>
      <c r="F146" s="722">
        <f t="shared" si="226"/>
        <v>3.1713878778287699E-2</v>
      </c>
      <c r="G146" s="722">
        <f t="shared" si="226"/>
        <v>3.1864423359092203E-2</v>
      </c>
      <c r="H146" s="722">
        <f t="shared" si="226"/>
        <v>2.9719194577550501E-2</v>
      </c>
      <c r="I146" s="722">
        <f t="shared" si="226"/>
        <v>2.7674585051634198E-2</v>
      </c>
      <c r="J146" s="722">
        <f t="shared" si="226"/>
        <v>2.6799756074076499E-2</v>
      </c>
      <c r="K146" s="722">
        <f t="shared" si="226"/>
        <v>2.72889568987503E-2</v>
      </c>
      <c r="L146" s="722">
        <f t="shared" si="226"/>
        <v>2.59906379272806E-2</v>
      </c>
      <c r="M146" s="722">
        <f t="shared" si="226"/>
        <v>2.56751120842456E-2</v>
      </c>
      <c r="N146" s="722">
        <f t="shared" si="226"/>
        <v>2.5734760083280898E-2</v>
      </c>
      <c r="O146" s="722">
        <f t="shared" si="209"/>
        <v>2.7911013658581198E-2</v>
      </c>
      <c r="P146" s="722">
        <f t="shared" si="209"/>
        <v>2.8012107979356899E-2</v>
      </c>
      <c r="Q146" s="722">
        <f t="shared" ref="Q146:R146" si="227">Q113/Q$116</f>
        <v>2.8808412945271401E-2</v>
      </c>
      <c r="R146" s="722">
        <f t="shared" si="227"/>
        <v>2.9079930081042399E-2</v>
      </c>
      <c r="AA146" s="2"/>
      <c r="AB146" s="571"/>
      <c r="AD146" s="2"/>
      <c r="AO146" s="2"/>
      <c r="BC146" s="2"/>
    </row>
    <row r="147" spans="1:109">
      <c r="A147" s="1407"/>
      <c r="B147" s="686" t="s">
        <v>427</v>
      </c>
      <c r="C147" s="722">
        <f t="shared" ref="C147:N147" si="228">C114/C$116</f>
        <v>2.0603682114618799E-2</v>
      </c>
      <c r="D147" s="722">
        <f t="shared" si="228"/>
        <v>2.3017775114839201E-2</v>
      </c>
      <c r="E147" s="722">
        <f t="shared" si="228"/>
        <v>2.3576264436479501E-2</v>
      </c>
      <c r="F147" s="722">
        <f t="shared" si="228"/>
        <v>2.2313657224244301E-2</v>
      </c>
      <c r="G147" s="722">
        <f t="shared" si="228"/>
        <v>2.0028367406827698E-2</v>
      </c>
      <c r="H147" s="722">
        <f t="shared" si="228"/>
        <v>2.1103855798594699E-2</v>
      </c>
      <c r="I147" s="722">
        <f t="shared" si="228"/>
        <v>2.04492007770696E-2</v>
      </c>
      <c r="J147" s="722">
        <f t="shared" si="228"/>
        <v>2.0573225920338899E-2</v>
      </c>
      <c r="K147" s="722">
        <f t="shared" si="228"/>
        <v>1.9241123296211301E-2</v>
      </c>
      <c r="L147" s="722">
        <f t="shared" si="228"/>
        <v>1.88874374047464E-2</v>
      </c>
      <c r="M147" s="722">
        <f t="shared" si="228"/>
        <v>1.8845792930872698E-2</v>
      </c>
      <c r="N147" s="722">
        <f t="shared" si="228"/>
        <v>1.7890863312835899E-2</v>
      </c>
      <c r="O147" s="722">
        <f t="shared" si="209"/>
        <v>1.8477913297702299E-2</v>
      </c>
      <c r="P147" s="722">
        <f t="shared" si="209"/>
        <v>1.8633386264390601E-2</v>
      </c>
      <c r="Q147" s="722">
        <f t="shared" ref="Q147:R147" si="229">Q114/Q$116</f>
        <v>1.8637833567849101E-2</v>
      </c>
      <c r="R147" s="722">
        <f t="shared" si="229"/>
        <v>2.0207638116425699E-2</v>
      </c>
      <c r="AA147" s="2"/>
      <c r="AD147" s="2"/>
      <c r="AO147" s="2"/>
      <c r="BC147" s="2"/>
    </row>
    <row r="148" spans="1:109">
      <c r="A148" s="1407"/>
      <c r="B148" s="686" t="s">
        <v>428</v>
      </c>
      <c r="C148" s="722">
        <f t="shared" ref="C148:N148" si="230">C115/C$116</f>
        <v>6.3484734806948696E-3</v>
      </c>
      <c r="D148" s="722">
        <f t="shared" si="230"/>
        <v>6.7405632115038897E-3</v>
      </c>
      <c r="E148" s="722">
        <f t="shared" si="230"/>
        <v>7.7658303464755102E-3</v>
      </c>
      <c r="F148" s="722">
        <f t="shared" si="230"/>
        <v>7.4378857414147802E-3</v>
      </c>
      <c r="G148" s="722">
        <f t="shared" si="230"/>
        <v>6.8228504352929702E-3</v>
      </c>
      <c r="H148" s="722">
        <f t="shared" si="230"/>
        <v>6.9270303150681502E-3</v>
      </c>
      <c r="I148" s="722">
        <f t="shared" si="230"/>
        <v>7.6343682901059903E-3</v>
      </c>
      <c r="J148" s="722">
        <f t="shared" si="230"/>
        <v>7.1893956414288904E-3</v>
      </c>
      <c r="K148" s="722">
        <f t="shared" si="230"/>
        <v>7.0843605656153502E-3</v>
      </c>
      <c r="L148" s="722">
        <f t="shared" si="230"/>
        <v>6.3956020030481201E-3</v>
      </c>
      <c r="M148" s="722">
        <f t="shared" si="230"/>
        <v>6.22979876967991E-3</v>
      </c>
      <c r="N148" s="722">
        <f t="shared" si="230"/>
        <v>6.1976468309688703E-3</v>
      </c>
      <c r="O148" s="722">
        <f t="shared" si="209"/>
        <v>6.3724818418528202E-3</v>
      </c>
      <c r="P148" s="722">
        <f t="shared" si="209"/>
        <v>6.4757840412862202E-3</v>
      </c>
      <c r="Q148" s="722">
        <f t="shared" ref="Q148:R148" si="231">Q115/Q$116</f>
        <v>6.5170702806783701E-3</v>
      </c>
      <c r="R148" s="722">
        <f t="shared" si="231"/>
        <v>6.6211134064304298E-3</v>
      </c>
      <c r="AA148" s="2"/>
      <c r="AD148" s="2"/>
      <c r="AO148" s="2"/>
      <c r="BC148" s="2"/>
    </row>
    <row r="149" spans="1:109">
      <c r="A149" s="1408"/>
      <c r="B149" s="689" t="s">
        <v>62</v>
      </c>
      <c r="C149" s="724">
        <f t="shared" ref="C149:Q149" si="232">SUM(C144:C148)</f>
        <v>1</v>
      </c>
      <c r="D149" s="724">
        <f t="shared" si="232"/>
        <v>1</v>
      </c>
      <c r="E149" s="724">
        <f t="shared" si="232"/>
        <v>1</v>
      </c>
      <c r="F149" s="724">
        <f t="shared" si="232"/>
        <v>1</v>
      </c>
      <c r="G149" s="724">
        <f t="shared" si="232"/>
        <v>1</v>
      </c>
      <c r="H149" s="724">
        <f t="shared" si="232"/>
        <v>1</v>
      </c>
      <c r="I149" s="724">
        <f t="shared" si="232"/>
        <v>1</v>
      </c>
      <c r="J149" s="724">
        <f t="shared" si="232"/>
        <v>1</v>
      </c>
      <c r="K149" s="724">
        <f t="shared" si="232"/>
        <v>1</v>
      </c>
      <c r="L149" s="724">
        <f t="shared" si="232"/>
        <v>1</v>
      </c>
      <c r="M149" s="724">
        <f t="shared" si="232"/>
        <v>1</v>
      </c>
      <c r="N149" s="724">
        <f t="shared" si="232"/>
        <v>1</v>
      </c>
      <c r="O149" s="724">
        <f t="shared" si="232"/>
        <v>1</v>
      </c>
      <c r="P149" s="724">
        <f t="shared" si="232"/>
        <v>1</v>
      </c>
      <c r="Q149" s="724">
        <f t="shared" si="232"/>
        <v>1</v>
      </c>
      <c r="R149" s="724">
        <f t="shared" ref="R149" si="233">SUM(R144:R148)</f>
        <v>1</v>
      </c>
      <c r="AA149" s="2"/>
      <c r="AD149" s="2"/>
      <c r="AO149" s="2"/>
      <c r="BC149" s="2"/>
    </row>
    <row r="150" spans="1:109">
      <c r="A150" s="1406" t="s">
        <v>156</v>
      </c>
      <c r="B150" s="684">
        <v>1</v>
      </c>
      <c r="C150" s="726"/>
      <c r="D150" s="720">
        <f t="shared" ref="D150:M154" si="234">D117/D$122</f>
        <v>0.69619014732965001</v>
      </c>
      <c r="E150" s="720">
        <f t="shared" si="234"/>
        <v>0.67709411711752299</v>
      </c>
      <c r="F150" s="720">
        <f t="shared" si="234"/>
        <v>0.65804566008602605</v>
      </c>
      <c r="G150" s="720">
        <f t="shared" si="234"/>
        <v>0.65741094321095395</v>
      </c>
      <c r="H150" s="720">
        <f t="shared" si="234"/>
        <v>0.647000303510606</v>
      </c>
      <c r="I150" s="720">
        <f t="shared" si="234"/>
        <v>0.61449978766001301</v>
      </c>
      <c r="J150" s="720">
        <f t="shared" si="234"/>
        <v>0.60868050641730398</v>
      </c>
      <c r="K150" s="720">
        <f t="shared" si="234"/>
        <v>0.62149848126898399</v>
      </c>
      <c r="L150" s="720">
        <f t="shared" si="234"/>
        <v>0.61848319845973299</v>
      </c>
      <c r="M150" s="720">
        <f t="shared" si="234"/>
        <v>0.62971448897816595</v>
      </c>
      <c r="N150" s="720">
        <f>N117/N$122</f>
        <v>0.61092314217049104</v>
      </c>
      <c r="O150" s="720">
        <f>O117/O$122</f>
        <v>0.61238782502420297</v>
      </c>
      <c r="P150" s="720">
        <f>P117/P$122</f>
        <v>0.60219792309714004</v>
      </c>
      <c r="Q150" s="720">
        <f>Q117/Q$122</f>
        <v>0.58140444574253902</v>
      </c>
      <c r="R150" s="720">
        <f>R117/R$122</f>
        <v>0.56259731174310101</v>
      </c>
      <c r="AA150" s="2"/>
      <c r="AB150" s="681"/>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row>
    <row r="151" spans="1:109">
      <c r="A151" s="1407"/>
      <c r="B151" s="686" t="s">
        <v>425</v>
      </c>
      <c r="C151" s="727"/>
      <c r="D151" s="722">
        <f t="shared" si="234"/>
        <v>0.231813996316759</v>
      </c>
      <c r="E151" s="722">
        <f t="shared" si="234"/>
        <v>0.24850339829859999</v>
      </c>
      <c r="F151" s="722">
        <f t="shared" si="234"/>
        <v>0.26304179993382598</v>
      </c>
      <c r="G151" s="722">
        <f t="shared" si="234"/>
        <v>0.26370628989144101</v>
      </c>
      <c r="H151" s="722">
        <f t="shared" si="234"/>
        <v>0.27039422655380602</v>
      </c>
      <c r="I151" s="722">
        <f t="shared" si="234"/>
        <v>0.29248316447248701</v>
      </c>
      <c r="J151" s="722">
        <f t="shared" si="234"/>
        <v>0.29567498720893498</v>
      </c>
      <c r="K151" s="722">
        <f t="shared" si="234"/>
        <v>0.28810538305771199</v>
      </c>
      <c r="L151" s="722">
        <f t="shared" si="234"/>
        <v>0.29068519799845599</v>
      </c>
      <c r="M151" s="722">
        <f t="shared" si="234"/>
        <v>0.27968362574934902</v>
      </c>
      <c r="N151" s="722">
        <f>N118/N$122</f>
        <v>0.28990151265256098</v>
      </c>
      <c r="O151" s="722">
        <f t="shared" ref="O151:O155" si="235">O118/O$122</f>
        <v>0.29476184917915699</v>
      </c>
      <c r="P151" s="722">
        <f t="shared" ref="P151:Q151" si="236">P118/P$122</f>
        <v>0.30554553844837401</v>
      </c>
      <c r="Q151" s="722">
        <f t="shared" si="236"/>
        <v>0.316600081362721</v>
      </c>
      <c r="R151" s="722">
        <f t="shared" ref="R151" si="237">R118/R$122</f>
        <v>0.334893165036451</v>
      </c>
      <c r="AA151" s="2"/>
      <c r="AB151" s="739"/>
      <c r="AD151" s="2"/>
      <c r="AE151" s="446"/>
      <c r="AF151" s="446"/>
      <c r="AG151" s="446"/>
      <c r="AH151" s="446"/>
      <c r="AI151" s="446"/>
      <c r="AJ151" s="446"/>
      <c r="AK151" s="446"/>
      <c r="AL151" s="446"/>
      <c r="AM151" s="446"/>
      <c r="AN151" s="446"/>
      <c r="AO151" s="2"/>
      <c r="AP151" s="446"/>
      <c r="AQ151" s="446"/>
      <c r="AR151" s="446"/>
      <c r="AS151" s="446"/>
      <c r="AT151" s="446"/>
      <c r="AU151" s="446"/>
      <c r="AV151" s="446"/>
      <c r="AW151" s="446"/>
      <c r="AX151" s="446"/>
      <c r="AY151" s="446"/>
      <c r="AZ151" s="446"/>
      <c r="BA151" s="446"/>
      <c r="BB151" s="446"/>
      <c r="BC151" s="2"/>
      <c r="BD151" s="446"/>
      <c r="BE151" s="446"/>
      <c r="BF151" s="446"/>
      <c r="BG151" s="446"/>
      <c r="BH151" s="446"/>
      <c r="BI151" s="446"/>
      <c r="BJ151" s="446"/>
      <c r="BK151" s="446"/>
      <c r="BL151" s="446"/>
      <c r="BM151" s="446"/>
      <c r="BN151" s="446"/>
      <c r="BO151" s="446"/>
      <c r="BP151" s="446"/>
    </row>
    <row r="152" spans="1:109">
      <c r="A152" s="1407"/>
      <c r="B152" s="686" t="s">
        <v>426</v>
      </c>
      <c r="C152" s="727"/>
      <c r="D152" s="722">
        <f t="shared" si="234"/>
        <v>3.3005294659300202E-2</v>
      </c>
      <c r="E152" s="722">
        <f t="shared" si="234"/>
        <v>3.4770671107710302E-2</v>
      </c>
      <c r="F152" s="722">
        <f t="shared" si="234"/>
        <v>3.7020697768464401E-2</v>
      </c>
      <c r="G152" s="722">
        <f t="shared" si="234"/>
        <v>3.76775225937847E-2</v>
      </c>
      <c r="H152" s="722">
        <f t="shared" si="234"/>
        <v>4.0080261693589199E-2</v>
      </c>
      <c r="I152" s="722">
        <f t="shared" si="234"/>
        <v>4.6629861068980198E-2</v>
      </c>
      <c r="J152" s="722">
        <f t="shared" si="234"/>
        <v>4.7702507048693103E-2</v>
      </c>
      <c r="K152" s="722">
        <f t="shared" si="234"/>
        <v>4.5361542355720597E-2</v>
      </c>
      <c r="L152" s="722">
        <f t="shared" si="234"/>
        <v>4.6839746096687798E-2</v>
      </c>
      <c r="M152" s="722">
        <f t="shared" si="234"/>
        <v>4.4777837063076101E-2</v>
      </c>
      <c r="N152" s="722">
        <f>N119/N$122</f>
        <v>5.0289807266387099E-2</v>
      </c>
      <c r="O152" s="722">
        <f t="shared" si="235"/>
        <v>4.7273126755147901E-2</v>
      </c>
      <c r="P152" s="722">
        <f t="shared" ref="P152:Q152" si="238">P119/P$122</f>
        <v>4.5309243379031701E-2</v>
      </c>
      <c r="Q152" s="722">
        <f t="shared" si="238"/>
        <v>5.15766635025608E-2</v>
      </c>
      <c r="R152" s="722">
        <f t="shared" ref="R152" si="239">R119/R$122</f>
        <v>5.4652407785792598E-2</v>
      </c>
      <c r="AA152" s="456"/>
      <c r="AD152" s="456"/>
      <c r="AO152" s="456"/>
      <c r="BC152" s="456"/>
    </row>
    <row r="153" spans="1:109">
      <c r="A153" s="1407"/>
      <c r="B153" s="686" t="s">
        <v>427</v>
      </c>
      <c r="C153" s="727"/>
      <c r="D153" s="722">
        <f t="shared" si="234"/>
        <v>3.0616942909760601E-2</v>
      </c>
      <c r="E153" s="722">
        <f t="shared" si="234"/>
        <v>3.0359634514110799E-2</v>
      </c>
      <c r="F153" s="722">
        <f t="shared" si="234"/>
        <v>3.2572331899562497E-2</v>
      </c>
      <c r="G153" s="722">
        <f t="shared" si="234"/>
        <v>3.2531413088938602E-2</v>
      </c>
      <c r="H153" s="722">
        <f t="shared" si="234"/>
        <v>3.35379219640509E-2</v>
      </c>
      <c r="I153" s="722">
        <f t="shared" si="234"/>
        <v>3.68864891099921E-2</v>
      </c>
      <c r="J153" s="722">
        <f t="shared" si="234"/>
        <v>3.8242562131916701E-2</v>
      </c>
      <c r="K153" s="722">
        <f t="shared" si="234"/>
        <v>3.4973000337495799E-2</v>
      </c>
      <c r="L153" s="722">
        <f t="shared" si="234"/>
        <v>3.4555719342578901E-2</v>
      </c>
      <c r="M153" s="722">
        <f t="shared" si="234"/>
        <v>3.48806796187607E-2</v>
      </c>
      <c r="N153" s="722">
        <f>N120/N$122</f>
        <v>3.77927524621837E-2</v>
      </c>
      <c r="O153" s="722">
        <f t="shared" si="235"/>
        <v>3.5580151466256503E-2</v>
      </c>
      <c r="P153" s="722">
        <f t="shared" ref="P153:Q153" si="240">P120/P$122</f>
        <v>3.66055657084879E-2</v>
      </c>
      <c r="Q153" s="722">
        <f t="shared" si="240"/>
        <v>4.0399720446034598E-2</v>
      </c>
      <c r="R153" s="722">
        <f t="shared" ref="R153" si="241">R120/R$122</f>
        <v>3.9679729723965197E-2</v>
      </c>
      <c r="AA153" s="456"/>
      <c r="AD153" s="456"/>
      <c r="AO153" s="456"/>
      <c r="BC153" s="456"/>
    </row>
    <row r="154" spans="1:109">
      <c r="A154" s="1407"/>
      <c r="B154" s="686" t="s">
        <v>428</v>
      </c>
      <c r="C154" s="727"/>
      <c r="D154" s="722">
        <f t="shared" si="234"/>
        <v>8.3736187845303896E-3</v>
      </c>
      <c r="E154" s="722">
        <f t="shared" si="234"/>
        <v>9.2721789620560796E-3</v>
      </c>
      <c r="F154" s="722">
        <f t="shared" si="234"/>
        <v>9.3195103121208808E-3</v>
      </c>
      <c r="G154" s="722">
        <f t="shared" si="234"/>
        <v>8.67383121488189E-3</v>
      </c>
      <c r="H154" s="722">
        <f t="shared" si="234"/>
        <v>8.9872862779482691E-3</v>
      </c>
      <c r="I154" s="722">
        <f t="shared" si="234"/>
        <v>9.5006976885275707E-3</v>
      </c>
      <c r="J154" s="722">
        <f t="shared" si="234"/>
        <v>9.6994371931505199E-3</v>
      </c>
      <c r="K154" s="722">
        <f t="shared" si="234"/>
        <v>1.00615929800877E-2</v>
      </c>
      <c r="L154" s="722">
        <f t="shared" si="234"/>
        <v>9.4361381025440498E-3</v>
      </c>
      <c r="M154" s="722">
        <f t="shared" si="234"/>
        <v>1.0943368590649E-2</v>
      </c>
      <c r="N154" s="722">
        <f>N121/N$122</f>
        <v>1.1092785448376601E-2</v>
      </c>
      <c r="O154" s="722">
        <f t="shared" si="235"/>
        <v>9.9970475752353405E-3</v>
      </c>
      <c r="P154" s="722">
        <f t="shared" ref="P154:Q154" si="242">P121/P$122</f>
        <v>1.0341729366966399E-2</v>
      </c>
      <c r="Q154" s="722">
        <f t="shared" si="242"/>
        <v>1.0019088946144099E-2</v>
      </c>
      <c r="R154" s="722">
        <f t="shared" ref="R154" si="243">R121/R$122</f>
        <v>8.1773857106903197E-3</v>
      </c>
      <c r="AA154" s="456"/>
      <c r="AD154" s="456"/>
      <c r="AO154" s="456"/>
      <c r="BC154" s="456"/>
    </row>
    <row r="155" spans="1:109">
      <c r="A155" s="1408"/>
      <c r="B155" s="689" t="s">
        <v>62</v>
      </c>
      <c r="C155" s="728"/>
      <c r="D155" s="724">
        <f t="shared" ref="D155:N155" si="244">SUM(D150:D154)</f>
        <v>1</v>
      </c>
      <c r="E155" s="724">
        <f t="shared" si="244"/>
        <v>1</v>
      </c>
      <c r="F155" s="724">
        <f t="shared" si="244"/>
        <v>1</v>
      </c>
      <c r="G155" s="724">
        <f t="shared" si="244"/>
        <v>1</v>
      </c>
      <c r="H155" s="724">
        <f t="shared" si="244"/>
        <v>1</v>
      </c>
      <c r="I155" s="724">
        <f t="shared" si="244"/>
        <v>1</v>
      </c>
      <c r="J155" s="724">
        <f t="shared" si="244"/>
        <v>1</v>
      </c>
      <c r="K155" s="724">
        <f t="shared" si="244"/>
        <v>1</v>
      </c>
      <c r="L155" s="724">
        <f t="shared" si="244"/>
        <v>1</v>
      </c>
      <c r="M155" s="724">
        <f t="shared" si="244"/>
        <v>1</v>
      </c>
      <c r="N155" s="724">
        <f t="shared" si="244"/>
        <v>1</v>
      </c>
      <c r="O155" s="724">
        <f t="shared" si="235"/>
        <v>1</v>
      </c>
      <c r="P155" s="724">
        <f>SUM(P150:P154)</f>
        <v>1</v>
      </c>
      <c r="Q155" s="724">
        <f>SUM(Q150:Q154)</f>
        <v>1</v>
      </c>
      <c r="R155" s="724">
        <f>SUM(R150:R154)</f>
        <v>1</v>
      </c>
      <c r="AA155" s="456"/>
      <c r="AD155" s="456"/>
      <c r="AO155" s="456"/>
      <c r="BC155" s="456"/>
    </row>
    <row r="156" spans="1:109">
      <c r="A156" s="1406" t="s">
        <v>170</v>
      </c>
      <c r="B156" s="684">
        <v>1</v>
      </c>
      <c r="C156" s="720">
        <f t="shared" ref="C156:N156" si="245">C123/C$128</f>
        <v>0.61978176407373697</v>
      </c>
      <c r="D156" s="720">
        <f t="shared" si="245"/>
        <v>0.60185500920684698</v>
      </c>
      <c r="E156" s="720">
        <f t="shared" si="245"/>
        <v>0.69930038057473598</v>
      </c>
      <c r="F156" s="720">
        <f t="shared" si="245"/>
        <v>0.69455011577902703</v>
      </c>
      <c r="G156" s="720">
        <f t="shared" si="245"/>
        <v>0.69261010768617204</v>
      </c>
      <c r="H156" s="720">
        <f t="shared" si="245"/>
        <v>0.69143736422881996</v>
      </c>
      <c r="I156" s="720">
        <f t="shared" si="245"/>
        <v>0.69036939795062502</v>
      </c>
      <c r="J156" s="720">
        <f t="shared" si="245"/>
        <v>0.68987296217655703</v>
      </c>
      <c r="K156" s="720">
        <f t="shared" si="245"/>
        <v>0.681974447124019</v>
      </c>
      <c r="L156" s="720">
        <f t="shared" si="245"/>
        <v>0.69164610745613997</v>
      </c>
      <c r="M156" s="720">
        <f t="shared" si="245"/>
        <v>0.68649255567860201</v>
      </c>
      <c r="N156" s="720">
        <f t="shared" si="245"/>
        <v>0.69160736233555398</v>
      </c>
      <c r="O156" s="720">
        <f t="shared" ref="O156:P160" si="246">O123/O$128</f>
        <v>0.69316553965588901</v>
      </c>
      <c r="P156" s="720">
        <f t="shared" si="246"/>
        <v>0.70133485947626495</v>
      </c>
      <c r="Q156" s="720">
        <f t="shared" ref="Q156:R156" si="247">Q123/Q$128</f>
        <v>0.67595266311695701</v>
      </c>
      <c r="R156" s="720">
        <f t="shared" si="247"/>
        <v>0.66402568754650004</v>
      </c>
      <c r="AA156" s="456"/>
      <c r="AD156" s="456"/>
      <c r="AO156" s="456"/>
      <c r="BC156" s="456"/>
    </row>
    <row r="157" spans="1:109">
      <c r="A157" s="1407"/>
      <c r="B157" s="686" t="s">
        <v>425</v>
      </c>
      <c r="C157" s="722">
        <f t="shared" ref="C157:N157" si="248">C124/C$128</f>
        <v>0.26655369099776799</v>
      </c>
      <c r="D157" s="722">
        <f t="shared" si="248"/>
        <v>0.27896746914001203</v>
      </c>
      <c r="E157" s="722">
        <f t="shared" si="248"/>
        <v>0.21688202183177199</v>
      </c>
      <c r="F157" s="722">
        <f t="shared" si="248"/>
        <v>0.22109659278862101</v>
      </c>
      <c r="G157" s="722">
        <f t="shared" si="248"/>
        <v>0.223254135566824</v>
      </c>
      <c r="H157" s="722">
        <f t="shared" si="248"/>
        <v>0.22315351194786401</v>
      </c>
      <c r="I157" s="722">
        <f t="shared" si="248"/>
        <v>0.22149290741348501</v>
      </c>
      <c r="J157" s="722">
        <f t="shared" si="248"/>
        <v>0.22285601180408099</v>
      </c>
      <c r="K157" s="722">
        <f t="shared" si="248"/>
        <v>0.22951408486838701</v>
      </c>
      <c r="L157" s="722">
        <f t="shared" si="248"/>
        <v>0.22214226973684201</v>
      </c>
      <c r="M157" s="722">
        <f t="shared" si="248"/>
        <v>0.226159714531808</v>
      </c>
      <c r="N157" s="722">
        <f t="shared" si="248"/>
        <v>0.22146184543951</v>
      </c>
      <c r="O157" s="722">
        <f t="shared" si="246"/>
        <v>0.22444201414026299</v>
      </c>
      <c r="P157" s="722">
        <f t="shared" si="246"/>
        <v>0.21592860125906799</v>
      </c>
      <c r="Q157" s="722">
        <f t="shared" ref="Q157:R157" si="249">Q124/Q$128</f>
        <v>0.232478175961009</v>
      </c>
      <c r="R157" s="722">
        <f t="shared" si="249"/>
        <v>0.25117147220445601</v>
      </c>
      <c r="AA157" s="456"/>
      <c r="AD157" s="456"/>
      <c r="AO157" s="456"/>
      <c r="BC157" s="456"/>
    </row>
    <row r="158" spans="1:109">
      <c r="A158" s="1407"/>
      <c r="B158" s="686" t="s">
        <v>426</v>
      </c>
      <c r="C158" s="722">
        <f t="shared" ref="C158:N158" si="250">C125/C$128</f>
        <v>4.8855088038356601E-2</v>
      </c>
      <c r="D158" s="722">
        <f t="shared" si="250"/>
        <v>5.0126167905612799E-2</v>
      </c>
      <c r="E158" s="722">
        <f t="shared" si="250"/>
        <v>3.6211572206649799E-2</v>
      </c>
      <c r="F158" s="722">
        <f t="shared" si="250"/>
        <v>3.6635792259344997E-2</v>
      </c>
      <c r="G158" s="722">
        <f t="shared" si="250"/>
        <v>3.6674073652023603E-2</v>
      </c>
      <c r="H158" s="722">
        <f t="shared" si="250"/>
        <v>3.6133236784938502E-2</v>
      </c>
      <c r="I158" s="722">
        <f t="shared" si="250"/>
        <v>3.8963643656784501E-2</v>
      </c>
      <c r="J158" s="722">
        <f t="shared" si="250"/>
        <v>3.7715478461150899E-2</v>
      </c>
      <c r="K158" s="722">
        <f t="shared" si="250"/>
        <v>3.8637179947662803E-2</v>
      </c>
      <c r="L158" s="722">
        <f t="shared" si="250"/>
        <v>3.7212171052631603E-2</v>
      </c>
      <c r="M158" s="722">
        <f t="shared" si="250"/>
        <v>3.7729174357081299E-2</v>
      </c>
      <c r="N158" s="722">
        <f t="shared" si="250"/>
        <v>3.8511145167898303E-2</v>
      </c>
      <c r="O158" s="722">
        <f t="shared" si="246"/>
        <v>3.5781950370450198E-2</v>
      </c>
      <c r="P158" s="722">
        <f t="shared" si="246"/>
        <v>3.6194335741133198E-2</v>
      </c>
      <c r="Q158" s="722">
        <f t="shared" ref="Q158:R158" si="251">Q125/Q$128</f>
        <v>4.0693695648545303E-2</v>
      </c>
      <c r="R158" s="722">
        <f t="shared" si="251"/>
        <v>3.8413846214088998E-2</v>
      </c>
    </row>
    <row r="159" spans="1:109">
      <c r="A159" s="1407"/>
      <c r="B159" s="686" t="s">
        <v>427</v>
      </c>
      <c r="C159" s="722">
        <f t="shared" ref="C159:N159" si="252">C126/C$128</f>
        <v>4.9185748532694099E-2</v>
      </c>
      <c r="D159" s="722">
        <f t="shared" si="252"/>
        <v>5.2069835640728403E-2</v>
      </c>
      <c r="E159" s="722">
        <f t="shared" si="252"/>
        <v>3.60976276748479E-2</v>
      </c>
      <c r="F159" s="722">
        <f t="shared" si="252"/>
        <v>3.5643400595434999E-2</v>
      </c>
      <c r="G159" s="722">
        <f t="shared" si="252"/>
        <v>3.5420583822384298E-2</v>
      </c>
      <c r="H159" s="722">
        <f t="shared" si="252"/>
        <v>3.6784938450398298E-2</v>
      </c>
      <c r="I159" s="722">
        <f t="shared" si="252"/>
        <v>3.6629836268825398E-2</v>
      </c>
      <c r="J159" s="722">
        <f t="shared" si="252"/>
        <v>3.7121675603699597E-2</v>
      </c>
      <c r="K159" s="722">
        <f t="shared" si="252"/>
        <v>3.7046539073323399E-2</v>
      </c>
      <c r="L159" s="722">
        <f t="shared" si="252"/>
        <v>3.6766721491228102E-2</v>
      </c>
      <c r="M159" s="722">
        <f t="shared" si="252"/>
        <v>3.7006275378368397E-2</v>
      </c>
      <c r="N159" s="722">
        <f t="shared" si="252"/>
        <v>3.6386810919078E-2</v>
      </c>
      <c r="O159" s="722">
        <f t="shared" si="246"/>
        <v>3.5227430261394597E-2</v>
      </c>
      <c r="P159" s="722">
        <f t="shared" si="246"/>
        <v>3.52044051909483E-2</v>
      </c>
      <c r="Q159" s="722">
        <f t="shared" ref="Q159:R159" si="253">Q126/Q$128</f>
        <v>3.849042746741E-2</v>
      </c>
      <c r="R159" s="722">
        <f t="shared" si="253"/>
        <v>3.5568376124156503E-2</v>
      </c>
    </row>
    <row r="160" spans="1:109">
      <c r="A160" s="1407"/>
      <c r="B160" s="686" t="s">
        <v>428</v>
      </c>
      <c r="C160" s="722">
        <f t="shared" ref="C160:N160" si="254">C127/C$128</f>
        <v>1.5623708357444E-2</v>
      </c>
      <c r="D160" s="722">
        <f t="shared" si="254"/>
        <v>1.69815181067994E-2</v>
      </c>
      <c r="E160" s="722">
        <f t="shared" si="254"/>
        <v>1.1508397711993801E-2</v>
      </c>
      <c r="F160" s="722">
        <f t="shared" si="254"/>
        <v>1.20740985775719E-2</v>
      </c>
      <c r="G160" s="722">
        <f t="shared" si="254"/>
        <v>1.20410992725961E-2</v>
      </c>
      <c r="H160" s="722">
        <f t="shared" si="254"/>
        <v>1.24909485879797E-2</v>
      </c>
      <c r="I160" s="722">
        <f t="shared" si="254"/>
        <v>1.2544214710279699E-2</v>
      </c>
      <c r="J160" s="722">
        <f t="shared" si="254"/>
        <v>1.2433871954511099E-2</v>
      </c>
      <c r="K160" s="722">
        <f t="shared" si="254"/>
        <v>1.2827748986607801E-2</v>
      </c>
      <c r="L160" s="722">
        <f t="shared" si="254"/>
        <v>1.2232730263157901E-2</v>
      </c>
      <c r="M160" s="722">
        <f t="shared" si="254"/>
        <v>1.2612280054140499E-2</v>
      </c>
      <c r="N160" s="722">
        <f t="shared" si="254"/>
        <v>1.2032836137960299E-2</v>
      </c>
      <c r="O160" s="722">
        <f t="shared" si="246"/>
        <v>1.1383065572002899E-2</v>
      </c>
      <c r="P160" s="722">
        <f t="shared" si="246"/>
        <v>1.13377983325857E-2</v>
      </c>
      <c r="Q160" s="722">
        <f t="shared" ref="Q160:R160" si="255">Q127/Q$128</f>
        <v>1.2385037806079E-2</v>
      </c>
      <c r="R160" s="722">
        <f t="shared" si="255"/>
        <v>1.08206179107984E-2</v>
      </c>
    </row>
    <row r="161" spans="1:18">
      <c r="A161" s="1408"/>
      <c r="B161" s="689" t="s">
        <v>62</v>
      </c>
      <c r="C161" s="724">
        <f t="shared" ref="C161:Q161" si="256">SUM(C156:C160)</f>
        <v>1</v>
      </c>
      <c r="D161" s="724">
        <f t="shared" si="256"/>
        <v>1</v>
      </c>
      <c r="E161" s="724">
        <f t="shared" si="256"/>
        <v>1</v>
      </c>
      <c r="F161" s="724">
        <f t="shared" si="256"/>
        <v>1</v>
      </c>
      <c r="G161" s="724">
        <f t="shared" si="256"/>
        <v>1</v>
      </c>
      <c r="H161" s="724">
        <f t="shared" si="256"/>
        <v>1</v>
      </c>
      <c r="I161" s="724">
        <f t="shared" si="256"/>
        <v>1</v>
      </c>
      <c r="J161" s="724">
        <f t="shared" si="256"/>
        <v>1</v>
      </c>
      <c r="K161" s="724">
        <f t="shared" si="256"/>
        <v>1</v>
      </c>
      <c r="L161" s="724">
        <f t="shared" si="256"/>
        <v>1</v>
      </c>
      <c r="M161" s="724">
        <f t="shared" si="256"/>
        <v>1</v>
      </c>
      <c r="N161" s="724">
        <f t="shared" si="256"/>
        <v>1</v>
      </c>
      <c r="O161" s="724">
        <f t="shared" si="256"/>
        <v>1</v>
      </c>
      <c r="P161" s="724">
        <f t="shared" si="256"/>
        <v>1</v>
      </c>
      <c r="Q161" s="724">
        <f t="shared" si="256"/>
        <v>1</v>
      </c>
      <c r="R161" s="724">
        <f t="shared" ref="R161" si="257">SUM(R156:R160)</f>
        <v>1</v>
      </c>
    </row>
  </sheetData>
  <mergeCells count="15">
    <mergeCell ref="A132:A137"/>
    <mergeCell ref="A138:A143"/>
    <mergeCell ref="A144:A149"/>
    <mergeCell ref="A150:A155"/>
    <mergeCell ref="A156:A161"/>
    <mergeCell ref="A99:A104"/>
    <mergeCell ref="A105:A110"/>
    <mergeCell ref="A111:A116"/>
    <mergeCell ref="A117:A122"/>
    <mergeCell ref="A123:A128"/>
    <mergeCell ref="A7:A13"/>
    <mergeCell ref="A14:A20"/>
    <mergeCell ref="A21:A27"/>
    <mergeCell ref="A28:A34"/>
    <mergeCell ref="A35:A41"/>
  </mergeCells>
  <phoneticPr fontId="93" type="noConversion"/>
  <hyperlinks>
    <hyperlink ref="AB1" location="Content!A1" display="content" xr:uid="{00000000-0004-0000-1000-000000000000}"/>
  </hyperlinks>
  <pageMargins left="0.7" right="0.7" top="0.75" bottom="0.75" header="0.3" footer="0.3"/>
  <pageSetup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I66"/>
  <sheetViews>
    <sheetView zoomScale="70" zoomScaleNormal="70" workbookViewId="0">
      <pane xSplit="2" ySplit="7" topLeftCell="AH8" activePane="bottomRight" state="frozenSplit"/>
      <selection pane="topRight"/>
      <selection pane="bottomLeft"/>
      <selection pane="bottomRight" activeCell="AV45" sqref="AV45"/>
    </sheetView>
  </sheetViews>
  <sheetFormatPr defaultColWidth="9" defaultRowHeight="14.4"/>
  <cols>
    <col min="2" max="2" width="24.77734375" customWidth="1"/>
    <col min="3" max="8" width="9.77734375" customWidth="1"/>
    <col min="9" max="9" width="9.77734375" style="123" customWidth="1"/>
  </cols>
  <sheetData>
    <row r="1" spans="1:11" ht="21">
      <c r="A1" s="528" t="s">
        <v>47</v>
      </c>
      <c r="J1" s="57" t="s">
        <v>48</v>
      </c>
    </row>
    <row r="2" spans="1:11" ht="18">
      <c r="A2" s="529" t="s">
        <v>366</v>
      </c>
    </row>
    <row r="3" spans="1:11" ht="18">
      <c r="A3" s="529" t="s">
        <v>429</v>
      </c>
    </row>
    <row r="4" spans="1:11" ht="18">
      <c r="A4" s="529" t="s">
        <v>430</v>
      </c>
    </row>
    <row r="7" spans="1:11">
      <c r="A7" s="530" t="s">
        <v>94</v>
      </c>
      <c r="B7" s="530" t="s">
        <v>370</v>
      </c>
      <c r="C7" s="530">
        <v>2016</v>
      </c>
      <c r="D7" s="530">
        <f t="shared" ref="D7:H7" si="0">C7+1</f>
        <v>2017</v>
      </c>
      <c r="E7" s="530">
        <f t="shared" si="0"/>
        <v>2018</v>
      </c>
      <c r="F7" s="530">
        <f t="shared" si="0"/>
        <v>2019</v>
      </c>
      <c r="G7" s="530">
        <f t="shared" si="0"/>
        <v>2020</v>
      </c>
      <c r="H7" s="530">
        <f t="shared" si="0"/>
        <v>2021</v>
      </c>
      <c r="I7" s="547">
        <v>2022</v>
      </c>
      <c r="J7" s="530">
        <v>2023</v>
      </c>
      <c r="K7" s="547">
        <v>2024</v>
      </c>
    </row>
    <row r="8" spans="1:11">
      <c r="A8" s="530" t="s">
        <v>186</v>
      </c>
      <c r="B8" s="531" t="s">
        <v>371</v>
      </c>
      <c r="C8" s="532">
        <v>22875</v>
      </c>
      <c r="D8" s="532">
        <v>27810</v>
      </c>
      <c r="E8" s="532">
        <v>37292</v>
      </c>
      <c r="F8" s="532">
        <v>40904</v>
      </c>
      <c r="G8" s="532">
        <v>39370</v>
      </c>
      <c r="H8" s="532">
        <v>32032</v>
      </c>
      <c r="I8" s="548">
        <v>23753</v>
      </c>
      <c r="J8" s="533">
        <v>29409</v>
      </c>
      <c r="K8" s="533">
        <v>30038</v>
      </c>
    </row>
    <row r="9" spans="1:11">
      <c r="A9" s="533"/>
      <c r="B9" s="534" t="s">
        <v>372</v>
      </c>
      <c r="C9" s="535">
        <v>16427</v>
      </c>
      <c r="D9" s="535">
        <v>17530</v>
      </c>
      <c r="E9" s="535">
        <v>20442</v>
      </c>
      <c r="F9" s="535">
        <v>23227</v>
      </c>
      <c r="G9" s="535">
        <v>23459</v>
      </c>
      <c r="H9" s="535">
        <v>19633</v>
      </c>
      <c r="I9" s="548">
        <v>15741</v>
      </c>
      <c r="J9" s="533">
        <v>21056</v>
      </c>
      <c r="K9" s="533">
        <v>23629</v>
      </c>
    </row>
    <row r="10" spans="1:11">
      <c r="A10" s="533"/>
      <c r="B10" s="534" t="s">
        <v>373</v>
      </c>
      <c r="C10" s="535">
        <v>23353</v>
      </c>
      <c r="D10" s="535">
        <v>25171</v>
      </c>
      <c r="E10" s="535">
        <v>28624</v>
      </c>
      <c r="F10" s="535">
        <v>28865</v>
      </c>
      <c r="G10" s="535">
        <v>27096</v>
      </c>
      <c r="H10" s="535">
        <v>21158</v>
      </c>
      <c r="I10" s="548">
        <v>14784</v>
      </c>
      <c r="J10" s="533">
        <v>18289</v>
      </c>
      <c r="K10" s="533">
        <v>19061</v>
      </c>
    </row>
    <row r="11" spans="1:11">
      <c r="A11" s="533"/>
      <c r="B11" s="534" t="s">
        <v>374</v>
      </c>
      <c r="C11" s="535">
        <v>25368</v>
      </c>
      <c r="D11" s="535">
        <v>26587</v>
      </c>
      <c r="E11" s="535">
        <v>31614</v>
      </c>
      <c r="F11" s="535">
        <v>34870</v>
      </c>
      <c r="G11" s="535">
        <v>34002</v>
      </c>
      <c r="H11" s="535">
        <v>28037</v>
      </c>
      <c r="I11" s="548">
        <v>21143</v>
      </c>
      <c r="J11" s="533">
        <v>26848</v>
      </c>
      <c r="K11" s="533">
        <v>27643</v>
      </c>
    </row>
    <row r="12" spans="1:11">
      <c r="A12" s="533"/>
      <c r="B12" s="536" t="s">
        <v>375</v>
      </c>
      <c r="C12" s="537">
        <v>7901</v>
      </c>
      <c r="D12" s="537">
        <v>8501</v>
      </c>
      <c r="E12" s="537">
        <v>9608</v>
      </c>
      <c r="F12" s="537">
        <v>9845</v>
      </c>
      <c r="G12" s="537">
        <v>9671</v>
      </c>
      <c r="H12" s="537">
        <v>7902</v>
      </c>
      <c r="I12" s="548">
        <v>6309</v>
      </c>
      <c r="J12" s="533">
        <v>8971</v>
      </c>
      <c r="K12" s="533">
        <v>9120</v>
      </c>
    </row>
    <row r="13" spans="1:11">
      <c r="A13" s="538"/>
      <c r="B13" s="538" t="s">
        <v>62</v>
      </c>
      <c r="C13" s="539">
        <f t="shared" ref="C13:K13" si="1">SUM(C8:C12)</f>
        <v>95924</v>
      </c>
      <c r="D13" s="539">
        <f t="shared" si="1"/>
        <v>105599</v>
      </c>
      <c r="E13" s="539">
        <f t="shared" si="1"/>
        <v>127580</v>
      </c>
      <c r="F13" s="539">
        <f t="shared" si="1"/>
        <v>137711</v>
      </c>
      <c r="G13" s="539">
        <f t="shared" si="1"/>
        <v>133598</v>
      </c>
      <c r="H13" s="539">
        <f t="shared" si="1"/>
        <v>108762</v>
      </c>
      <c r="I13" s="549">
        <f t="shared" si="1"/>
        <v>81730</v>
      </c>
      <c r="J13" s="550">
        <f t="shared" si="1"/>
        <v>104573</v>
      </c>
      <c r="K13" s="550">
        <f t="shared" si="1"/>
        <v>109491</v>
      </c>
    </row>
    <row r="14" spans="1:11">
      <c r="A14" s="530" t="s">
        <v>129</v>
      </c>
      <c r="B14" s="530" t="s">
        <v>371</v>
      </c>
      <c r="C14" s="532">
        <v>63341</v>
      </c>
      <c r="D14" s="532">
        <v>63663</v>
      </c>
      <c r="E14" s="532">
        <v>61338</v>
      </c>
      <c r="F14" s="532">
        <v>56106</v>
      </c>
      <c r="G14" s="532">
        <v>53589</v>
      </c>
      <c r="H14" s="532">
        <v>53975</v>
      </c>
      <c r="I14" s="551">
        <v>60879</v>
      </c>
      <c r="J14" s="533">
        <v>64751</v>
      </c>
      <c r="K14" s="533">
        <v>65740</v>
      </c>
    </row>
    <row r="15" spans="1:11">
      <c r="A15" s="533"/>
      <c r="B15" s="534" t="s">
        <v>372</v>
      </c>
      <c r="C15" s="535">
        <v>33359</v>
      </c>
      <c r="D15" s="535">
        <v>33131</v>
      </c>
      <c r="E15" s="535">
        <v>33594</v>
      </c>
      <c r="F15" s="535">
        <v>31318</v>
      </c>
      <c r="G15" s="535">
        <v>31642</v>
      </c>
      <c r="H15" s="535">
        <v>32348</v>
      </c>
      <c r="I15" s="548">
        <v>35575</v>
      </c>
      <c r="J15" s="533">
        <v>37934</v>
      </c>
      <c r="K15" s="533">
        <v>35848</v>
      </c>
    </row>
    <row r="16" spans="1:11">
      <c r="A16" s="533"/>
      <c r="B16" s="534" t="s">
        <v>373</v>
      </c>
      <c r="C16" s="535">
        <v>37035</v>
      </c>
      <c r="D16" s="535">
        <v>34800</v>
      </c>
      <c r="E16" s="535">
        <v>33121</v>
      </c>
      <c r="F16" s="535">
        <v>30695</v>
      </c>
      <c r="G16" s="535">
        <v>31828</v>
      </c>
      <c r="H16" s="535">
        <v>34495</v>
      </c>
      <c r="I16" s="548">
        <v>36770</v>
      </c>
      <c r="J16" s="533">
        <v>37522</v>
      </c>
      <c r="K16" s="533">
        <v>35117</v>
      </c>
    </row>
    <row r="17" spans="1:11">
      <c r="A17" s="533"/>
      <c r="B17" s="534" t="s">
        <v>374</v>
      </c>
      <c r="C17" s="535">
        <v>47079</v>
      </c>
      <c r="D17" s="535">
        <v>45709</v>
      </c>
      <c r="E17" s="535">
        <v>44416</v>
      </c>
      <c r="F17" s="535">
        <v>41725</v>
      </c>
      <c r="G17" s="535">
        <v>40967</v>
      </c>
      <c r="H17" s="535">
        <v>41199</v>
      </c>
      <c r="I17" s="548">
        <v>43608</v>
      </c>
      <c r="J17" s="533">
        <v>43712</v>
      </c>
      <c r="K17" s="533">
        <v>41167</v>
      </c>
    </row>
    <row r="18" spans="1:11">
      <c r="A18" s="533"/>
      <c r="B18" s="536" t="s">
        <v>375</v>
      </c>
      <c r="C18" s="537">
        <v>21872</v>
      </c>
      <c r="D18" s="537">
        <v>21931</v>
      </c>
      <c r="E18" s="537">
        <v>21807</v>
      </c>
      <c r="F18" s="537">
        <v>19872</v>
      </c>
      <c r="G18" s="537">
        <v>21268</v>
      </c>
      <c r="H18" s="537">
        <v>22145</v>
      </c>
      <c r="I18" s="548">
        <v>24572</v>
      </c>
      <c r="J18" s="533">
        <v>25439</v>
      </c>
      <c r="K18" s="533">
        <v>22402</v>
      </c>
    </row>
    <row r="19" spans="1:11">
      <c r="A19" s="538"/>
      <c r="B19" s="538" t="s">
        <v>62</v>
      </c>
      <c r="C19" s="539">
        <f t="shared" ref="C19:K19" si="2">SUM(C14:C18)</f>
        <v>202686</v>
      </c>
      <c r="D19" s="539">
        <f t="shared" si="2"/>
        <v>199234</v>
      </c>
      <c r="E19" s="539">
        <f t="shared" si="2"/>
        <v>194276</v>
      </c>
      <c r="F19" s="539">
        <f t="shared" si="2"/>
        <v>179716</v>
      </c>
      <c r="G19" s="539">
        <f t="shared" si="2"/>
        <v>179294</v>
      </c>
      <c r="H19" s="539">
        <f t="shared" si="2"/>
        <v>184162</v>
      </c>
      <c r="I19" s="549">
        <f t="shared" si="2"/>
        <v>201404</v>
      </c>
      <c r="J19" s="550">
        <f t="shared" si="2"/>
        <v>209358</v>
      </c>
      <c r="K19" s="550">
        <f t="shared" si="2"/>
        <v>200274</v>
      </c>
    </row>
    <row r="20" spans="1:11">
      <c r="A20" s="530" t="s">
        <v>146</v>
      </c>
      <c r="B20" s="530" t="s">
        <v>371</v>
      </c>
      <c r="C20" s="532">
        <v>38794</v>
      </c>
      <c r="D20" s="532">
        <v>40044</v>
      </c>
      <c r="E20" s="532">
        <v>37842</v>
      </c>
      <c r="F20" s="532">
        <v>41414</v>
      </c>
      <c r="G20" s="532">
        <v>46213</v>
      </c>
      <c r="H20" s="532">
        <v>50773</v>
      </c>
      <c r="I20" s="551">
        <v>49421</v>
      </c>
      <c r="J20" s="533">
        <v>48153</v>
      </c>
      <c r="K20" s="533">
        <v>46938</v>
      </c>
    </row>
    <row r="21" spans="1:11">
      <c r="A21" s="533"/>
      <c r="B21" s="534" t="s">
        <v>372</v>
      </c>
      <c r="C21" s="535">
        <v>13565</v>
      </c>
      <c r="D21" s="535">
        <v>15920</v>
      </c>
      <c r="E21" s="535">
        <v>16146</v>
      </c>
      <c r="F21" s="535">
        <v>17465</v>
      </c>
      <c r="G21" s="535">
        <v>19038</v>
      </c>
      <c r="H21" s="535">
        <v>21526</v>
      </c>
      <c r="I21" s="548">
        <v>19989</v>
      </c>
      <c r="J21" s="533">
        <v>20527</v>
      </c>
      <c r="K21" s="533">
        <v>19107</v>
      </c>
    </row>
    <row r="22" spans="1:11">
      <c r="A22" s="533"/>
      <c r="B22" s="534" t="s">
        <v>373</v>
      </c>
      <c r="C22" s="535">
        <v>22652</v>
      </c>
      <c r="D22" s="535">
        <v>27484</v>
      </c>
      <c r="E22" s="535">
        <v>26600</v>
      </c>
      <c r="F22" s="535">
        <v>26839</v>
      </c>
      <c r="G22" s="535">
        <v>28220</v>
      </c>
      <c r="H22" s="535">
        <v>30502</v>
      </c>
      <c r="I22" s="548">
        <v>26552</v>
      </c>
      <c r="J22" s="533">
        <v>27687</v>
      </c>
      <c r="K22" s="533">
        <v>25979</v>
      </c>
    </row>
    <row r="23" spans="1:11">
      <c r="A23" s="533"/>
      <c r="B23" s="534" t="s">
        <v>374</v>
      </c>
      <c r="C23" s="535">
        <v>23323</v>
      </c>
      <c r="D23" s="535">
        <v>25399</v>
      </c>
      <c r="E23" s="535">
        <v>26173</v>
      </c>
      <c r="F23" s="535">
        <v>27023</v>
      </c>
      <c r="G23" s="535">
        <v>27478</v>
      </c>
      <c r="H23" s="535">
        <v>28187</v>
      </c>
      <c r="I23" s="548">
        <v>26157</v>
      </c>
      <c r="J23" s="533">
        <v>25627</v>
      </c>
      <c r="K23" s="533">
        <v>23464</v>
      </c>
    </row>
    <row r="24" spans="1:11">
      <c r="A24" s="533"/>
      <c r="B24" s="536" t="s">
        <v>375</v>
      </c>
      <c r="C24" s="537">
        <v>10535</v>
      </c>
      <c r="D24" s="537">
        <v>11815</v>
      </c>
      <c r="E24" s="537">
        <v>12251</v>
      </c>
      <c r="F24" s="537">
        <v>12920</v>
      </c>
      <c r="G24" s="537">
        <v>13817</v>
      </c>
      <c r="H24" s="537">
        <v>14894</v>
      </c>
      <c r="I24" s="548">
        <v>13061</v>
      </c>
      <c r="J24" s="533">
        <v>12740</v>
      </c>
      <c r="K24" s="533">
        <v>12317</v>
      </c>
    </row>
    <row r="25" spans="1:11">
      <c r="A25" s="538"/>
      <c r="B25" s="538" t="s">
        <v>62</v>
      </c>
      <c r="C25" s="539">
        <f t="shared" ref="C25:K25" si="3">SUM(C20:C24)</f>
        <v>108869</v>
      </c>
      <c r="D25" s="539">
        <f t="shared" si="3"/>
        <v>120662</v>
      </c>
      <c r="E25" s="539">
        <f t="shared" si="3"/>
        <v>119012</v>
      </c>
      <c r="F25" s="539">
        <f t="shared" si="3"/>
        <v>125661</v>
      </c>
      <c r="G25" s="539">
        <f t="shared" si="3"/>
        <v>134766</v>
      </c>
      <c r="H25" s="539">
        <f t="shared" si="3"/>
        <v>145882</v>
      </c>
      <c r="I25" s="549">
        <f t="shared" si="3"/>
        <v>135180</v>
      </c>
      <c r="J25" s="550">
        <f t="shared" si="3"/>
        <v>134734</v>
      </c>
      <c r="K25" s="550">
        <f t="shared" si="3"/>
        <v>127805</v>
      </c>
    </row>
    <row r="26" spans="1:11">
      <c r="A26" s="530" t="s">
        <v>156</v>
      </c>
      <c r="B26" s="530" t="s">
        <v>371</v>
      </c>
      <c r="C26" s="532">
        <v>107697</v>
      </c>
      <c r="D26" s="532">
        <v>128275</v>
      </c>
      <c r="E26" s="532">
        <v>139603</v>
      </c>
      <c r="F26" s="532">
        <v>157938</v>
      </c>
      <c r="G26" s="532">
        <v>183055</v>
      </c>
      <c r="H26" s="532">
        <v>236662</v>
      </c>
      <c r="I26" s="551">
        <v>277853</v>
      </c>
      <c r="J26" s="533">
        <v>343339</v>
      </c>
      <c r="K26" s="533">
        <v>401648</v>
      </c>
    </row>
    <row r="27" spans="1:11">
      <c r="A27" s="533"/>
      <c r="B27" s="534" t="s">
        <v>372</v>
      </c>
      <c r="C27" s="535">
        <v>56587</v>
      </c>
      <c r="D27" s="535">
        <v>65302</v>
      </c>
      <c r="E27" s="535">
        <v>63243</v>
      </c>
      <c r="F27" s="535">
        <v>71224</v>
      </c>
      <c r="G27" s="535">
        <v>82416</v>
      </c>
      <c r="H27" s="535">
        <v>106638</v>
      </c>
      <c r="I27" s="548">
        <v>122994</v>
      </c>
      <c r="J27" s="533">
        <v>136216</v>
      </c>
      <c r="K27" s="533">
        <v>176778</v>
      </c>
    </row>
    <row r="28" spans="1:11">
      <c r="A28" s="533"/>
      <c r="B28" s="534" t="s">
        <v>373</v>
      </c>
      <c r="C28" s="535">
        <v>107642</v>
      </c>
      <c r="D28" s="535">
        <v>94970</v>
      </c>
      <c r="E28" s="535">
        <v>95401</v>
      </c>
      <c r="F28" s="535">
        <v>93838</v>
      </c>
      <c r="G28" s="535">
        <v>113046</v>
      </c>
      <c r="H28" s="535">
        <v>157124</v>
      </c>
      <c r="I28" s="548">
        <v>178364</v>
      </c>
      <c r="J28" s="533">
        <v>193875</v>
      </c>
      <c r="K28" s="533">
        <v>176029</v>
      </c>
    </row>
    <row r="29" spans="1:11">
      <c r="A29" s="533"/>
      <c r="B29" s="534" t="s">
        <v>374</v>
      </c>
      <c r="C29" s="535">
        <v>102126</v>
      </c>
      <c r="D29" s="535">
        <v>111463</v>
      </c>
      <c r="E29" s="535">
        <v>102380</v>
      </c>
      <c r="F29" s="535">
        <v>100745</v>
      </c>
      <c r="G29" s="535">
        <v>116055</v>
      </c>
      <c r="H29" s="535">
        <v>148118</v>
      </c>
      <c r="I29" s="548">
        <v>168818</v>
      </c>
      <c r="J29" s="533">
        <v>190051</v>
      </c>
      <c r="K29" s="533">
        <v>224472</v>
      </c>
    </row>
    <row r="30" spans="1:11">
      <c r="A30" s="533"/>
      <c r="B30" s="536" t="s">
        <v>375</v>
      </c>
      <c r="C30" s="537">
        <v>30153</v>
      </c>
      <c r="D30" s="537">
        <v>32139</v>
      </c>
      <c r="E30" s="537">
        <v>31007</v>
      </c>
      <c r="F30" s="537">
        <v>29059</v>
      </c>
      <c r="G30" s="537">
        <v>35552</v>
      </c>
      <c r="H30" s="537">
        <v>47404</v>
      </c>
      <c r="I30" s="548">
        <v>50318</v>
      </c>
      <c r="J30" s="533">
        <v>57316</v>
      </c>
      <c r="K30" s="533">
        <v>65850</v>
      </c>
    </row>
    <row r="31" spans="1:11">
      <c r="A31" s="538"/>
      <c r="B31" s="538" t="s">
        <v>62</v>
      </c>
      <c r="C31" s="539">
        <f t="shared" ref="C31:K31" si="4">SUM(C26:C30)</f>
        <v>404205</v>
      </c>
      <c r="D31" s="539">
        <f t="shared" si="4"/>
        <v>432149</v>
      </c>
      <c r="E31" s="539">
        <f t="shared" si="4"/>
        <v>431634</v>
      </c>
      <c r="F31" s="539">
        <f t="shared" si="4"/>
        <v>452804</v>
      </c>
      <c r="G31" s="539">
        <f t="shared" si="4"/>
        <v>530124</v>
      </c>
      <c r="H31" s="539">
        <f t="shared" si="4"/>
        <v>695946</v>
      </c>
      <c r="I31" s="549">
        <f t="shared" si="4"/>
        <v>798347</v>
      </c>
      <c r="J31" s="550">
        <f t="shared" si="4"/>
        <v>920797</v>
      </c>
      <c r="K31" s="550">
        <f t="shared" si="4"/>
        <v>1044777</v>
      </c>
    </row>
    <row r="32" spans="1:11">
      <c r="A32" s="533" t="s">
        <v>170</v>
      </c>
      <c r="B32" s="533" t="s">
        <v>371</v>
      </c>
      <c r="C32" s="540">
        <v>149757</v>
      </c>
      <c r="D32" s="540">
        <v>154403</v>
      </c>
      <c r="E32" s="540">
        <v>146606</v>
      </c>
      <c r="F32" s="540">
        <v>168908</v>
      </c>
      <c r="G32" s="540">
        <v>169260</v>
      </c>
      <c r="H32" s="540">
        <v>163265</v>
      </c>
      <c r="I32" s="551">
        <v>165213</v>
      </c>
      <c r="J32" s="533">
        <v>150938</v>
      </c>
      <c r="K32" s="533">
        <v>151689</v>
      </c>
    </row>
    <row r="33" spans="1:61">
      <c r="A33" s="533"/>
      <c r="B33" s="534" t="s">
        <v>372</v>
      </c>
      <c r="C33" s="535">
        <v>49471</v>
      </c>
      <c r="D33" s="535">
        <v>53168</v>
      </c>
      <c r="E33" s="535">
        <v>51589</v>
      </c>
      <c r="F33" s="535">
        <v>61824</v>
      </c>
      <c r="G33" s="535">
        <v>60586</v>
      </c>
      <c r="H33" s="535">
        <v>58846</v>
      </c>
      <c r="I33" s="548">
        <v>59665</v>
      </c>
      <c r="J33" s="533">
        <v>56167</v>
      </c>
      <c r="K33" s="533">
        <v>56411</v>
      </c>
    </row>
    <row r="34" spans="1:61">
      <c r="A34" s="533"/>
      <c r="B34" s="534" t="s">
        <v>373</v>
      </c>
      <c r="C34" s="535">
        <v>41691</v>
      </c>
      <c r="D34" s="535">
        <v>43613</v>
      </c>
      <c r="E34" s="535">
        <v>41654</v>
      </c>
      <c r="F34" s="535">
        <v>45084</v>
      </c>
      <c r="G34" s="535">
        <v>44854</v>
      </c>
      <c r="H34" s="535">
        <v>44091</v>
      </c>
      <c r="I34" s="548">
        <v>42820</v>
      </c>
      <c r="J34" s="533">
        <v>37471</v>
      </c>
      <c r="K34" s="533">
        <v>37888</v>
      </c>
    </row>
    <row r="35" spans="1:61">
      <c r="A35" s="533"/>
      <c r="B35" s="534" t="s">
        <v>374</v>
      </c>
      <c r="C35" s="535">
        <v>44799</v>
      </c>
      <c r="D35" s="535">
        <v>49183</v>
      </c>
      <c r="E35" s="535">
        <v>49565</v>
      </c>
      <c r="F35" s="535">
        <v>57337</v>
      </c>
      <c r="G35" s="535">
        <v>56455</v>
      </c>
      <c r="H35" s="535">
        <v>54532</v>
      </c>
      <c r="I35" s="548">
        <v>56407</v>
      </c>
      <c r="J35" s="533">
        <v>51562</v>
      </c>
      <c r="K35" s="533">
        <v>52735</v>
      </c>
    </row>
    <row r="36" spans="1:61">
      <c r="A36" s="533"/>
      <c r="B36" s="541" t="s">
        <v>375</v>
      </c>
      <c r="C36" s="542">
        <v>17331</v>
      </c>
      <c r="D36" s="542">
        <v>18461</v>
      </c>
      <c r="E36" s="542">
        <v>18345</v>
      </c>
      <c r="F36" s="542">
        <v>21277</v>
      </c>
      <c r="G36" s="542">
        <v>20845</v>
      </c>
      <c r="H36" s="542">
        <v>19933</v>
      </c>
      <c r="I36" s="548">
        <v>19934</v>
      </c>
      <c r="J36" s="533">
        <v>18885</v>
      </c>
      <c r="K36" s="533">
        <v>19780</v>
      </c>
    </row>
    <row r="37" spans="1:61">
      <c r="A37" s="538"/>
      <c r="B37" s="538" t="s">
        <v>62</v>
      </c>
      <c r="C37" s="539">
        <f t="shared" ref="C37:K37" si="5">SUM(C32:C36)</f>
        <v>303049</v>
      </c>
      <c r="D37" s="539">
        <f t="shared" si="5"/>
        <v>318828</v>
      </c>
      <c r="E37" s="539">
        <f t="shared" si="5"/>
        <v>307759</v>
      </c>
      <c r="F37" s="539">
        <f t="shared" si="5"/>
        <v>354430</v>
      </c>
      <c r="G37" s="539">
        <f t="shared" si="5"/>
        <v>352000</v>
      </c>
      <c r="H37" s="539">
        <f t="shared" si="5"/>
        <v>340667</v>
      </c>
      <c r="I37" s="550">
        <f t="shared" si="5"/>
        <v>344039</v>
      </c>
      <c r="J37" s="550">
        <f t="shared" si="5"/>
        <v>315023</v>
      </c>
      <c r="K37" s="550">
        <f t="shared" si="5"/>
        <v>318503</v>
      </c>
    </row>
    <row r="40" spans="1:61">
      <c r="C40" s="543"/>
    </row>
    <row r="41" spans="1:61">
      <c r="A41" s="530" t="s">
        <v>94</v>
      </c>
      <c r="B41" s="530" t="s">
        <v>370</v>
      </c>
      <c r="C41" s="530">
        <f>C7</f>
        <v>2016</v>
      </c>
      <c r="D41" s="530">
        <f t="shared" ref="D41:H41" si="6">C41+1</f>
        <v>2017</v>
      </c>
      <c r="E41" s="530">
        <f t="shared" si="6"/>
        <v>2018</v>
      </c>
      <c r="F41" s="530">
        <f t="shared" si="6"/>
        <v>2019</v>
      </c>
      <c r="G41" s="530">
        <f t="shared" si="6"/>
        <v>2020</v>
      </c>
      <c r="H41" s="530">
        <f t="shared" si="6"/>
        <v>2021</v>
      </c>
      <c r="I41" s="552">
        <v>2022</v>
      </c>
      <c r="J41" s="553">
        <v>2023</v>
      </c>
      <c r="K41" s="547">
        <v>2024</v>
      </c>
    </row>
    <row r="42" spans="1:61">
      <c r="A42" s="530" t="s">
        <v>186</v>
      </c>
      <c r="B42" s="530" t="s">
        <v>371</v>
      </c>
      <c r="C42" s="544">
        <f t="shared" ref="C42:H42" si="7">C8/C13</f>
        <v>0.238470038780701</v>
      </c>
      <c r="D42" s="544">
        <f t="shared" si="7"/>
        <v>0.26335476661710799</v>
      </c>
      <c r="E42" s="544">
        <f t="shared" si="7"/>
        <v>0.29230286878821099</v>
      </c>
      <c r="F42" s="544">
        <f t="shared" si="7"/>
        <v>0.29702783365163299</v>
      </c>
      <c r="G42" s="544">
        <f t="shared" si="7"/>
        <v>0.29469004027006401</v>
      </c>
      <c r="H42" s="544">
        <f t="shared" si="7"/>
        <v>0.29451462827090302</v>
      </c>
      <c r="I42" s="554">
        <f t="shared" ref="I42:K42" si="8">I8/I13</f>
        <v>0.29062767649577897</v>
      </c>
      <c r="J42" s="554">
        <f t="shared" si="8"/>
        <v>0.28122938043280798</v>
      </c>
      <c r="K42" s="554">
        <f t="shared" si="8"/>
        <v>0.27434218337580302</v>
      </c>
    </row>
    <row r="43" spans="1:61">
      <c r="A43" s="533"/>
      <c r="B43" s="534" t="s">
        <v>372</v>
      </c>
      <c r="C43" s="545">
        <f t="shared" ref="C43:H43" si="9">C9/C13</f>
        <v>0.17125015637379601</v>
      </c>
      <c r="D43" s="545">
        <f t="shared" si="9"/>
        <v>0.16600535989924101</v>
      </c>
      <c r="E43" s="545">
        <f t="shared" si="9"/>
        <v>0.16022887599937299</v>
      </c>
      <c r="F43" s="545">
        <f t="shared" si="9"/>
        <v>0.168664812542208</v>
      </c>
      <c r="G43" s="545">
        <f t="shared" si="9"/>
        <v>0.175593946017156</v>
      </c>
      <c r="H43" s="545">
        <f t="shared" si="9"/>
        <v>0.18051341461172099</v>
      </c>
      <c r="I43" s="555">
        <f t="shared" ref="I43:J43" si="10">I9/I13</f>
        <v>0.19259757738896399</v>
      </c>
      <c r="J43" s="555">
        <f t="shared" si="10"/>
        <v>0.20135216547292301</v>
      </c>
      <c r="K43" s="555">
        <f t="shared" ref="K43" si="11">K9/K13</f>
        <v>0.215807691956416</v>
      </c>
      <c r="M43" s="556" t="s">
        <v>431</v>
      </c>
    </row>
    <row r="44" spans="1:61">
      <c r="A44" s="533"/>
      <c r="B44" s="534" t="s">
        <v>373</v>
      </c>
      <c r="C44" s="545">
        <f t="shared" ref="C44:H44" si="12">C10/C13</f>
        <v>0.243453150410742</v>
      </c>
      <c r="D44" s="545">
        <f t="shared" si="12"/>
        <v>0.238363999659088</v>
      </c>
      <c r="E44" s="545">
        <f t="shared" si="12"/>
        <v>0.22436118513873601</v>
      </c>
      <c r="F44" s="545">
        <f t="shared" si="12"/>
        <v>0.209605623370682</v>
      </c>
      <c r="G44" s="545">
        <f t="shared" si="12"/>
        <v>0.20281740744621901</v>
      </c>
      <c r="H44" s="545">
        <f t="shared" si="12"/>
        <v>0.19453485592394401</v>
      </c>
      <c r="I44" s="555">
        <f t="shared" ref="I44:J44" si="13">I10/I13</f>
        <v>0.18088829071332399</v>
      </c>
      <c r="J44" s="555">
        <f t="shared" si="13"/>
        <v>0.174892180581986</v>
      </c>
      <c r="K44" s="555">
        <f t="shared" ref="K44" si="14">K10/K13</f>
        <v>0.17408736791151799</v>
      </c>
    </row>
    <row r="45" spans="1:61">
      <c r="A45" s="533"/>
      <c r="B45" s="534" t="s">
        <v>374</v>
      </c>
      <c r="C45" s="545">
        <f t="shared" ref="C45:H45" si="15">C11/C13</f>
        <v>0.26445936366290002</v>
      </c>
      <c r="D45" s="545">
        <f t="shared" si="15"/>
        <v>0.25177321754940901</v>
      </c>
      <c r="E45" s="545">
        <f t="shared" si="15"/>
        <v>0.24779746041699299</v>
      </c>
      <c r="F45" s="545">
        <f t="shared" si="15"/>
        <v>0.25321143554254899</v>
      </c>
      <c r="G45" s="545">
        <f t="shared" si="15"/>
        <v>0.25450979805086898</v>
      </c>
      <c r="H45" s="545">
        <f t="shared" si="15"/>
        <v>0.25778304922675199</v>
      </c>
      <c r="I45" s="555">
        <f t="shared" ref="I45:J45" si="16">I11/I13</f>
        <v>0.25869325828949002</v>
      </c>
      <c r="J45" s="555">
        <f t="shared" si="16"/>
        <v>0.256739311294502</v>
      </c>
      <c r="K45" s="555">
        <f t="shared" ref="K45" si="17">K11/K13</f>
        <v>0.25246823939867202</v>
      </c>
    </row>
    <row r="46" spans="1:61">
      <c r="A46" s="533"/>
      <c r="B46" s="536" t="s">
        <v>375</v>
      </c>
      <c r="C46" s="546">
        <f t="shared" ref="C46:H46" si="18">C12/C13</f>
        <v>8.2367290771861099E-2</v>
      </c>
      <c r="D46" s="546">
        <f t="shared" si="18"/>
        <v>8.05026562751541E-2</v>
      </c>
      <c r="E46" s="546">
        <f t="shared" si="18"/>
        <v>7.5309609656685997E-2</v>
      </c>
      <c r="F46" s="546">
        <f t="shared" si="18"/>
        <v>7.1490294892927894E-2</v>
      </c>
      <c r="G46" s="546">
        <f t="shared" si="18"/>
        <v>7.2388808215691894E-2</v>
      </c>
      <c r="H46" s="546">
        <f t="shared" si="18"/>
        <v>7.2654051966679498E-2</v>
      </c>
      <c r="I46" s="557">
        <f t="shared" ref="I46:J46" si="19">I12/I13</f>
        <v>7.7193197112443407E-2</v>
      </c>
      <c r="J46" s="557">
        <f t="shared" si="19"/>
        <v>8.5786962217780899E-2</v>
      </c>
      <c r="K46" s="557">
        <f t="shared" ref="K46" si="20">K12/K13</f>
        <v>8.3294517357590997E-2</v>
      </c>
      <c r="M46" s="558" t="s">
        <v>186</v>
      </c>
      <c r="N46" s="559"/>
      <c r="O46" s="559"/>
      <c r="P46" s="559"/>
      <c r="Q46" s="559"/>
      <c r="R46" s="559"/>
      <c r="S46" s="559"/>
      <c r="T46" s="559"/>
      <c r="U46" s="559"/>
      <c r="V46" s="559"/>
      <c r="W46" s="559" t="s">
        <v>129</v>
      </c>
      <c r="X46" s="559"/>
      <c r="Y46" s="559"/>
      <c r="Z46" s="559"/>
      <c r="AA46" s="559"/>
      <c r="AB46" s="559"/>
      <c r="AC46" s="559"/>
      <c r="AD46" s="559"/>
      <c r="AE46" s="559"/>
      <c r="AF46" s="559"/>
      <c r="AG46" s="559" t="s">
        <v>146</v>
      </c>
      <c r="AH46" s="559"/>
      <c r="AI46" s="559"/>
      <c r="AJ46" s="559"/>
      <c r="AK46" s="559"/>
      <c r="AL46" s="559"/>
      <c r="AM46" s="559"/>
      <c r="AN46" s="559"/>
      <c r="AO46" s="559"/>
      <c r="AP46" s="559"/>
      <c r="AQ46" s="559" t="s">
        <v>156</v>
      </c>
      <c r="AR46" s="559"/>
      <c r="AS46" s="559"/>
      <c r="AT46" s="559"/>
      <c r="AU46" s="559"/>
      <c r="AV46" s="559"/>
      <c r="AW46" s="559"/>
      <c r="AX46" s="559"/>
      <c r="AY46" s="559"/>
      <c r="AZ46" s="559"/>
      <c r="BA46" s="559" t="s">
        <v>170</v>
      </c>
      <c r="BB46" s="559"/>
      <c r="BC46" s="559"/>
      <c r="BD46" s="559"/>
      <c r="BE46" s="559"/>
      <c r="BF46" s="559"/>
      <c r="BG46" s="559"/>
      <c r="BH46" s="559"/>
      <c r="BI46" s="567"/>
    </row>
    <row r="47" spans="1:61">
      <c r="A47" s="530" t="s">
        <v>129</v>
      </c>
      <c r="B47" s="530" t="s">
        <v>371</v>
      </c>
      <c r="C47" s="544">
        <f t="shared" ref="C47:G47" si="21">C14/C19</f>
        <v>0.312508017327294</v>
      </c>
      <c r="D47" s="544">
        <f t="shared" si="21"/>
        <v>0.31953883373319802</v>
      </c>
      <c r="E47" s="544">
        <f t="shared" si="21"/>
        <v>0.315726080421668</v>
      </c>
      <c r="F47" s="544">
        <f t="shared" si="21"/>
        <v>0.312192570500122</v>
      </c>
      <c r="G47" s="544">
        <f t="shared" si="21"/>
        <v>0.29888897564893402</v>
      </c>
      <c r="H47" s="544">
        <f t="shared" ref="H47:I47" si="22">H14/H19</f>
        <v>0.29308434964867902</v>
      </c>
      <c r="I47" s="554">
        <f t="shared" si="22"/>
        <v>0.30227304323648002</v>
      </c>
      <c r="J47" s="554">
        <f t="shared" ref="J47:K47" si="23">J14/J19</f>
        <v>0.30928361944611599</v>
      </c>
      <c r="K47" s="554">
        <f t="shared" si="23"/>
        <v>0.32825029709298298</v>
      </c>
      <c r="M47" s="560">
        <f t="shared" ref="M47:U47" si="24">C7</f>
        <v>2016</v>
      </c>
      <c r="N47" s="561">
        <f t="shared" si="24"/>
        <v>2017</v>
      </c>
      <c r="O47" s="561">
        <f t="shared" si="24"/>
        <v>2018</v>
      </c>
      <c r="P47" s="561">
        <f t="shared" si="24"/>
        <v>2019</v>
      </c>
      <c r="Q47" s="561">
        <f t="shared" si="24"/>
        <v>2020</v>
      </c>
      <c r="R47" s="561">
        <f t="shared" si="24"/>
        <v>2021</v>
      </c>
      <c r="S47" s="561">
        <f t="shared" si="24"/>
        <v>2022</v>
      </c>
      <c r="T47" s="561">
        <f t="shared" si="24"/>
        <v>2023</v>
      </c>
      <c r="U47" s="561">
        <f t="shared" si="24"/>
        <v>2024</v>
      </c>
      <c r="V47" s="561"/>
      <c r="W47" s="561">
        <f t="shared" ref="W47:AB47" si="25">M47</f>
        <v>2016</v>
      </c>
      <c r="X47" s="561">
        <f t="shared" si="25"/>
        <v>2017</v>
      </c>
      <c r="Y47" s="561">
        <f t="shared" si="25"/>
        <v>2018</v>
      </c>
      <c r="Z47" s="561">
        <f t="shared" si="25"/>
        <v>2019</v>
      </c>
      <c r="AA47" s="561">
        <f t="shared" si="25"/>
        <v>2020</v>
      </c>
      <c r="AB47" s="561">
        <f t="shared" si="25"/>
        <v>2021</v>
      </c>
      <c r="AC47" s="561">
        <f t="shared" ref="AC47:AE47" si="26">S47</f>
        <v>2022</v>
      </c>
      <c r="AD47" s="561">
        <f t="shared" si="26"/>
        <v>2023</v>
      </c>
      <c r="AE47" s="561">
        <f t="shared" si="26"/>
        <v>2024</v>
      </c>
      <c r="AF47" s="561"/>
      <c r="AG47" s="561">
        <f t="shared" ref="AG47:AO47" si="27">W47</f>
        <v>2016</v>
      </c>
      <c r="AH47" s="561">
        <f t="shared" si="27"/>
        <v>2017</v>
      </c>
      <c r="AI47" s="561">
        <f t="shared" si="27"/>
        <v>2018</v>
      </c>
      <c r="AJ47" s="561">
        <f t="shared" si="27"/>
        <v>2019</v>
      </c>
      <c r="AK47" s="561">
        <f t="shared" si="27"/>
        <v>2020</v>
      </c>
      <c r="AL47" s="561">
        <f t="shared" si="27"/>
        <v>2021</v>
      </c>
      <c r="AM47" s="561">
        <f t="shared" si="27"/>
        <v>2022</v>
      </c>
      <c r="AN47" s="561">
        <f t="shared" si="27"/>
        <v>2023</v>
      </c>
      <c r="AO47" s="561">
        <f t="shared" si="27"/>
        <v>2024</v>
      </c>
      <c r="AP47" s="561"/>
      <c r="AQ47" s="561">
        <f t="shared" ref="AQ47:AV47" si="28">AG47</f>
        <v>2016</v>
      </c>
      <c r="AR47" s="561">
        <f t="shared" si="28"/>
        <v>2017</v>
      </c>
      <c r="AS47" s="561">
        <f t="shared" si="28"/>
        <v>2018</v>
      </c>
      <c r="AT47" s="561">
        <f t="shared" si="28"/>
        <v>2019</v>
      </c>
      <c r="AU47" s="561">
        <f t="shared" si="28"/>
        <v>2020</v>
      </c>
      <c r="AV47" s="561">
        <f t="shared" si="28"/>
        <v>2021</v>
      </c>
      <c r="AW47" s="561">
        <f t="shared" ref="AW47:AY47" si="29">AM47</f>
        <v>2022</v>
      </c>
      <c r="AX47" s="561">
        <f t="shared" si="29"/>
        <v>2023</v>
      </c>
      <c r="AY47" s="561">
        <f t="shared" si="29"/>
        <v>2024</v>
      </c>
      <c r="AZ47" s="561"/>
      <c r="BA47" s="561">
        <f t="shared" ref="BA47:BF47" si="30">AQ47</f>
        <v>2016</v>
      </c>
      <c r="BB47" s="561">
        <f t="shared" si="30"/>
        <v>2017</v>
      </c>
      <c r="BC47" s="561">
        <f t="shared" si="30"/>
        <v>2018</v>
      </c>
      <c r="BD47" s="561">
        <f t="shared" si="30"/>
        <v>2019</v>
      </c>
      <c r="BE47" s="561">
        <f t="shared" si="30"/>
        <v>2020</v>
      </c>
      <c r="BF47" s="561">
        <f t="shared" si="30"/>
        <v>2021</v>
      </c>
      <c r="BG47" s="561">
        <f t="shared" ref="BG47" si="31">AW47</f>
        <v>2022</v>
      </c>
      <c r="BH47" s="561">
        <f t="shared" ref="BH47" si="32">AX47</f>
        <v>2023</v>
      </c>
      <c r="BI47" s="561">
        <f t="shared" ref="BI47" si="33">AY47</f>
        <v>2024</v>
      </c>
    </row>
    <row r="48" spans="1:61">
      <c r="A48" s="533"/>
      <c r="B48" s="534" t="s">
        <v>372</v>
      </c>
      <c r="C48" s="545">
        <f t="shared" ref="C48:G48" si="34">C15/C19</f>
        <v>0.16458462844005001</v>
      </c>
      <c r="D48" s="545">
        <f t="shared" si="34"/>
        <v>0.166291897969222</v>
      </c>
      <c r="E48" s="545">
        <f t="shared" si="34"/>
        <v>0.17291894006465</v>
      </c>
      <c r="F48" s="545">
        <f t="shared" si="34"/>
        <v>0.174263838500746</v>
      </c>
      <c r="G48" s="545">
        <f t="shared" si="34"/>
        <v>0.17648108692984699</v>
      </c>
      <c r="H48" s="545">
        <f t="shared" ref="H48:I48" si="35">H15/H19</f>
        <v>0.175649699720898</v>
      </c>
      <c r="I48" s="555">
        <f t="shared" si="35"/>
        <v>0.17663502214454499</v>
      </c>
      <c r="J48" s="555">
        <f t="shared" ref="J48:K48" si="36">J15/J19</f>
        <v>0.181192025143534</v>
      </c>
      <c r="K48" s="555">
        <f t="shared" si="36"/>
        <v>0.17899477715529699</v>
      </c>
      <c r="M48" s="562">
        <f t="shared" ref="M48:S48" si="37">C8/C13</f>
        <v>0.238470038780701</v>
      </c>
      <c r="N48" s="563">
        <f t="shared" si="37"/>
        <v>0.26335476661710799</v>
      </c>
      <c r="O48" s="563">
        <f t="shared" si="37"/>
        <v>0.29230286878821099</v>
      </c>
      <c r="P48" s="563">
        <f t="shared" si="37"/>
        <v>0.29702783365163299</v>
      </c>
      <c r="Q48" s="563">
        <f t="shared" si="37"/>
        <v>0.29469004027006401</v>
      </c>
      <c r="R48" s="563">
        <f t="shared" si="37"/>
        <v>0.29451462827090302</v>
      </c>
      <c r="S48" s="563">
        <f t="shared" si="37"/>
        <v>0.29062767649577897</v>
      </c>
      <c r="T48" s="563">
        <f t="shared" ref="T48" si="38">J8/J13</f>
        <v>0.28122938043280798</v>
      </c>
      <c r="U48" s="563">
        <f t="shared" ref="U48" si="39">K8/K13</f>
        <v>0.27434218337580302</v>
      </c>
      <c r="V48" s="561"/>
      <c r="W48" s="563">
        <f t="shared" ref="W48:AC48" si="40">C14/C19</f>
        <v>0.312508017327294</v>
      </c>
      <c r="X48" s="563">
        <f t="shared" si="40"/>
        <v>0.31953883373319802</v>
      </c>
      <c r="Y48" s="563">
        <f t="shared" si="40"/>
        <v>0.315726080421668</v>
      </c>
      <c r="Z48" s="563">
        <f t="shared" si="40"/>
        <v>0.312192570500122</v>
      </c>
      <c r="AA48" s="563">
        <f t="shared" si="40"/>
        <v>0.29888897564893402</v>
      </c>
      <c r="AB48" s="563">
        <f t="shared" si="40"/>
        <v>0.29308434964867902</v>
      </c>
      <c r="AC48" s="563">
        <f t="shared" si="40"/>
        <v>0.30227304323648002</v>
      </c>
      <c r="AD48" s="563">
        <f t="shared" ref="AD48" si="41">J14/J19</f>
        <v>0.30928361944611599</v>
      </c>
      <c r="AE48" s="563">
        <f t="shared" ref="AE48" si="42">K14/K19</f>
        <v>0.32825029709298298</v>
      </c>
      <c r="AF48" s="561"/>
      <c r="AG48" s="563">
        <f t="shared" ref="AG48:AM48" si="43">C20/C25</f>
        <v>0.35633651452663301</v>
      </c>
      <c r="AH48" s="563">
        <f t="shared" si="43"/>
        <v>0.33186918831114998</v>
      </c>
      <c r="AI48" s="563">
        <f t="shared" si="43"/>
        <v>0.31796793600645301</v>
      </c>
      <c r="AJ48" s="563">
        <f t="shared" si="43"/>
        <v>0.32956923787014297</v>
      </c>
      <c r="AK48" s="563">
        <f t="shared" si="43"/>
        <v>0.342912900880044</v>
      </c>
      <c r="AL48" s="563">
        <f t="shared" si="43"/>
        <v>0.34804156784250301</v>
      </c>
      <c r="AM48" s="563">
        <f t="shared" si="43"/>
        <v>0.36559402278443598</v>
      </c>
      <c r="AN48" s="563">
        <f t="shared" ref="AN48" si="44">J20/J25</f>
        <v>0.35739308563540001</v>
      </c>
      <c r="AO48" s="563">
        <f t="shared" ref="AO48" si="45">K20/K25</f>
        <v>0.36726262665779902</v>
      </c>
      <c r="AP48" s="561"/>
      <c r="AQ48" s="563">
        <f t="shared" ref="AQ48:AW48" si="46">C26/C31</f>
        <v>0.26644153338033899</v>
      </c>
      <c r="AR48" s="563">
        <f t="shared" si="46"/>
        <v>0.29683049133516398</v>
      </c>
      <c r="AS48" s="563">
        <f t="shared" si="46"/>
        <v>0.32342910892098398</v>
      </c>
      <c r="AT48" s="563">
        <f t="shared" si="46"/>
        <v>0.34879992226217099</v>
      </c>
      <c r="AU48" s="563">
        <f t="shared" si="46"/>
        <v>0.34530600387833799</v>
      </c>
      <c r="AV48" s="563">
        <f t="shared" si="46"/>
        <v>0.34005799300520401</v>
      </c>
      <c r="AW48" s="563">
        <f t="shared" si="46"/>
        <v>0.34803537809999902</v>
      </c>
      <c r="AX48" s="563">
        <f t="shared" ref="AX48" si="47">J26/J31</f>
        <v>0.37287154497679698</v>
      </c>
      <c r="AY48" s="563">
        <f t="shared" ref="AY48" si="48">K26/K31</f>
        <v>0.384434190262611</v>
      </c>
      <c r="AZ48" s="561"/>
      <c r="BA48" s="563">
        <f t="shared" ref="BA48:BF48" si="49">C32/C37</f>
        <v>0.49416760985847202</v>
      </c>
      <c r="BB48" s="563">
        <f t="shared" si="49"/>
        <v>0.48428306171352598</v>
      </c>
      <c r="BC48" s="563">
        <f t="shared" si="49"/>
        <v>0.47636624761582902</v>
      </c>
      <c r="BD48" s="563">
        <f t="shared" si="49"/>
        <v>0.47656236774539401</v>
      </c>
      <c r="BE48" s="563">
        <f t="shared" si="49"/>
        <v>0.48085227272727299</v>
      </c>
      <c r="BF48" s="563">
        <f t="shared" si="49"/>
        <v>0.47925099877593103</v>
      </c>
      <c r="BG48" s="563">
        <f t="shared" ref="BG48" si="50">I32/I37</f>
        <v>0.480215905754871</v>
      </c>
      <c r="BH48" s="563">
        <f t="shared" ref="BH48" si="51">J32/J37</f>
        <v>0.47913326963428099</v>
      </c>
      <c r="BI48" s="563">
        <f t="shared" ref="BI48" si="52">K32/K37</f>
        <v>0.47625611061748202</v>
      </c>
    </row>
    <row r="49" spans="1:61">
      <c r="A49" s="533"/>
      <c r="B49" s="534" t="s">
        <v>373</v>
      </c>
      <c r="C49" s="545">
        <f t="shared" ref="C49:G49" si="53">C16/C19</f>
        <v>0.18272105621503201</v>
      </c>
      <c r="D49" s="545">
        <f t="shared" si="53"/>
        <v>0.174668982201833</v>
      </c>
      <c r="E49" s="545">
        <f t="shared" si="53"/>
        <v>0.17048425950709301</v>
      </c>
      <c r="F49" s="545">
        <f t="shared" si="53"/>
        <v>0.170797257895791</v>
      </c>
      <c r="G49" s="545">
        <f t="shared" si="53"/>
        <v>0.17751848918536001</v>
      </c>
      <c r="H49" s="545">
        <f t="shared" ref="H49:I49" si="54">H16/H19</f>
        <v>0.18730791368469099</v>
      </c>
      <c r="I49" s="555">
        <f t="shared" si="54"/>
        <v>0.182568370042303</v>
      </c>
      <c r="J49" s="555">
        <f t="shared" ref="J49:K49" si="55">J16/J19</f>
        <v>0.17922410416606999</v>
      </c>
      <c r="K49" s="555">
        <f t="shared" si="55"/>
        <v>0.17534477765461301</v>
      </c>
      <c r="M49" s="562">
        <f t="shared" ref="M49:S49" si="56">C9/C13</f>
        <v>0.17125015637379601</v>
      </c>
      <c r="N49" s="563">
        <f t="shared" si="56"/>
        <v>0.16600535989924101</v>
      </c>
      <c r="O49" s="563">
        <f t="shared" si="56"/>
        <v>0.16022887599937299</v>
      </c>
      <c r="P49" s="563">
        <f t="shared" si="56"/>
        <v>0.168664812542208</v>
      </c>
      <c r="Q49" s="563">
        <f t="shared" si="56"/>
        <v>0.175593946017156</v>
      </c>
      <c r="R49" s="563">
        <f t="shared" si="56"/>
        <v>0.18051341461172099</v>
      </c>
      <c r="S49" s="563">
        <f t="shared" si="56"/>
        <v>0.19259757738896399</v>
      </c>
      <c r="T49" s="563">
        <f t="shared" ref="T49" si="57">J9/J13</f>
        <v>0.20135216547292301</v>
      </c>
      <c r="U49" s="563">
        <f t="shared" ref="U49" si="58">K9/K13</f>
        <v>0.215807691956416</v>
      </c>
      <c r="V49" s="561"/>
      <c r="W49" s="563">
        <f t="shared" ref="W49:AC49" si="59">C15/C19</f>
        <v>0.16458462844005001</v>
      </c>
      <c r="X49" s="563">
        <f t="shared" si="59"/>
        <v>0.166291897969222</v>
      </c>
      <c r="Y49" s="563">
        <f t="shared" si="59"/>
        <v>0.17291894006465</v>
      </c>
      <c r="Z49" s="563">
        <f t="shared" si="59"/>
        <v>0.174263838500746</v>
      </c>
      <c r="AA49" s="563">
        <f t="shared" si="59"/>
        <v>0.17648108692984699</v>
      </c>
      <c r="AB49" s="563">
        <f t="shared" si="59"/>
        <v>0.175649699720898</v>
      </c>
      <c r="AC49" s="563">
        <f t="shared" si="59"/>
        <v>0.17663502214454499</v>
      </c>
      <c r="AD49" s="563">
        <f t="shared" ref="AD49" si="60">J15/J19</f>
        <v>0.181192025143534</v>
      </c>
      <c r="AE49" s="563">
        <f t="shared" ref="AE49" si="61">K15/K19</f>
        <v>0.17899477715529699</v>
      </c>
      <c r="AF49" s="561"/>
      <c r="AG49" s="563">
        <f t="shared" ref="AG49:AM49" si="62">C21/C25</f>
        <v>0.12459928905381699</v>
      </c>
      <c r="AH49" s="563">
        <f t="shared" si="62"/>
        <v>0.131938804263148</v>
      </c>
      <c r="AI49" s="563">
        <f t="shared" si="62"/>
        <v>0.13566699156387599</v>
      </c>
      <c r="AJ49" s="563">
        <f t="shared" si="62"/>
        <v>0.138985047071088</v>
      </c>
      <c r="AK49" s="563">
        <f t="shared" si="62"/>
        <v>0.14126708516985001</v>
      </c>
      <c r="AL49" s="563">
        <f t="shared" si="62"/>
        <v>0.14755761505874601</v>
      </c>
      <c r="AM49" s="563">
        <f t="shared" si="62"/>
        <v>0.14786950732356899</v>
      </c>
      <c r="AN49" s="563">
        <f t="shared" ref="AN49" si="63">J21/J25</f>
        <v>0.15235204180088199</v>
      </c>
      <c r="AO49" s="563">
        <f t="shared" ref="AO49" si="64">K21/K25</f>
        <v>0.149501193224052</v>
      </c>
      <c r="AP49" s="561"/>
      <c r="AQ49" s="563">
        <f t="shared" ref="AQ49:AW49" si="65">C27/C31</f>
        <v>0.139995794213332</v>
      </c>
      <c r="AR49" s="563">
        <f t="shared" si="65"/>
        <v>0.15110991810694899</v>
      </c>
      <c r="AS49" s="563">
        <f t="shared" si="65"/>
        <v>0.14651996830648201</v>
      </c>
      <c r="AT49" s="563">
        <f t="shared" si="65"/>
        <v>0.15729543025238299</v>
      </c>
      <c r="AU49" s="563">
        <f t="shared" si="65"/>
        <v>0.155465513728863</v>
      </c>
      <c r="AV49" s="563">
        <f t="shared" si="65"/>
        <v>0.15322740557457001</v>
      </c>
      <c r="AW49" s="563">
        <f t="shared" si="65"/>
        <v>0.15406082818624001</v>
      </c>
      <c r="AX49" s="563">
        <f t="shared" ref="AX49" si="66">J27/J31</f>
        <v>0.147932714811191</v>
      </c>
      <c r="AY49" s="563">
        <f t="shared" ref="AY49" si="67">K27/K31</f>
        <v>0.16920165738717399</v>
      </c>
      <c r="AZ49" s="561"/>
      <c r="BA49" s="563">
        <f t="shared" ref="BA49:BF49" si="68">C33/C37</f>
        <v>0.16324422783114301</v>
      </c>
      <c r="BB49" s="563">
        <f t="shared" si="68"/>
        <v>0.16676076128821801</v>
      </c>
      <c r="BC49" s="563">
        <f t="shared" si="68"/>
        <v>0.16762791664906601</v>
      </c>
      <c r="BD49" s="563">
        <f t="shared" si="68"/>
        <v>0.17443218689162901</v>
      </c>
      <c r="BE49" s="563">
        <f t="shared" si="68"/>
        <v>0.172119318181818</v>
      </c>
      <c r="BF49" s="563">
        <f t="shared" si="68"/>
        <v>0.17273760006105701</v>
      </c>
      <c r="BG49" s="563">
        <f t="shared" ref="BG49" si="69">I33/I37</f>
        <v>0.17342510587462501</v>
      </c>
      <c r="BH49" s="563">
        <f t="shared" ref="BH49" si="70">J33/J37</f>
        <v>0.178294918148834</v>
      </c>
      <c r="BI49" s="563">
        <f t="shared" ref="BI49" si="71">K33/K37</f>
        <v>0.17711293143235701</v>
      </c>
    </row>
    <row r="50" spans="1:61">
      <c r="A50" s="533"/>
      <c r="B50" s="534" t="s">
        <v>374</v>
      </c>
      <c r="C50" s="545">
        <f t="shared" ref="C50:G50" si="72">C17/C19</f>
        <v>0.23227553950445501</v>
      </c>
      <c r="D50" s="545">
        <f t="shared" si="72"/>
        <v>0.22942369274320601</v>
      </c>
      <c r="E50" s="545">
        <f t="shared" si="72"/>
        <v>0.228623195865676</v>
      </c>
      <c r="F50" s="545">
        <f t="shared" si="72"/>
        <v>0.23217187117452001</v>
      </c>
      <c r="G50" s="545">
        <f t="shared" si="72"/>
        <v>0.228490635492543</v>
      </c>
      <c r="H50" s="545">
        <f t="shared" ref="H50:I50" si="73">H17/H19</f>
        <v>0.22371064606162</v>
      </c>
      <c r="I50" s="555">
        <f t="shared" si="73"/>
        <v>0.216520029393657</v>
      </c>
      <c r="J50" s="555">
        <f t="shared" ref="J50:K50" si="74">J17/J19</f>
        <v>0.208790683900305</v>
      </c>
      <c r="K50" s="555">
        <f t="shared" si="74"/>
        <v>0.20555339185316099</v>
      </c>
      <c r="M50" s="562">
        <f t="shared" ref="M50:S50" si="75">C10/C13</f>
        <v>0.243453150410742</v>
      </c>
      <c r="N50" s="563">
        <f t="shared" si="75"/>
        <v>0.238363999659088</v>
      </c>
      <c r="O50" s="563">
        <f t="shared" si="75"/>
        <v>0.22436118513873601</v>
      </c>
      <c r="P50" s="563">
        <f t="shared" si="75"/>
        <v>0.209605623370682</v>
      </c>
      <c r="Q50" s="563">
        <f t="shared" si="75"/>
        <v>0.20281740744621901</v>
      </c>
      <c r="R50" s="563">
        <f t="shared" si="75"/>
        <v>0.19453485592394401</v>
      </c>
      <c r="S50" s="563">
        <f t="shared" si="75"/>
        <v>0.18088829071332399</v>
      </c>
      <c r="T50" s="563">
        <f t="shared" ref="T50" si="76">J10/J13</f>
        <v>0.174892180581986</v>
      </c>
      <c r="U50" s="563">
        <f t="shared" ref="U50" si="77">K10/K13</f>
        <v>0.17408736791151799</v>
      </c>
      <c r="V50" s="561"/>
      <c r="W50" s="563">
        <f t="shared" ref="W50:AC50" si="78">C16/C19</f>
        <v>0.18272105621503201</v>
      </c>
      <c r="X50" s="563">
        <f t="shared" si="78"/>
        <v>0.174668982201833</v>
      </c>
      <c r="Y50" s="563">
        <f t="shared" si="78"/>
        <v>0.17048425950709301</v>
      </c>
      <c r="Z50" s="563">
        <f t="shared" si="78"/>
        <v>0.170797257895791</v>
      </c>
      <c r="AA50" s="563">
        <f t="shared" si="78"/>
        <v>0.17751848918536001</v>
      </c>
      <c r="AB50" s="563">
        <f t="shared" si="78"/>
        <v>0.18730791368469099</v>
      </c>
      <c r="AC50" s="563">
        <f t="shared" si="78"/>
        <v>0.182568370042303</v>
      </c>
      <c r="AD50" s="563">
        <f t="shared" ref="AD50" si="79">J16/J19</f>
        <v>0.17922410416606999</v>
      </c>
      <c r="AE50" s="563">
        <f t="shared" ref="AE50" si="80">K16/K19</f>
        <v>0.17534477765461301</v>
      </c>
      <c r="AF50" s="561"/>
      <c r="AG50" s="563">
        <f t="shared" ref="AG50:AM50" si="81">C22/C25</f>
        <v>0.20806657542551099</v>
      </c>
      <c r="AH50" s="563">
        <f t="shared" si="81"/>
        <v>0.22777676484725901</v>
      </c>
      <c r="AI50" s="563">
        <f t="shared" si="81"/>
        <v>0.223506873256478</v>
      </c>
      <c r="AJ50" s="563">
        <f t="shared" si="81"/>
        <v>0.213582575341594</v>
      </c>
      <c r="AK50" s="563">
        <f t="shared" si="81"/>
        <v>0.20939999703189199</v>
      </c>
      <c r="AL50" s="563">
        <f t="shared" si="81"/>
        <v>0.20908679617773299</v>
      </c>
      <c r="AM50" s="563">
        <f t="shared" si="81"/>
        <v>0.19641958869655299</v>
      </c>
      <c r="AN50" s="563">
        <f t="shared" ref="AN50" si="82">J22/J25</f>
        <v>0.20549378775958599</v>
      </c>
      <c r="AO50" s="563">
        <f t="shared" ref="AO50" si="83">K22/K25</f>
        <v>0.20327060756621401</v>
      </c>
      <c r="AP50" s="561"/>
      <c r="AQ50" s="563">
        <f t="shared" ref="AQ50:AW50" si="84">C28/C31</f>
        <v>0.26630546381168002</v>
      </c>
      <c r="AR50" s="563">
        <f t="shared" si="84"/>
        <v>0.21976216536426099</v>
      </c>
      <c r="AS50" s="563">
        <f t="shared" si="84"/>
        <v>0.22102290366375199</v>
      </c>
      <c r="AT50" s="563">
        <f t="shared" si="84"/>
        <v>0.207237568572716</v>
      </c>
      <c r="AU50" s="563">
        <f t="shared" si="84"/>
        <v>0.21324444846866</v>
      </c>
      <c r="AV50" s="563">
        <f t="shared" si="84"/>
        <v>0.225770390231426</v>
      </c>
      <c r="AW50" s="563">
        <f t="shared" si="84"/>
        <v>0.223416634621286</v>
      </c>
      <c r="AX50" s="563">
        <f t="shared" ref="AX50" si="85">J28/J31</f>
        <v>0.210551294150611</v>
      </c>
      <c r="AY50" s="563">
        <f t="shared" ref="AY50" si="86">K28/K31</f>
        <v>0.16848475799141799</v>
      </c>
      <c r="AZ50" s="561"/>
      <c r="BA50" s="563">
        <f t="shared" ref="BA50:BF50" si="87">C34/C37</f>
        <v>0.13757181181921099</v>
      </c>
      <c r="BB50" s="563">
        <f t="shared" si="87"/>
        <v>0.13679162432408701</v>
      </c>
      <c r="BC50" s="563">
        <f t="shared" si="87"/>
        <v>0.13534616371901401</v>
      </c>
      <c r="BD50" s="563">
        <f t="shared" si="87"/>
        <v>0.12720142200152401</v>
      </c>
      <c r="BE50" s="563">
        <f t="shared" si="87"/>
        <v>0.12742613636363601</v>
      </c>
      <c r="BF50" s="563">
        <f t="shared" si="87"/>
        <v>0.12942550936838601</v>
      </c>
      <c r="BG50" s="563">
        <f t="shared" ref="BG50" si="88">I34/I37</f>
        <v>0.124462633596772</v>
      </c>
      <c r="BH50" s="563">
        <f t="shared" ref="BH50" si="89">J34/J37</f>
        <v>0.11894687054596</v>
      </c>
      <c r="BI50" s="563">
        <f t="shared" ref="BI50" si="90">K34/K37</f>
        <v>0.118956493345432</v>
      </c>
    </row>
    <row r="51" spans="1:61">
      <c r="A51" s="533"/>
      <c r="B51" s="536" t="s">
        <v>375</v>
      </c>
      <c r="C51" s="546">
        <f t="shared" ref="C51:G51" si="91">C18/C19</f>
        <v>0.107910758513168</v>
      </c>
      <c r="D51" s="546">
        <f t="shared" si="91"/>
        <v>0.11007659335254</v>
      </c>
      <c r="E51" s="546">
        <f t="shared" si="91"/>
        <v>0.112247524140913</v>
      </c>
      <c r="F51" s="546">
        <f t="shared" si="91"/>
        <v>0.11057446192882101</v>
      </c>
      <c r="G51" s="546">
        <f t="shared" si="91"/>
        <v>0.118620812743315</v>
      </c>
      <c r="H51" s="546">
        <f t="shared" ref="H51:I51" si="92">H18/H19</f>
        <v>0.120247390884113</v>
      </c>
      <c r="I51" s="557">
        <f t="shared" si="92"/>
        <v>0.122003535183015</v>
      </c>
      <c r="J51" s="557">
        <f t="shared" ref="J51:K51" si="93">J18/J19</f>
        <v>0.121509567343975</v>
      </c>
      <c r="K51" s="557">
        <f t="shared" si="93"/>
        <v>0.111856756243946</v>
      </c>
      <c r="M51" s="562">
        <f t="shared" ref="M51:S51" si="94">C11/C13</f>
        <v>0.26445936366290002</v>
      </c>
      <c r="N51" s="563">
        <f t="shared" si="94"/>
        <v>0.25177321754940901</v>
      </c>
      <c r="O51" s="563">
        <f t="shared" si="94"/>
        <v>0.24779746041699299</v>
      </c>
      <c r="P51" s="563">
        <f t="shared" si="94"/>
        <v>0.25321143554254899</v>
      </c>
      <c r="Q51" s="563">
        <f t="shared" si="94"/>
        <v>0.25450979805086898</v>
      </c>
      <c r="R51" s="563">
        <f t="shared" si="94"/>
        <v>0.25778304922675199</v>
      </c>
      <c r="S51" s="563">
        <f t="shared" si="94"/>
        <v>0.25869325828949002</v>
      </c>
      <c r="T51" s="563">
        <f t="shared" ref="T51" si="95">J11/J13</f>
        <v>0.256739311294502</v>
      </c>
      <c r="U51" s="563">
        <f t="shared" ref="U51" si="96">K11/K13</f>
        <v>0.25246823939867202</v>
      </c>
      <c r="V51" s="561"/>
      <c r="W51" s="563">
        <f t="shared" ref="W51:AC51" si="97">C17/C19</f>
        <v>0.23227553950445501</v>
      </c>
      <c r="X51" s="563">
        <f t="shared" si="97"/>
        <v>0.22942369274320601</v>
      </c>
      <c r="Y51" s="563">
        <f t="shared" si="97"/>
        <v>0.228623195865676</v>
      </c>
      <c r="Z51" s="563">
        <f t="shared" si="97"/>
        <v>0.23217187117452001</v>
      </c>
      <c r="AA51" s="563">
        <f t="shared" si="97"/>
        <v>0.228490635492543</v>
      </c>
      <c r="AB51" s="563">
        <f t="shared" si="97"/>
        <v>0.22371064606162</v>
      </c>
      <c r="AC51" s="563">
        <f t="shared" si="97"/>
        <v>0.216520029393657</v>
      </c>
      <c r="AD51" s="563">
        <f t="shared" ref="AD51" si="98">J17/J19</f>
        <v>0.208790683900305</v>
      </c>
      <c r="AE51" s="563">
        <f t="shared" ref="AE51" si="99">K17/K19</f>
        <v>0.20555339185316099</v>
      </c>
      <c r="AF51" s="561"/>
      <c r="AG51" s="563">
        <f t="shared" ref="AG51:AM51" si="100">C23/C25</f>
        <v>0.214229946081988</v>
      </c>
      <c r="AH51" s="563">
        <f t="shared" si="100"/>
        <v>0.21049709104771999</v>
      </c>
      <c r="AI51" s="563">
        <f t="shared" si="100"/>
        <v>0.21991899976473001</v>
      </c>
      <c r="AJ51" s="563">
        <f t="shared" si="100"/>
        <v>0.21504683235052999</v>
      </c>
      <c r="AK51" s="563">
        <f t="shared" si="100"/>
        <v>0.20389415728002599</v>
      </c>
      <c r="AL51" s="563">
        <f t="shared" si="100"/>
        <v>0.19321780617211201</v>
      </c>
      <c r="AM51" s="563">
        <f t="shared" si="100"/>
        <v>0.19349755881047501</v>
      </c>
      <c r="AN51" s="563">
        <f t="shared" ref="AN51" si="101">J23/J25</f>
        <v>0.19020440274912001</v>
      </c>
      <c r="AO51" s="563">
        <f t="shared" ref="AO51" si="102">K23/K25</f>
        <v>0.183592191228825</v>
      </c>
      <c r="AP51" s="561"/>
      <c r="AQ51" s="563">
        <f t="shared" ref="AQ51:AW51" si="103">C29/C31</f>
        <v>0.25265892307121401</v>
      </c>
      <c r="AR51" s="563">
        <f t="shared" si="103"/>
        <v>0.25792724268712902</v>
      </c>
      <c r="AS51" s="563">
        <f t="shared" si="103"/>
        <v>0.237191694815515</v>
      </c>
      <c r="AT51" s="563">
        <f t="shared" si="103"/>
        <v>0.22249140908649201</v>
      </c>
      <c r="AU51" s="563">
        <f t="shared" si="103"/>
        <v>0.21892047898227601</v>
      </c>
      <c r="AV51" s="563">
        <f t="shared" si="103"/>
        <v>0.21282973104235101</v>
      </c>
      <c r="AW51" s="563">
        <f t="shared" si="103"/>
        <v>0.21145942804319401</v>
      </c>
      <c r="AX51" s="563">
        <f t="shared" ref="AX51" si="104">J29/J31</f>
        <v>0.20639837010763501</v>
      </c>
      <c r="AY51" s="563">
        <f t="shared" ref="AY51" si="105">K29/K31</f>
        <v>0.21485159033937401</v>
      </c>
      <c r="AZ51" s="561"/>
      <c r="BA51" s="563">
        <f t="shared" ref="BA51:BF51" si="106">C35/C37</f>
        <v>0.14782757903837301</v>
      </c>
      <c r="BB51" s="563">
        <f t="shared" si="106"/>
        <v>0.15426185905880299</v>
      </c>
      <c r="BC51" s="563">
        <f t="shared" si="106"/>
        <v>0.161051342121595</v>
      </c>
      <c r="BD51" s="563">
        <f t="shared" si="106"/>
        <v>0.161772423327596</v>
      </c>
      <c r="BE51" s="563">
        <f t="shared" si="106"/>
        <v>0.16038352272727299</v>
      </c>
      <c r="BF51" s="563">
        <f t="shared" si="106"/>
        <v>0.160074207363789</v>
      </c>
      <c r="BG51" s="563">
        <f t="shared" ref="BG51" si="107">I35/I37</f>
        <v>0.163955249259532</v>
      </c>
      <c r="BH51" s="563">
        <f t="shared" ref="BH51" si="108">J35/J37</f>
        <v>0.16367693787437701</v>
      </c>
      <c r="BI51" s="563">
        <f t="shared" ref="BI51" si="109">K35/K37</f>
        <v>0.165571438887546</v>
      </c>
    </row>
    <row r="52" spans="1:61">
      <c r="A52" s="530" t="s">
        <v>146</v>
      </c>
      <c r="B52" s="530" t="s">
        <v>371</v>
      </c>
      <c r="C52" s="544">
        <f t="shared" ref="C52:H52" si="110">C20/C25</f>
        <v>0.35633651452663301</v>
      </c>
      <c r="D52" s="544">
        <f t="shared" si="110"/>
        <v>0.33186918831114998</v>
      </c>
      <c r="E52" s="544">
        <f t="shared" si="110"/>
        <v>0.31796793600645301</v>
      </c>
      <c r="F52" s="544">
        <f t="shared" si="110"/>
        <v>0.32956923787014297</v>
      </c>
      <c r="G52" s="544">
        <f t="shared" si="110"/>
        <v>0.342912900880044</v>
      </c>
      <c r="H52" s="544">
        <f t="shared" si="110"/>
        <v>0.34804156784250301</v>
      </c>
      <c r="I52" s="554">
        <f t="shared" ref="I52:J52" si="111">I20/I25</f>
        <v>0.36559402278443598</v>
      </c>
      <c r="J52" s="554">
        <f t="shared" si="111"/>
        <v>0.35739308563540001</v>
      </c>
      <c r="K52" s="554">
        <f t="shared" ref="K52" si="112">K20/K25</f>
        <v>0.36726262665779902</v>
      </c>
      <c r="M52" s="564">
        <f t="shared" ref="M52:S52" si="113">C12/C13</f>
        <v>8.2367290771861099E-2</v>
      </c>
      <c r="N52" s="565">
        <f t="shared" si="113"/>
        <v>8.05026562751541E-2</v>
      </c>
      <c r="O52" s="565">
        <f t="shared" si="113"/>
        <v>7.5309609656685997E-2</v>
      </c>
      <c r="P52" s="565">
        <f t="shared" si="113"/>
        <v>7.1490294892927894E-2</v>
      </c>
      <c r="Q52" s="565">
        <f t="shared" si="113"/>
        <v>7.2388808215691894E-2</v>
      </c>
      <c r="R52" s="565">
        <f t="shared" si="113"/>
        <v>7.2654051966679498E-2</v>
      </c>
      <c r="S52" s="565">
        <f t="shared" si="113"/>
        <v>7.7193197112443407E-2</v>
      </c>
      <c r="T52" s="565">
        <f t="shared" ref="T52" si="114">J12/J13</f>
        <v>8.5786962217780899E-2</v>
      </c>
      <c r="U52" s="565">
        <f t="shared" ref="U52" si="115">K12/K13</f>
        <v>8.3294517357590997E-2</v>
      </c>
      <c r="V52" s="566"/>
      <c r="W52" s="565">
        <f t="shared" ref="W52:AC52" si="116">C18/C19</f>
        <v>0.107910758513168</v>
      </c>
      <c r="X52" s="565">
        <f t="shared" si="116"/>
        <v>0.11007659335254</v>
      </c>
      <c r="Y52" s="565">
        <f t="shared" si="116"/>
        <v>0.112247524140913</v>
      </c>
      <c r="Z52" s="565">
        <f t="shared" si="116"/>
        <v>0.11057446192882101</v>
      </c>
      <c r="AA52" s="565">
        <f t="shared" si="116"/>
        <v>0.118620812743315</v>
      </c>
      <c r="AB52" s="565">
        <f t="shared" si="116"/>
        <v>0.120247390884113</v>
      </c>
      <c r="AC52" s="565">
        <f t="shared" si="116"/>
        <v>0.122003535183015</v>
      </c>
      <c r="AD52" s="565">
        <f t="shared" ref="AD52" si="117">J18/J19</f>
        <v>0.121509567343975</v>
      </c>
      <c r="AE52" s="565">
        <f t="shared" ref="AE52" si="118">K18/K19</f>
        <v>0.111856756243946</v>
      </c>
      <c r="AF52" s="566"/>
      <c r="AG52" s="565">
        <f t="shared" ref="AG52:AM52" si="119">C24/C25</f>
        <v>9.6767674912050294E-2</v>
      </c>
      <c r="AH52" s="565">
        <f t="shared" si="119"/>
        <v>9.7918151530722197E-2</v>
      </c>
      <c r="AI52" s="565">
        <f t="shared" si="119"/>
        <v>0.10293919940846299</v>
      </c>
      <c r="AJ52" s="565">
        <f t="shared" si="119"/>
        <v>0.102816307366645</v>
      </c>
      <c r="AK52" s="565">
        <f t="shared" si="119"/>
        <v>0.102525859638188</v>
      </c>
      <c r="AL52" s="565">
        <f t="shared" si="119"/>
        <v>0.102096214748907</v>
      </c>
      <c r="AM52" s="565">
        <f t="shared" si="119"/>
        <v>9.6619322384968204E-2</v>
      </c>
      <c r="AN52" s="565">
        <f t="shared" ref="AN52" si="120">J24/J25</f>
        <v>9.4556682055012095E-2</v>
      </c>
      <c r="AO52" s="565">
        <f t="shared" ref="AO52" si="121">K24/K25</f>
        <v>9.6373381323109394E-2</v>
      </c>
      <c r="AP52" s="566"/>
      <c r="AQ52" s="565">
        <f t="shared" ref="AQ52:AW52" si="122">C30/C31</f>
        <v>7.4598285523434907E-2</v>
      </c>
      <c r="AR52" s="565">
        <f t="shared" si="122"/>
        <v>7.4370182506496602E-2</v>
      </c>
      <c r="AS52" s="565">
        <f t="shared" si="122"/>
        <v>7.1836324293267001E-2</v>
      </c>
      <c r="AT52" s="565">
        <f t="shared" si="122"/>
        <v>6.4175669826238305E-2</v>
      </c>
      <c r="AU52" s="565">
        <f t="shared" si="122"/>
        <v>6.7063554941862696E-2</v>
      </c>
      <c r="AV52" s="565">
        <f t="shared" si="122"/>
        <v>6.8114480146448206E-2</v>
      </c>
      <c r="AW52" s="565">
        <f t="shared" si="122"/>
        <v>6.3027731049280597E-2</v>
      </c>
      <c r="AX52" s="565">
        <f t="shared" ref="AX52" si="123">J30/J31</f>
        <v>6.2246075953766099E-2</v>
      </c>
      <c r="AY52" s="565">
        <f t="shared" ref="AY52" si="124">K30/K31</f>
        <v>6.3027804019422304E-2</v>
      </c>
      <c r="AZ52" s="566"/>
      <c r="BA52" s="565">
        <f t="shared" ref="BA52:BF52" si="125">C36/C37</f>
        <v>5.71887714528014E-2</v>
      </c>
      <c r="BB52" s="565">
        <f t="shared" si="125"/>
        <v>5.7902693615366298E-2</v>
      </c>
      <c r="BC52" s="565">
        <f t="shared" si="125"/>
        <v>5.9608329894495403E-2</v>
      </c>
      <c r="BD52" s="565">
        <f t="shared" si="125"/>
        <v>6.0031600033857199E-2</v>
      </c>
      <c r="BE52" s="565">
        <f t="shared" si="125"/>
        <v>5.9218750000000001E-2</v>
      </c>
      <c r="BF52" s="565">
        <f t="shared" si="125"/>
        <v>5.8511684430837201E-2</v>
      </c>
      <c r="BG52" s="565">
        <f t="shared" ref="BG52" si="126">I36/I37</f>
        <v>5.7941105514200397E-2</v>
      </c>
      <c r="BH52" s="565">
        <f t="shared" ref="BH52" si="127">J36/J37</f>
        <v>5.9948003796548202E-2</v>
      </c>
      <c r="BI52" s="565">
        <f t="shared" ref="BI52" si="128">K36/K37</f>
        <v>6.2103025717183201E-2</v>
      </c>
    </row>
    <row r="53" spans="1:61">
      <c r="A53" s="533"/>
      <c r="B53" s="534" t="s">
        <v>372</v>
      </c>
      <c r="C53" s="545">
        <f t="shared" ref="C53:H53" si="129">C21/C25</f>
        <v>0.12459928905381699</v>
      </c>
      <c r="D53" s="545">
        <f t="shared" si="129"/>
        <v>0.131938804263148</v>
      </c>
      <c r="E53" s="545">
        <f t="shared" si="129"/>
        <v>0.13566699156387599</v>
      </c>
      <c r="F53" s="545">
        <f t="shared" si="129"/>
        <v>0.138985047071088</v>
      </c>
      <c r="G53" s="545">
        <f t="shared" si="129"/>
        <v>0.14126708516985001</v>
      </c>
      <c r="H53" s="545">
        <f t="shared" si="129"/>
        <v>0.14755761505874601</v>
      </c>
      <c r="I53" s="555">
        <f t="shared" ref="I53:J53" si="130">I21/I25</f>
        <v>0.14786950732356899</v>
      </c>
      <c r="J53" s="555">
        <f t="shared" si="130"/>
        <v>0.15235204180088199</v>
      </c>
      <c r="K53" s="555">
        <f t="shared" ref="K53" si="131">K21/K25</f>
        <v>0.149501193224052</v>
      </c>
    </row>
    <row r="54" spans="1:61">
      <c r="A54" s="533"/>
      <c r="B54" s="534" t="s">
        <v>373</v>
      </c>
      <c r="C54" s="545">
        <f t="shared" ref="C54:H54" si="132">C22/C25</f>
        <v>0.20806657542551099</v>
      </c>
      <c r="D54" s="545">
        <f t="shared" si="132"/>
        <v>0.22777676484725901</v>
      </c>
      <c r="E54" s="545">
        <f t="shared" si="132"/>
        <v>0.223506873256478</v>
      </c>
      <c r="F54" s="545">
        <f t="shared" si="132"/>
        <v>0.213582575341594</v>
      </c>
      <c r="G54" s="545">
        <f t="shared" si="132"/>
        <v>0.20939999703189199</v>
      </c>
      <c r="H54" s="545">
        <f t="shared" si="132"/>
        <v>0.20908679617773299</v>
      </c>
      <c r="I54" s="555">
        <f t="shared" ref="I54:J54" si="133">I22/I25</f>
        <v>0.19641958869655299</v>
      </c>
      <c r="J54" s="555">
        <f t="shared" si="133"/>
        <v>0.20549378775958599</v>
      </c>
      <c r="K54" s="555">
        <f t="shared" ref="K54" si="134">K22/K25</f>
        <v>0.20327060756621401</v>
      </c>
    </row>
    <row r="55" spans="1:61">
      <c r="A55" s="533"/>
      <c r="B55" s="534" t="s">
        <v>374</v>
      </c>
      <c r="C55" s="545">
        <f t="shared" ref="C55:H55" si="135">C23/C25</f>
        <v>0.214229946081988</v>
      </c>
      <c r="D55" s="545">
        <f t="shared" si="135"/>
        <v>0.21049709104771999</v>
      </c>
      <c r="E55" s="545">
        <f t="shared" si="135"/>
        <v>0.21991899976473001</v>
      </c>
      <c r="F55" s="545">
        <f t="shared" si="135"/>
        <v>0.21504683235052999</v>
      </c>
      <c r="G55" s="545">
        <f t="shared" si="135"/>
        <v>0.20389415728002599</v>
      </c>
      <c r="H55" s="545">
        <f t="shared" si="135"/>
        <v>0.19321780617211201</v>
      </c>
      <c r="I55" s="555">
        <f t="shared" ref="I55:J55" si="136">I23/I25</f>
        <v>0.19349755881047501</v>
      </c>
      <c r="J55" s="555">
        <f t="shared" si="136"/>
        <v>0.19020440274912001</v>
      </c>
      <c r="K55" s="555">
        <f t="shared" ref="K55" si="137">K23/K25</f>
        <v>0.183592191228825</v>
      </c>
    </row>
    <row r="56" spans="1:61">
      <c r="A56" s="533"/>
      <c r="B56" s="536" t="s">
        <v>375</v>
      </c>
      <c r="C56" s="546">
        <f t="shared" ref="C56:H56" si="138">C24/C25</f>
        <v>9.6767674912050294E-2</v>
      </c>
      <c r="D56" s="546">
        <f t="shared" si="138"/>
        <v>9.7918151530722197E-2</v>
      </c>
      <c r="E56" s="546">
        <f t="shared" si="138"/>
        <v>0.10293919940846299</v>
      </c>
      <c r="F56" s="546">
        <f t="shared" si="138"/>
        <v>0.102816307366645</v>
      </c>
      <c r="G56" s="546">
        <f t="shared" si="138"/>
        <v>0.102525859638188</v>
      </c>
      <c r="H56" s="546">
        <f t="shared" si="138"/>
        <v>0.102096214748907</v>
      </c>
      <c r="I56" s="557">
        <f t="shared" ref="I56:J56" si="139">I24/I25</f>
        <v>9.6619322384968204E-2</v>
      </c>
      <c r="J56" s="557">
        <f t="shared" si="139"/>
        <v>9.4556682055012095E-2</v>
      </c>
      <c r="K56" s="557">
        <f t="shared" ref="K56" si="140">K24/K25</f>
        <v>9.6373381323109394E-2</v>
      </c>
    </row>
    <row r="57" spans="1:61">
      <c r="A57" s="530" t="s">
        <v>156</v>
      </c>
      <c r="B57" s="530" t="s">
        <v>371</v>
      </c>
      <c r="C57" s="544">
        <f t="shared" ref="C57:H57" si="141">C26/C31</f>
        <v>0.26644153338033899</v>
      </c>
      <c r="D57" s="544">
        <f t="shared" si="141"/>
        <v>0.29683049133516398</v>
      </c>
      <c r="E57" s="544">
        <f t="shared" si="141"/>
        <v>0.32342910892098398</v>
      </c>
      <c r="F57" s="544">
        <f t="shared" si="141"/>
        <v>0.34879992226217099</v>
      </c>
      <c r="G57" s="544">
        <f t="shared" si="141"/>
        <v>0.34530600387833799</v>
      </c>
      <c r="H57" s="544">
        <f t="shared" si="141"/>
        <v>0.34005799300520401</v>
      </c>
      <c r="I57" s="554">
        <f t="shared" ref="I57:J57" si="142">I26/I31</f>
        <v>0.34803537809999902</v>
      </c>
      <c r="J57" s="554">
        <f t="shared" si="142"/>
        <v>0.37287154497679698</v>
      </c>
      <c r="K57" s="554">
        <f t="shared" ref="K57" si="143">K26/K31</f>
        <v>0.384434190262611</v>
      </c>
    </row>
    <row r="58" spans="1:61">
      <c r="A58" s="533"/>
      <c r="B58" s="534" t="s">
        <v>372</v>
      </c>
      <c r="C58" s="545">
        <f t="shared" ref="C58:H58" si="144">C27/C31</f>
        <v>0.139995794213332</v>
      </c>
      <c r="D58" s="545">
        <f t="shared" si="144"/>
        <v>0.15110991810694899</v>
      </c>
      <c r="E58" s="545">
        <f t="shared" si="144"/>
        <v>0.14651996830648201</v>
      </c>
      <c r="F58" s="545">
        <f t="shared" si="144"/>
        <v>0.15729543025238299</v>
      </c>
      <c r="G58" s="545">
        <f t="shared" si="144"/>
        <v>0.155465513728863</v>
      </c>
      <c r="H58" s="545">
        <f t="shared" si="144"/>
        <v>0.15322740557457001</v>
      </c>
      <c r="I58" s="555">
        <f t="shared" ref="I58:J58" si="145">I27/I31</f>
        <v>0.15406082818624001</v>
      </c>
      <c r="J58" s="555">
        <f t="shared" si="145"/>
        <v>0.147932714811191</v>
      </c>
      <c r="K58" s="555">
        <f t="shared" ref="K58" si="146">K27/K31</f>
        <v>0.16920165738717399</v>
      </c>
    </row>
    <row r="59" spans="1:61">
      <c r="A59" s="533"/>
      <c r="B59" s="534" t="s">
        <v>373</v>
      </c>
      <c r="C59" s="545">
        <f t="shared" ref="C59:H59" si="147">C28/C31</f>
        <v>0.26630546381168002</v>
      </c>
      <c r="D59" s="545">
        <f t="shared" si="147"/>
        <v>0.21976216536426099</v>
      </c>
      <c r="E59" s="545">
        <f t="shared" si="147"/>
        <v>0.22102290366375199</v>
      </c>
      <c r="F59" s="545">
        <f t="shared" si="147"/>
        <v>0.207237568572716</v>
      </c>
      <c r="G59" s="545">
        <f t="shared" si="147"/>
        <v>0.21324444846866</v>
      </c>
      <c r="H59" s="545">
        <f t="shared" si="147"/>
        <v>0.225770390231426</v>
      </c>
      <c r="I59" s="555">
        <f t="shared" ref="I59:J59" si="148">I28/I31</f>
        <v>0.223416634621286</v>
      </c>
      <c r="J59" s="555">
        <f t="shared" si="148"/>
        <v>0.210551294150611</v>
      </c>
      <c r="K59" s="555">
        <f t="shared" ref="K59" si="149">K28/K31</f>
        <v>0.16848475799141799</v>
      </c>
    </row>
    <row r="60" spans="1:61">
      <c r="A60" s="533"/>
      <c r="B60" s="534" t="s">
        <v>374</v>
      </c>
      <c r="C60" s="545">
        <f t="shared" ref="C60:H60" si="150">C29/C31</f>
        <v>0.25265892307121401</v>
      </c>
      <c r="D60" s="545">
        <f t="shared" si="150"/>
        <v>0.25792724268712902</v>
      </c>
      <c r="E60" s="545">
        <f t="shared" si="150"/>
        <v>0.237191694815515</v>
      </c>
      <c r="F60" s="545">
        <f t="shared" si="150"/>
        <v>0.22249140908649201</v>
      </c>
      <c r="G60" s="545">
        <f t="shared" si="150"/>
        <v>0.21892047898227601</v>
      </c>
      <c r="H60" s="545">
        <f t="shared" si="150"/>
        <v>0.21282973104235101</v>
      </c>
      <c r="I60" s="555">
        <f t="shared" ref="I60:J60" si="151">I29/I31</f>
        <v>0.21145942804319401</v>
      </c>
      <c r="J60" s="555">
        <f t="shared" si="151"/>
        <v>0.20639837010763501</v>
      </c>
      <c r="K60" s="555">
        <f t="shared" ref="K60" si="152">K29/K31</f>
        <v>0.21485159033937401</v>
      </c>
    </row>
    <row r="61" spans="1:61">
      <c r="A61" s="533"/>
      <c r="B61" s="536" t="s">
        <v>375</v>
      </c>
      <c r="C61" s="546">
        <f t="shared" ref="C61:H61" si="153">C30/C31</f>
        <v>7.4598285523434907E-2</v>
      </c>
      <c r="D61" s="546">
        <f t="shared" si="153"/>
        <v>7.4370182506496602E-2</v>
      </c>
      <c r="E61" s="546">
        <f t="shared" si="153"/>
        <v>7.1836324293267001E-2</v>
      </c>
      <c r="F61" s="546">
        <f t="shared" si="153"/>
        <v>6.4175669826238305E-2</v>
      </c>
      <c r="G61" s="546">
        <f t="shared" si="153"/>
        <v>6.7063554941862696E-2</v>
      </c>
      <c r="H61" s="546">
        <f t="shared" si="153"/>
        <v>6.8114480146448206E-2</v>
      </c>
      <c r="I61" s="557">
        <f t="shared" ref="I61:J61" si="154">I30/I31</f>
        <v>6.3027731049280597E-2</v>
      </c>
      <c r="J61" s="557">
        <f t="shared" si="154"/>
        <v>6.2246075953766099E-2</v>
      </c>
      <c r="K61" s="557">
        <f t="shared" ref="K61" si="155">K30/K31</f>
        <v>6.3027804019422304E-2</v>
      </c>
    </row>
    <row r="62" spans="1:61">
      <c r="A62" s="533" t="s">
        <v>170</v>
      </c>
      <c r="B62" s="533" t="s">
        <v>371</v>
      </c>
      <c r="C62" s="544">
        <f t="shared" ref="C62:H62" si="156">C32/C37</f>
        <v>0.49416760985847202</v>
      </c>
      <c r="D62" s="544">
        <f t="shared" si="156"/>
        <v>0.48428306171352598</v>
      </c>
      <c r="E62" s="544">
        <f t="shared" si="156"/>
        <v>0.47636624761582902</v>
      </c>
      <c r="F62" s="544">
        <f t="shared" si="156"/>
        <v>0.47656236774539401</v>
      </c>
      <c r="G62" s="544">
        <f t="shared" si="156"/>
        <v>0.48085227272727299</v>
      </c>
      <c r="H62" s="544">
        <f t="shared" si="156"/>
        <v>0.47925099877593103</v>
      </c>
      <c r="I62" s="554">
        <f t="shared" ref="I62:J62" si="157">I32/I37</f>
        <v>0.480215905754871</v>
      </c>
      <c r="J62" s="554">
        <f t="shared" si="157"/>
        <v>0.47913326963428099</v>
      </c>
      <c r="K62" s="554">
        <f t="shared" ref="K62" si="158">K32/K37</f>
        <v>0.47625611061748202</v>
      </c>
    </row>
    <row r="63" spans="1:61">
      <c r="A63" s="533"/>
      <c r="B63" s="534" t="s">
        <v>372</v>
      </c>
      <c r="C63" s="545">
        <f t="shared" ref="C63:H63" si="159">C33/C37</f>
        <v>0.16324422783114301</v>
      </c>
      <c r="D63" s="545">
        <f t="shared" si="159"/>
        <v>0.16676076128821801</v>
      </c>
      <c r="E63" s="545">
        <f t="shared" si="159"/>
        <v>0.16762791664906601</v>
      </c>
      <c r="F63" s="545">
        <f t="shared" si="159"/>
        <v>0.17443218689162901</v>
      </c>
      <c r="G63" s="545">
        <f t="shared" si="159"/>
        <v>0.172119318181818</v>
      </c>
      <c r="H63" s="545">
        <f t="shared" si="159"/>
        <v>0.17273760006105701</v>
      </c>
      <c r="I63" s="555">
        <f t="shared" ref="I63:J63" si="160">I33/I37</f>
        <v>0.17342510587462501</v>
      </c>
      <c r="J63" s="555">
        <f t="shared" si="160"/>
        <v>0.178294918148834</v>
      </c>
      <c r="K63" s="555">
        <f t="shared" ref="K63" si="161">K33/K37</f>
        <v>0.17711293143235701</v>
      </c>
    </row>
    <row r="64" spans="1:61">
      <c r="A64" s="533"/>
      <c r="B64" s="534" t="s">
        <v>373</v>
      </c>
      <c r="C64" s="545">
        <f t="shared" ref="C64:H64" si="162">C34/C37</f>
        <v>0.13757181181921099</v>
      </c>
      <c r="D64" s="545">
        <f t="shared" si="162"/>
        <v>0.13679162432408701</v>
      </c>
      <c r="E64" s="545">
        <f t="shared" si="162"/>
        <v>0.13534616371901401</v>
      </c>
      <c r="F64" s="545">
        <f t="shared" si="162"/>
        <v>0.12720142200152401</v>
      </c>
      <c r="G64" s="545">
        <f t="shared" si="162"/>
        <v>0.12742613636363601</v>
      </c>
      <c r="H64" s="545">
        <f t="shared" si="162"/>
        <v>0.12942550936838601</v>
      </c>
      <c r="I64" s="555">
        <f t="shared" ref="I64:J64" si="163">I34/I37</f>
        <v>0.124462633596772</v>
      </c>
      <c r="J64" s="555">
        <f t="shared" si="163"/>
        <v>0.11894687054596</v>
      </c>
      <c r="K64" s="555">
        <f t="shared" ref="K64" si="164">K34/K37</f>
        <v>0.118956493345432</v>
      </c>
    </row>
    <row r="65" spans="1:11">
      <c r="A65" s="533"/>
      <c r="B65" s="534" t="s">
        <v>374</v>
      </c>
      <c r="C65" s="545">
        <f t="shared" ref="C65:H65" si="165">C35/C37</f>
        <v>0.14782757903837301</v>
      </c>
      <c r="D65" s="545">
        <f t="shared" si="165"/>
        <v>0.15426185905880299</v>
      </c>
      <c r="E65" s="545">
        <f t="shared" si="165"/>
        <v>0.161051342121595</v>
      </c>
      <c r="F65" s="545">
        <f t="shared" si="165"/>
        <v>0.161772423327596</v>
      </c>
      <c r="G65" s="545">
        <f t="shared" si="165"/>
        <v>0.16038352272727299</v>
      </c>
      <c r="H65" s="545">
        <f t="shared" si="165"/>
        <v>0.160074207363789</v>
      </c>
      <c r="I65" s="555">
        <f t="shared" ref="I65:J65" si="166">I35/I37</f>
        <v>0.163955249259532</v>
      </c>
      <c r="J65" s="555">
        <f t="shared" si="166"/>
        <v>0.16367693787437701</v>
      </c>
      <c r="K65" s="555">
        <f t="shared" ref="K65" si="167">K35/K37</f>
        <v>0.165571438887546</v>
      </c>
    </row>
    <row r="66" spans="1:11">
      <c r="A66" s="538"/>
      <c r="B66" s="568" t="s">
        <v>375</v>
      </c>
      <c r="C66" s="569">
        <f t="shared" ref="C66:H66" si="168">C36/C37</f>
        <v>5.71887714528014E-2</v>
      </c>
      <c r="D66" s="569">
        <f t="shared" si="168"/>
        <v>5.7902693615366298E-2</v>
      </c>
      <c r="E66" s="569">
        <f t="shared" si="168"/>
        <v>5.9608329894495403E-2</v>
      </c>
      <c r="F66" s="569">
        <f t="shared" si="168"/>
        <v>6.0031600033857199E-2</v>
      </c>
      <c r="G66" s="569">
        <f t="shared" si="168"/>
        <v>5.9218750000000001E-2</v>
      </c>
      <c r="H66" s="569">
        <f t="shared" si="168"/>
        <v>5.8511684430837201E-2</v>
      </c>
      <c r="I66" s="570">
        <f t="shared" ref="I66:J66" si="169">I36/I37</f>
        <v>5.7941105514200397E-2</v>
      </c>
      <c r="J66" s="570">
        <f t="shared" si="169"/>
        <v>5.9948003796548202E-2</v>
      </c>
      <c r="K66" s="570">
        <f t="shared" ref="K66" si="170">K36/K37</f>
        <v>6.2103025717183201E-2</v>
      </c>
    </row>
  </sheetData>
  <phoneticPr fontId="93" type="noConversion"/>
  <hyperlinks>
    <hyperlink ref="J1" location="Content!A1" display="content" xr:uid="{00000000-0004-0000-1100-000000000000}"/>
  </hyperlinks>
  <pageMargins left="0.7" right="0.7" top="0.75" bottom="0.75" header="0.3" footer="0.3"/>
  <pageSetup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DH180"/>
  <sheetViews>
    <sheetView zoomScale="85" zoomScaleNormal="85" workbookViewId="0">
      <pane xSplit="1" ySplit="5" topLeftCell="E30" activePane="bottomRight" state="frozenSplit"/>
      <selection pane="topRight"/>
      <selection pane="bottomLeft"/>
      <selection pane="bottomRight" activeCell="J38" sqref="J38"/>
    </sheetView>
  </sheetViews>
  <sheetFormatPr defaultColWidth="8.6640625" defaultRowHeight="14.4"/>
  <cols>
    <col min="1" max="1" width="23.77734375" style="475" customWidth="1"/>
    <col min="2" max="2" width="9.109375" style="475" customWidth="1"/>
    <col min="3" max="3" width="39.77734375" style="475" customWidth="1"/>
    <col min="4" max="4" width="9.109375" style="475" customWidth="1"/>
    <col min="5" max="5" width="39.77734375" style="475" customWidth="1"/>
    <col min="6" max="6" width="9.109375" style="475" customWidth="1"/>
    <col min="7" max="7" width="39.77734375" style="475" customWidth="1"/>
    <col min="8" max="8" width="9.109375" style="475" customWidth="1"/>
    <col min="9" max="9" width="35.77734375" style="475" customWidth="1"/>
    <col min="10" max="10" width="9.109375" style="475" customWidth="1"/>
    <col min="11" max="11" width="35.77734375" style="475" customWidth="1"/>
    <col min="12" max="12" width="9.109375" style="475" customWidth="1"/>
    <col min="13" max="13" width="35.77734375" style="475" customWidth="1"/>
    <col min="14" max="14" width="8.6640625" style="475"/>
    <col min="15" max="15" width="35.77734375" style="475" customWidth="1"/>
    <col min="16" max="16" width="8.6640625" style="475"/>
    <col min="17" max="17" width="37.77734375" style="475" customWidth="1"/>
    <col min="18" max="18" width="8.6640625" style="475"/>
    <col min="19" max="19" width="29.6640625" style="475" customWidth="1"/>
    <col min="20" max="20" width="8.6640625" style="475"/>
    <col min="21" max="21" width="10.5546875" style="473" customWidth="1"/>
    <col min="22" max="22" width="15.21875" style="473" customWidth="1"/>
    <col min="23" max="35" width="7.77734375" style="473" customWidth="1"/>
    <col min="36" max="36" width="15.109375" style="473" customWidth="1"/>
    <col min="37" max="49" width="7.77734375" style="473" customWidth="1"/>
    <col min="50" max="50" width="15.109375" style="473" customWidth="1"/>
    <col min="51" max="63" width="7.77734375" style="473" customWidth="1"/>
    <col min="64" max="64" width="15" style="473" customWidth="1"/>
    <col min="65" max="77" width="7.77734375" style="473" customWidth="1"/>
    <col min="78" max="78" width="15" style="473" customWidth="1"/>
    <col min="79" max="95" width="7.77734375" style="473" customWidth="1"/>
    <col min="96" max="106" width="8.6640625" style="473"/>
    <col min="107" max="16384" width="8.6640625" style="475"/>
  </cols>
  <sheetData>
    <row r="1" spans="1:14" ht="21">
      <c r="A1" s="476" t="s">
        <v>47</v>
      </c>
      <c r="N1" s="159" t="s">
        <v>48</v>
      </c>
    </row>
    <row r="2" spans="1:14" ht="18">
      <c r="A2" s="477" t="s">
        <v>366</v>
      </c>
    </row>
    <row r="3" spans="1:14" ht="18">
      <c r="A3" s="477" t="s">
        <v>432</v>
      </c>
    </row>
    <row r="4" spans="1:14" ht="18">
      <c r="A4" s="477" t="s">
        <v>433</v>
      </c>
    </row>
    <row r="45" spans="1:21" ht="15.6">
      <c r="A45" s="478" t="s">
        <v>94</v>
      </c>
      <c r="B45" s="479" t="s">
        <v>74</v>
      </c>
      <c r="C45" s="1397">
        <v>2016</v>
      </c>
      <c r="D45" s="1396"/>
      <c r="E45" s="1397">
        <f>C45+1</f>
        <v>2017</v>
      </c>
      <c r="F45" s="1396"/>
      <c r="G45" s="1397">
        <f>E45+1</f>
        <v>2018</v>
      </c>
      <c r="H45" s="1396"/>
      <c r="I45" s="1397">
        <f>G45+1</f>
        <v>2019</v>
      </c>
      <c r="J45" s="1396"/>
      <c r="K45" s="1397">
        <f>I45+1</f>
        <v>2020</v>
      </c>
      <c r="L45" s="1396"/>
      <c r="M45" s="1396">
        <f>K45+1</f>
        <v>2021</v>
      </c>
      <c r="N45" s="1412"/>
      <c r="O45" s="1399">
        <f>M45+1</f>
        <v>2022</v>
      </c>
      <c r="P45" s="1398"/>
      <c r="Q45" s="1396">
        <f>O45+1</f>
        <v>2023</v>
      </c>
      <c r="R45" s="1412"/>
      <c r="S45" s="1397">
        <v>2024</v>
      </c>
      <c r="T45" s="1396"/>
    </row>
    <row r="46" spans="1:21">
      <c r="A46" s="480" t="s">
        <v>186</v>
      </c>
      <c r="B46" s="481">
        <v>1</v>
      </c>
      <c r="C46" s="482" t="s">
        <v>378</v>
      </c>
      <c r="D46" s="483">
        <v>8.0493186488508395E-2</v>
      </c>
      <c r="E46" s="482" t="s">
        <v>378</v>
      </c>
      <c r="F46" s="483">
        <v>8.0493186488508395E-2</v>
      </c>
      <c r="G46" s="482" t="s">
        <v>379</v>
      </c>
      <c r="H46" s="483">
        <v>8.5366044834613602E-2</v>
      </c>
      <c r="I46" s="487" t="s">
        <v>379</v>
      </c>
      <c r="J46" s="483">
        <v>8.6790452469301699E-2</v>
      </c>
      <c r="K46" s="487" t="s">
        <v>379</v>
      </c>
      <c r="L46" s="483">
        <v>8.8279764667135704E-2</v>
      </c>
      <c r="M46" s="487" t="s">
        <v>379</v>
      </c>
      <c r="N46" s="483">
        <v>8.8238539195674995E-2</v>
      </c>
      <c r="O46" s="488" t="s">
        <v>379</v>
      </c>
      <c r="P46" s="489">
        <v>8.5999999999999993E-2</v>
      </c>
      <c r="Q46" s="488" t="s">
        <v>378</v>
      </c>
      <c r="R46" s="489">
        <v>8.6905797863693304E-2</v>
      </c>
      <c r="S46" s="496" t="s">
        <v>378</v>
      </c>
      <c r="T46" s="494">
        <v>0.100537943757934</v>
      </c>
      <c r="U46" s="497">
        <v>1</v>
      </c>
    </row>
    <row r="47" spans="1:21">
      <c r="A47" s="484"/>
      <c r="B47" s="485">
        <v>2</v>
      </c>
      <c r="C47" s="484" t="s">
        <v>381</v>
      </c>
      <c r="D47" s="486">
        <v>7.3637060957016595E-2</v>
      </c>
      <c r="E47" s="484" t="s">
        <v>381</v>
      </c>
      <c r="F47" s="486">
        <v>7.3637060957016595E-2</v>
      </c>
      <c r="G47" s="484" t="s">
        <v>378</v>
      </c>
      <c r="H47" s="486">
        <v>7.3240319799341605E-2</v>
      </c>
      <c r="I47" s="490" t="s">
        <v>378</v>
      </c>
      <c r="J47" s="486">
        <v>7.6065092839352005E-2</v>
      </c>
      <c r="K47" s="490" t="s">
        <v>378</v>
      </c>
      <c r="L47" s="486">
        <v>7.8436802946151907E-2</v>
      </c>
      <c r="M47" s="490" t="s">
        <v>378</v>
      </c>
      <c r="N47" s="486">
        <v>7.8005185634688598E-2</v>
      </c>
      <c r="O47" s="491" t="s">
        <v>378</v>
      </c>
      <c r="P47" s="489">
        <v>0.08</v>
      </c>
      <c r="Q47" s="491" t="s">
        <v>379</v>
      </c>
      <c r="R47" s="489">
        <v>8.4572499593585301E-2</v>
      </c>
      <c r="S47" s="498" t="s">
        <v>379</v>
      </c>
      <c r="T47" s="489">
        <v>7.7129627092637806E-2</v>
      </c>
      <c r="U47" s="497">
        <f t="shared" ref="U47:U95" si="0">U46+1</f>
        <v>2</v>
      </c>
    </row>
    <row r="48" spans="1:21">
      <c r="A48" s="484"/>
      <c r="B48" s="485">
        <v>3</v>
      </c>
      <c r="C48" s="484" t="s">
        <v>379</v>
      </c>
      <c r="D48" s="486">
        <v>6.9025274860557401E-2</v>
      </c>
      <c r="E48" s="484" t="s">
        <v>379</v>
      </c>
      <c r="F48" s="486">
        <v>6.9025274860557401E-2</v>
      </c>
      <c r="G48" s="484" t="s">
        <v>381</v>
      </c>
      <c r="H48" s="486">
        <v>6.9360401316820794E-2</v>
      </c>
      <c r="I48" s="490" t="s">
        <v>381</v>
      </c>
      <c r="J48" s="486">
        <v>6.5535795978534803E-2</v>
      </c>
      <c r="K48" s="490" t="s">
        <v>381</v>
      </c>
      <c r="L48" s="486">
        <v>6.8563900657195503E-2</v>
      </c>
      <c r="M48" s="490" t="s">
        <v>382</v>
      </c>
      <c r="N48" s="486">
        <v>6.6907559625604504E-2</v>
      </c>
      <c r="O48" s="491" t="s">
        <v>382</v>
      </c>
      <c r="P48" s="489">
        <v>7.0000000000000007E-2</v>
      </c>
      <c r="Q48" s="491" t="s">
        <v>380</v>
      </c>
      <c r="R48" s="489">
        <v>6.5274975376053104E-2</v>
      </c>
      <c r="S48" s="498" t="s">
        <v>380</v>
      </c>
      <c r="T48" s="489">
        <v>7.0709008046323393E-2</v>
      </c>
      <c r="U48" s="497">
        <f t="shared" si="0"/>
        <v>3</v>
      </c>
    </row>
    <row r="49" spans="1:21">
      <c r="A49" s="484"/>
      <c r="B49" s="485">
        <v>4</v>
      </c>
      <c r="C49" s="484" t="s">
        <v>382</v>
      </c>
      <c r="D49" s="486">
        <v>5.8939952082879603E-2</v>
      </c>
      <c r="E49" s="484" t="s">
        <v>382</v>
      </c>
      <c r="F49" s="486">
        <v>5.8939952082879603E-2</v>
      </c>
      <c r="G49" s="484" t="s">
        <v>382</v>
      </c>
      <c r="H49" s="486">
        <v>6.2541150650572197E-2</v>
      </c>
      <c r="I49" s="490" t="s">
        <v>382</v>
      </c>
      <c r="J49" s="486">
        <v>6.5274378953024806E-2</v>
      </c>
      <c r="K49" s="490" t="s">
        <v>382</v>
      </c>
      <c r="L49" s="486">
        <v>6.4821329660623705E-2</v>
      </c>
      <c r="M49" s="490" t="s">
        <v>381</v>
      </c>
      <c r="N49" s="486">
        <v>6.6355896360861297E-2</v>
      </c>
      <c r="O49" s="491" t="s">
        <v>381</v>
      </c>
      <c r="P49" s="489">
        <v>6.9000000000000006E-2</v>
      </c>
      <c r="Q49" s="491" t="s">
        <v>382</v>
      </c>
      <c r="R49" s="489">
        <v>6.5246287282568205E-2</v>
      </c>
      <c r="S49" s="498" t="s">
        <v>384</v>
      </c>
      <c r="T49" s="489">
        <v>6.3667333388132394E-2</v>
      </c>
      <c r="U49" s="497">
        <f t="shared" si="0"/>
        <v>4</v>
      </c>
    </row>
    <row r="50" spans="1:21">
      <c r="A50" s="484"/>
      <c r="B50" s="485">
        <v>5</v>
      </c>
      <c r="C50" s="484" t="s">
        <v>384</v>
      </c>
      <c r="D50" s="486">
        <v>4.5218231233250299E-2</v>
      </c>
      <c r="E50" s="484" t="s">
        <v>384</v>
      </c>
      <c r="F50" s="486">
        <v>4.5218231233250299E-2</v>
      </c>
      <c r="G50" s="484" t="s">
        <v>380</v>
      </c>
      <c r="H50" s="486">
        <v>5.6960338611067599E-2</v>
      </c>
      <c r="I50" s="490" t="s">
        <v>380</v>
      </c>
      <c r="J50" s="486">
        <v>6.1520140003340301E-2</v>
      </c>
      <c r="K50" s="490" t="s">
        <v>380</v>
      </c>
      <c r="L50" s="486">
        <v>5.9185017739786502E-2</v>
      </c>
      <c r="M50" s="490" t="s">
        <v>380</v>
      </c>
      <c r="N50" s="486">
        <v>6.0122101469263202E-2</v>
      </c>
      <c r="O50" s="491" t="s">
        <v>380</v>
      </c>
      <c r="P50" s="489">
        <v>6.3E-2</v>
      </c>
      <c r="Q50" s="491" t="s">
        <v>384</v>
      </c>
      <c r="R50" s="489">
        <v>6.34485000908456E-2</v>
      </c>
      <c r="S50" s="498" t="s">
        <v>382</v>
      </c>
      <c r="T50" s="489">
        <v>6.1091779232996302E-2</v>
      </c>
      <c r="U50" s="497">
        <f t="shared" si="0"/>
        <v>5</v>
      </c>
    </row>
    <row r="51" spans="1:21">
      <c r="A51" s="484"/>
      <c r="B51" s="485">
        <v>6</v>
      </c>
      <c r="C51" s="484" t="s">
        <v>380</v>
      </c>
      <c r="D51" s="486">
        <v>4.3409501983920303E-2</v>
      </c>
      <c r="E51" s="484" t="s">
        <v>380</v>
      </c>
      <c r="F51" s="486">
        <v>4.3409501983920303E-2</v>
      </c>
      <c r="G51" s="484" t="s">
        <v>384</v>
      </c>
      <c r="H51" s="486">
        <v>4.65746982285625E-2</v>
      </c>
      <c r="I51" s="490" t="s">
        <v>384</v>
      </c>
      <c r="J51" s="486">
        <v>5.0308254242580501E-2</v>
      </c>
      <c r="K51" s="490" t="s">
        <v>384</v>
      </c>
      <c r="L51" s="486">
        <v>5.2560667075854398E-2</v>
      </c>
      <c r="M51" s="490" t="s">
        <v>384</v>
      </c>
      <c r="N51" s="486">
        <v>5.6094959636637798E-2</v>
      </c>
      <c r="O51" s="491" t="s">
        <v>384</v>
      </c>
      <c r="P51" s="489">
        <v>6.3E-2</v>
      </c>
      <c r="Q51" s="491" t="s">
        <v>381</v>
      </c>
      <c r="R51" s="489">
        <v>5.9126160672448899E-2</v>
      </c>
      <c r="S51" s="498" t="s">
        <v>381</v>
      </c>
      <c r="T51" s="489">
        <v>5.4981687992620397E-2</v>
      </c>
      <c r="U51" s="497">
        <f t="shared" si="0"/>
        <v>6</v>
      </c>
    </row>
    <row r="52" spans="1:21">
      <c r="A52" s="484"/>
      <c r="B52" s="485">
        <v>7</v>
      </c>
      <c r="C52" s="484" t="s">
        <v>386</v>
      </c>
      <c r="D52" s="486">
        <v>4.2358355666246801E-2</v>
      </c>
      <c r="E52" s="484" t="s">
        <v>386</v>
      </c>
      <c r="F52" s="486">
        <v>4.2358355666246801E-2</v>
      </c>
      <c r="G52" s="484" t="s">
        <v>386</v>
      </c>
      <c r="H52" s="486">
        <v>4.1957987145320598E-2</v>
      </c>
      <c r="I52" s="490" t="s">
        <v>386</v>
      </c>
      <c r="J52" s="486">
        <v>4.4455417504774497E-2</v>
      </c>
      <c r="K52" s="490" t="s">
        <v>386</v>
      </c>
      <c r="L52" s="486">
        <v>4.3630892678034099E-2</v>
      </c>
      <c r="M52" s="490" t="s">
        <v>386</v>
      </c>
      <c r="N52" s="486">
        <v>4.1393133631231503E-2</v>
      </c>
      <c r="O52" s="491" t="s">
        <v>388</v>
      </c>
      <c r="P52" s="489">
        <v>3.7999999999999999E-2</v>
      </c>
      <c r="Q52" s="491" t="s">
        <v>388</v>
      </c>
      <c r="R52" s="489">
        <v>4.1253478431334999E-2</v>
      </c>
      <c r="S52" s="498" t="s">
        <v>388</v>
      </c>
      <c r="T52" s="489">
        <v>4.134586404362E-2</v>
      </c>
      <c r="U52" s="497">
        <f t="shared" si="0"/>
        <v>7</v>
      </c>
    </row>
    <row r="53" spans="1:21">
      <c r="A53" s="484"/>
      <c r="B53" s="485">
        <v>8</v>
      </c>
      <c r="C53" s="484" t="s">
        <v>385</v>
      </c>
      <c r="D53" s="486">
        <v>4.2216308866561199E-2</v>
      </c>
      <c r="E53" s="484" t="s">
        <v>385</v>
      </c>
      <c r="F53" s="486">
        <v>4.2216308866561199E-2</v>
      </c>
      <c r="G53" s="484" t="s">
        <v>388</v>
      </c>
      <c r="H53" s="486">
        <v>3.6714218529550098E-2</v>
      </c>
      <c r="I53" s="490" t="s">
        <v>388</v>
      </c>
      <c r="J53" s="486">
        <v>3.24157111632331E-2</v>
      </c>
      <c r="K53" s="490" t="s">
        <v>388</v>
      </c>
      <c r="L53" s="486">
        <v>3.5793949011212703E-2</v>
      </c>
      <c r="M53" s="490" t="s">
        <v>388</v>
      </c>
      <c r="N53" s="486">
        <v>3.8432540777109697E-2</v>
      </c>
      <c r="O53" s="491" t="s">
        <v>386</v>
      </c>
      <c r="P53" s="489">
        <v>3.4000000000000002E-2</v>
      </c>
      <c r="Q53" s="491" t="s">
        <v>396</v>
      </c>
      <c r="R53" s="489">
        <v>3.63860652367246E-2</v>
      </c>
      <c r="S53" s="498" t="s">
        <v>386</v>
      </c>
      <c r="T53" s="489">
        <v>3.3400005479902503E-2</v>
      </c>
      <c r="U53" s="497">
        <f t="shared" si="0"/>
        <v>8</v>
      </c>
    </row>
    <row r="54" spans="1:21">
      <c r="A54" s="484"/>
      <c r="B54" s="485">
        <v>9</v>
      </c>
      <c r="C54" s="484" t="s">
        <v>396</v>
      </c>
      <c r="D54" s="486">
        <v>3.8731427380941097E-2</v>
      </c>
      <c r="E54" s="484" t="s">
        <v>396</v>
      </c>
      <c r="F54" s="486">
        <v>3.8731427380941097E-2</v>
      </c>
      <c r="G54" s="484" t="s">
        <v>385</v>
      </c>
      <c r="H54" s="486">
        <v>3.4221664837748897E-2</v>
      </c>
      <c r="I54" s="490" t="s">
        <v>405</v>
      </c>
      <c r="J54" s="486">
        <v>3.1348258309067498E-2</v>
      </c>
      <c r="K54" s="490" t="s">
        <v>396</v>
      </c>
      <c r="L54" s="486">
        <v>3.0793874159792799E-2</v>
      </c>
      <c r="M54" s="490" t="s">
        <v>385</v>
      </c>
      <c r="N54" s="486">
        <v>3.0396645887350401E-2</v>
      </c>
      <c r="O54" s="491" t="s">
        <v>396</v>
      </c>
      <c r="P54" s="489">
        <v>3.3000000000000002E-2</v>
      </c>
      <c r="Q54" s="491" t="s">
        <v>386</v>
      </c>
      <c r="R54" s="489">
        <v>3.1977661537873098E-2</v>
      </c>
      <c r="S54" s="498" t="s">
        <v>396</v>
      </c>
      <c r="T54" s="489">
        <v>3.1591637668849502E-2</v>
      </c>
      <c r="U54" s="497">
        <f t="shared" si="0"/>
        <v>9</v>
      </c>
    </row>
    <row r="55" spans="1:21">
      <c r="A55" s="484"/>
      <c r="B55" s="485">
        <v>10</v>
      </c>
      <c r="C55" s="484" t="s">
        <v>388</v>
      </c>
      <c r="D55" s="486">
        <v>3.6487087945908603E-2</v>
      </c>
      <c r="E55" s="484" t="s">
        <v>388</v>
      </c>
      <c r="F55" s="486">
        <v>3.6487087945908603E-2</v>
      </c>
      <c r="G55" s="484" t="s">
        <v>405</v>
      </c>
      <c r="H55" s="486">
        <v>3.3202696347389898E-2</v>
      </c>
      <c r="I55" s="490" t="s">
        <v>396</v>
      </c>
      <c r="J55" s="486">
        <v>3.0396990799573E-2</v>
      </c>
      <c r="K55" s="490" t="s">
        <v>416</v>
      </c>
      <c r="L55" s="486">
        <v>3.0082785670444201E-2</v>
      </c>
      <c r="M55" s="490" t="s">
        <v>416</v>
      </c>
      <c r="N55" s="486">
        <v>2.8778433644103599E-2</v>
      </c>
      <c r="O55" s="491" t="s">
        <v>416</v>
      </c>
      <c r="P55" s="489">
        <v>2.9000000000000001E-2</v>
      </c>
      <c r="Q55" s="491" t="s">
        <v>395</v>
      </c>
      <c r="R55" s="489">
        <v>2.9520048195997101E-2</v>
      </c>
      <c r="S55" s="499" t="s">
        <v>400</v>
      </c>
      <c r="T55" s="500">
        <v>2.9710204491693398E-2</v>
      </c>
      <c r="U55" s="497">
        <f t="shared" si="0"/>
        <v>10</v>
      </c>
    </row>
    <row r="56" spans="1:21">
      <c r="A56" s="480" t="s">
        <v>129</v>
      </c>
      <c r="B56" s="481">
        <v>1</v>
      </c>
      <c r="C56" s="482" t="s">
        <v>381</v>
      </c>
      <c r="D56" s="483">
        <v>0.100946625575956</v>
      </c>
      <c r="E56" s="482" t="s">
        <v>381</v>
      </c>
      <c r="F56" s="483">
        <v>0.100946625575956</v>
      </c>
      <c r="G56" s="482" t="s">
        <v>381</v>
      </c>
      <c r="H56" s="483">
        <v>9.5230496818958593E-2</v>
      </c>
      <c r="I56" s="487" t="s">
        <v>381</v>
      </c>
      <c r="J56" s="492">
        <v>9.3386231609873402E-2</v>
      </c>
      <c r="K56" s="487" t="s">
        <v>381</v>
      </c>
      <c r="L56" s="492">
        <v>9.1988577420326401E-2</v>
      </c>
      <c r="M56" s="487" t="s">
        <v>381</v>
      </c>
      <c r="N56" s="492">
        <v>9.0062010621083599E-2</v>
      </c>
      <c r="O56" s="493" t="s">
        <v>381</v>
      </c>
      <c r="P56" s="494">
        <v>9.8000000000000004E-2</v>
      </c>
      <c r="Q56" s="493" t="s">
        <v>381</v>
      </c>
      <c r="R56" s="494">
        <v>8.9039394749914E-2</v>
      </c>
      <c r="S56" s="498" t="s">
        <v>381</v>
      </c>
      <c r="T56" s="489">
        <v>8.8883229974934294E-2</v>
      </c>
      <c r="U56" s="497">
        <f t="shared" si="0"/>
        <v>11</v>
      </c>
    </row>
    <row r="57" spans="1:21">
      <c r="A57" s="484"/>
      <c r="B57" s="485">
        <v>2</v>
      </c>
      <c r="C57" s="484" t="s">
        <v>380</v>
      </c>
      <c r="D57" s="486">
        <v>6.4160735617414699E-2</v>
      </c>
      <c r="E57" s="484" t="s">
        <v>380</v>
      </c>
      <c r="F57" s="486">
        <v>6.4160735617414699E-2</v>
      </c>
      <c r="G57" s="484" t="s">
        <v>380</v>
      </c>
      <c r="H57" s="486">
        <v>6.1675142580658399E-2</v>
      </c>
      <c r="I57" s="490" t="s">
        <v>380</v>
      </c>
      <c r="J57" s="495">
        <v>6.03118253244007E-2</v>
      </c>
      <c r="K57" s="490" t="s">
        <v>390</v>
      </c>
      <c r="L57" s="495">
        <v>6.4965921893649498E-2</v>
      </c>
      <c r="M57" s="475" t="s">
        <v>390</v>
      </c>
      <c r="N57" s="495">
        <v>6.2689371314386205E-2</v>
      </c>
      <c r="O57" s="491" t="s">
        <v>393</v>
      </c>
      <c r="P57" s="489">
        <v>6.4000000000000001E-2</v>
      </c>
      <c r="Q57" s="491" t="s">
        <v>390</v>
      </c>
      <c r="R57" s="489">
        <v>6.6738947690191397E-2</v>
      </c>
      <c r="S57" s="498" t="s">
        <v>380</v>
      </c>
      <c r="T57" s="489">
        <v>6.6428992280575597E-2</v>
      </c>
      <c r="U57" s="497">
        <f t="shared" si="0"/>
        <v>12</v>
      </c>
    </row>
    <row r="58" spans="1:21">
      <c r="A58" s="484"/>
      <c r="B58" s="485">
        <v>3</v>
      </c>
      <c r="C58" s="484" t="s">
        <v>390</v>
      </c>
      <c r="D58" s="486">
        <v>5.9206761898069601E-2</v>
      </c>
      <c r="E58" s="484" t="s">
        <v>390</v>
      </c>
      <c r="F58" s="486">
        <v>5.9206761898069601E-2</v>
      </c>
      <c r="G58" s="484" t="s">
        <v>390</v>
      </c>
      <c r="H58" s="486">
        <v>5.8509543124214997E-2</v>
      </c>
      <c r="I58" s="490" t="s">
        <v>390</v>
      </c>
      <c r="J58" s="495">
        <v>5.8776068908722702E-2</v>
      </c>
      <c r="K58" s="490" t="s">
        <v>380</v>
      </c>
      <c r="L58" s="495">
        <v>5.9310406371657701E-2</v>
      </c>
      <c r="M58" s="475" t="s">
        <v>380</v>
      </c>
      <c r="N58" s="495">
        <v>5.9355350180819097E-2</v>
      </c>
      <c r="O58" s="491" t="s">
        <v>379</v>
      </c>
      <c r="P58" s="489">
        <v>6.3E-2</v>
      </c>
      <c r="Q58" s="491" t="s">
        <v>380</v>
      </c>
      <c r="R58" s="489">
        <v>6.4178862099270206E-2</v>
      </c>
      <c r="S58" s="498" t="s">
        <v>390</v>
      </c>
      <c r="T58" s="489">
        <v>5.7940621348752198E-2</v>
      </c>
      <c r="U58" s="497">
        <f t="shared" si="0"/>
        <v>13</v>
      </c>
    </row>
    <row r="59" spans="1:21">
      <c r="A59" s="484"/>
      <c r="B59" s="485">
        <v>4</v>
      </c>
      <c r="C59" s="484" t="s">
        <v>389</v>
      </c>
      <c r="D59" s="486">
        <v>5.0232390053906499E-2</v>
      </c>
      <c r="E59" s="484" t="s">
        <v>389</v>
      </c>
      <c r="F59" s="486">
        <v>5.0232390053906499E-2</v>
      </c>
      <c r="G59" s="484" t="s">
        <v>384</v>
      </c>
      <c r="H59" s="486">
        <v>5.1329037040087303E-2</v>
      </c>
      <c r="I59" s="490" t="s">
        <v>382</v>
      </c>
      <c r="J59" s="495">
        <v>5.2015402078835503E-2</v>
      </c>
      <c r="K59" s="490" t="s">
        <v>384</v>
      </c>
      <c r="L59" s="495">
        <v>5.23553493145337E-2</v>
      </c>
      <c r="M59" s="475" t="s">
        <v>378</v>
      </c>
      <c r="N59" s="495">
        <v>5.40719583844659E-2</v>
      </c>
      <c r="O59" s="488" t="s">
        <v>390</v>
      </c>
      <c r="P59" s="489">
        <v>5.8999999999999997E-2</v>
      </c>
      <c r="Q59" s="488" t="s">
        <v>378</v>
      </c>
      <c r="R59" s="489">
        <v>5.5595888578961403E-2</v>
      </c>
      <c r="S59" s="498" t="s">
        <v>378</v>
      </c>
      <c r="T59" s="489">
        <v>5.7191647443003098E-2</v>
      </c>
      <c r="U59" s="497">
        <f t="shared" si="0"/>
        <v>14</v>
      </c>
    </row>
    <row r="60" spans="1:21">
      <c r="A60" s="484"/>
      <c r="B60" s="485">
        <v>5</v>
      </c>
      <c r="C60" s="484" t="s">
        <v>382</v>
      </c>
      <c r="D60" s="486">
        <v>5.0046678779726399E-2</v>
      </c>
      <c r="E60" s="484" t="s">
        <v>382</v>
      </c>
      <c r="F60" s="486">
        <v>5.0046678779726399E-2</v>
      </c>
      <c r="G60" s="484" t="s">
        <v>382</v>
      </c>
      <c r="H60" s="486">
        <v>4.9584096851901398E-2</v>
      </c>
      <c r="I60" s="490" t="s">
        <v>384</v>
      </c>
      <c r="J60" s="495">
        <v>5.1815086024616597E-2</v>
      </c>
      <c r="K60" s="490" t="s">
        <v>378</v>
      </c>
      <c r="L60" s="495">
        <v>5.16023960645643E-2</v>
      </c>
      <c r="M60" s="475" t="s">
        <v>384</v>
      </c>
      <c r="N60" s="495">
        <v>5.1986837675524797E-2</v>
      </c>
      <c r="O60" s="488" t="s">
        <v>380</v>
      </c>
      <c r="P60" s="489">
        <v>5.5E-2</v>
      </c>
      <c r="Q60" s="488" t="s">
        <v>384</v>
      </c>
      <c r="R60" s="489">
        <v>5.2988040197164799E-2</v>
      </c>
      <c r="S60" s="498" t="s">
        <v>384</v>
      </c>
      <c r="T60" s="489">
        <v>4.7964288924173898E-2</v>
      </c>
      <c r="U60" s="497">
        <f t="shared" si="0"/>
        <v>15</v>
      </c>
    </row>
    <row r="61" spans="1:21">
      <c r="A61" s="484"/>
      <c r="B61" s="485">
        <v>6</v>
      </c>
      <c r="C61" s="484" t="s">
        <v>378</v>
      </c>
      <c r="D61" s="486">
        <v>4.8284931286828599E-2</v>
      </c>
      <c r="E61" s="484" t="s">
        <v>378</v>
      </c>
      <c r="F61" s="486">
        <v>4.8284931286828599E-2</v>
      </c>
      <c r="G61" s="484" t="s">
        <v>378</v>
      </c>
      <c r="H61" s="486">
        <v>4.8966418909180798E-2</v>
      </c>
      <c r="I61" s="490" t="s">
        <v>378</v>
      </c>
      <c r="J61" s="495">
        <v>4.9622738097887802E-2</v>
      </c>
      <c r="K61" s="490" t="s">
        <v>382</v>
      </c>
      <c r="L61" s="495">
        <v>4.8802525460974702E-2</v>
      </c>
      <c r="M61" s="475" t="s">
        <v>382</v>
      </c>
      <c r="N61" s="495">
        <v>4.6708875881017797E-2</v>
      </c>
      <c r="O61" s="488" t="s">
        <v>378</v>
      </c>
      <c r="P61" s="489">
        <v>4.8000000000000001E-2</v>
      </c>
      <c r="Q61" s="488" t="s">
        <v>382</v>
      </c>
      <c r="R61" s="489">
        <v>4.79060792480226E-2</v>
      </c>
      <c r="S61" s="498" t="s">
        <v>382</v>
      </c>
      <c r="T61" s="489">
        <v>4.3056013261831297E-2</v>
      </c>
      <c r="U61" s="497">
        <f t="shared" si="0"/>
        <v>16</v>
      </c>
    </row>
    <row r="62" spans="1:21">
      <c r="A62" s="484"/>
      <c r="B62" s="485">
        <v>7</v>
      </c>
      <c r="C62" s="484" t="s">
        <v>384</v>
      </c>
      <c r="D62" s="486">
        <v>4.7366413363181002E-2</v>
      </c>
      <c r="E62" s="484" t="s">
        <v>384</v>
      </c>
      <c r="F62" s="486">
        <v>4.7366413363181002E-2</v>
      </c>
      <c r="G62" s="484" t="s">
        <v>389</v>
      </c>
      <c r="H62" s="486">
        <v>4.8312709753134703E-2</v>
      </c>
      <c r="I62" s="490" t="s">
        <v>389</v>
      </c>
      <c r="J62" s="495">
        <v>4.8014645329297299E-2</v>
      </c>
      <c r="K62" s="490" t="s">
        <v>389</v>
      </c>
      <c r="L62" s="495">
        <v>4.48871685611342E-2</v>
      </c>
      <c r="M62" s="475" t="s">
        <v>389</v>
      </c>
      <c r="N62" s="495">
        <v>4.1376614068048802E-2</v>
      </c>
      <c r="O62" s="488" t="s">
        <v>384</v>
      </c>
      <c r="P62" s="489">
        <v>4.7E-2</v>
      </c>
      <c r="Q62" s="488" t="s">
        <v>389</v>
      </c>
      <c r="R62" s="489">
        <v>4.0455083871460802E-2</v>
      </c>
      <c r="S62" s="498" t="s">
        <v>392</v>
      </c>
      <c r="T62" s="489">
        <v>4.1747805506456202E-2</v>
      </c>
      <c r="U62" s="497">
        <f t="shared" si="0"/>
        <v>17</v>
      </c>
    </row>
    <row r="63" spans="1:21">
      <c r="A63" s="484"/>
      <c r="B63" s="485">
        <v>8</v>
      </c>
      <c r="C63" s="484" t="s">
        <v>392</v>
      </c>
      <c r="D63" s="486">
        <v>4.4625917263117702E-2</v>
      </c>
      <c r="E63" s="484" t="s">
        <v>392</v>
      </c>
      <c r="F63" s="486">
        <v>4.4625917263117702E-2</v>
      </c>
      <c r="G63" s="484" t="s">
        <v>392</v>
      </c>
      <c r="H63" s="486">
        <v>4.1379274846095201E-2</v>
      </c>
      <c r="I63" s="490" t="s">
        <v>393</v>
      </c>
      <c r="J63" s="495">
        <v>3.82548020209664E-2</v>
      </c>
      <c r="K63" s="490" t="s">
        <v>392</v>
      </c>
      <c r="L63" s="495">
        <v>3.6710654009615498E-2</v>
      </c>
      <c r="M63" s="475" t="s">
        <v>396</v>
      </c>
      <c r="N63" s="495">
        <v>3.8221782995406198E-2</v>
      </c>
      <c r="O63" s="488" t="s">
        <v>382</v>
      </c>
      <c r="P63" s="489">
        <v>4.2999999999999997E-2</v>
      </c>
      <c r="Q63" s="488" t="s">
        <v>392</v>
      </c>
      <c r="R63" s="489">
        <v>3.7789920140613699E-2</v>
      </c>
      <c r="S63" s="498" t="s">
        <v>389</v>
      </c>
      <c r="T63" s="489">
        <v>4.0359707201134402E-2</v>
      </c>
      <c r="U63" s="497">
        <f t="shared" si="0"/>
        <v>18</v>
      </c>
    </row>
    <row r="64" spans="1:21">
      <c r="A64" s="484"/>
      <c r="B64" s="485">
        <v>9</v>
      </c>
      <c r="C64" s="484" t="s">
        <v>393</v>
      </c>
      <c r="D64" s="486">
        <v>3.7679311764056297E-2</v>
      </c>
      <c r="E64" s="484" t="s">
        <v>393</v>
      </c>
      <c r="F64" s="486">
        <v>3.7679311764056297E-2</v>
      </c>
      <c r="G64" s="484" t="s">
        <v>393</v>
      </c>
      <c r="H64" s="486">
        <v>3.7822479359262098E-2</v>
      </c>
      <c r="I64" s="490" t="s">
        <v>392</v>
      </c>
      <c r="J64" s="495">
        <v>3.8060050301586899E-2</v>
      </c>
      <c r="K64" s="490" t="s">
        <v>393</v>
      </c>
      <c r="L64" s="495">
        <v>3.6548908496659101E-2</v>
      </c>
      <c r="M64" s="475" t="s">
        <v>395</v>
      </c>
      <c r="N64" s="495">
        <v>3.6223542316004401E-2</v>
      </c>
      <c r="O64" s="488" t="s">
        <v>389</v>
      </c>
      <c r="P64" s="489">
        <v>3.5999999999999997E-2</v>
      </c>
      <c r="Q64" s="488" t="s">
        <v>395</v>
      </c>
      <c r="R64" s="489">
        <v>3.6347483856176699E-2</v>
      </c>
      <c r="S64" s="498" t="s">
        <v>377</v>
      </c>
      <c r="T64" s="489">
        <v>3.845232032116E-2</v>
      </c>
      <c r="U64" s="497">
        <f t="shared" si="0"/>
        <v>19</v>
      </c>
    </row>
    <row r="65" spans="1:21">
      <c r="A65" s="484"/>
      <c r="B65" s="485">
        <v>10</v>
      </c>
      <c r="C65" s="484" t="s">
        <v>396</v>
      </c>
      <c r="D65" s="486">
        <v>3.26349920194344E-2</v>
      </c>
      <c r="E65" s="484" t="s">
        <v>396</v>
      </c>
      <c r="F65" s="486">
        <v>3.26349920194344E-2</v>
      </c>
      <c r="G65" s="484" t="s">
        <v>396</v>
      </c>
      <c r="H65" s="486">
        <v>3.4708353064712101E-2</v>
      </c>
      <c r="I65" s="490" t="s">
        <v>396</v>
      </c>
      <c r="J65" s="495">
        <v>3.3981392864297001E-2</v>
      </c>
      <c r="K65" s="490" t="s">
        <v>395</v>
      </c>
      <c r="L65" s="495">
        <v>3.5204747509676802E-2</v>
      </c>
      <c r="M65" s="475" t="s">
        <v>392</v>
      </c>
      <c r="N65" s="495">
        <v>3.4833461843377003E-2</v>
      </c>
      <c r="O65" s="488" t="s">
        <v>392</v>
      </c>
      <c r="P65" s="489">
        <v>3.4000000000000002E-2</v>
      </c>
      <c r="Q65" s="488" t="s">
        <v>396</v>
      </c>
      <c r="R65" s="489">
        <v>3.5401780596843797E-2</v>
      </c>
      <c r="S65" s="499" t="s">
        <v>379</v>
      </c>
      <c r="T65" s="500">
        <v>3.4053346914726799E-2</v>
      </c>
      <c r="U65" s="497">
        <f t="shared" si="0"/>
        <v>20</v>
      </c>
    </row>
    <row r="66" spans="1:21">
      <c r="A66" s="480" t="s">
        <v>146</v>
      </c>
      <c r="B66" s="481">
        <v>1</v>
      </c>
      <c r="C66" s="482" t="s">
        <v>381</v>
      </c>
      <c r="D66" s="483">
        <v>8.6141452984369593E-2</v>
      </c>
      <c r="E66" s="482" t="s">
        <v>381</v>
      </c>
      <c r="F66" s="483">
        <v>8.6141452984369593E-2</v>
      </c>
      <c r="G66" s="482" t="s">
        <v>381</v>
      </c>
      <c r="H66" s="483">
        <v>7.9353342520081999E-2</v>
      </c>
      <c r="I66" s="487" t="s">
        <v>381</v>
      </c>
      <c r="J66" s="492">
        <v>7.9093752238164602E-2</v>
      </c>
      <c r="K66" s="487" t="s">
        <v>381</v>
      </c>
      <c r="L66" s="492">
        <v>7.8736476559369606E-2</v>
      </c>
      <c r="M66" s="487" t="s">
        <v>381</v>
      </c>
      <c r="N66" s="492">
        <v>7.5286875694054095E-2</v>
      </c>
      <c r="O66" s="493" t="s">
        <v>381</v>
      </c>
      <c r="P66" s="494">
        <v>7.1999999999999995E-2</v>
      </c>
      <c r="Q66" s="493" t="s">
        <v>381</v>
      </c>
      <c r="R66" s="494">
        <v>8.0232161147149206E-2</v>
      </c>
      <c r="S66" s="498" t="s">
        <v>381</v>
      </c>
      <c r="T66" s="489">
        <v>8.5904307343218203E-2</v>
      </c>
      <c r="U66" s="497">
        <f t="shared" si="0"/>
        <v>21</v>
      </c>
    </row>
    <row r="67" spans="1:21">
      <c r="A67" s="484"/>
      <c r="B67" s="485">
        <v>2</v>
      </c>
      <c r="C67" s="484" t="s">
        <v>382</v>
      </c>
      <c r="D67" s="486">
        <v>5.8543700585105503E-2</v>
      </c>
      <c r="E67" s="484" t="s">
        <v>382</v>
      </c>
      <c r="F67" s="486">
        <v>5.8543700585105503E-2</v>
      </c>
      <c r="G67" s="484" t="s">
        <v>392</v>
      </c>
      <c r="H67" s="486">
        <v>5.4818001546062603E-2</v>
      </c>
      <c r="I67" s="490" t="s">
        <v>380</v>
      </c>
      <c r="J67" s="495">
        <v>5.9007965876445398E-2</v>
      </c>
      <c r="K67" s="490" t="s">
        <v>380</v>
      </c>
      <c r="L67" s="495">
        <v>6.3354258492498094E-2</v>
      </c>
      <c r="M67" s="475" t="s">
        <v>380</v>
      </c>
      <c r="N67" s="495">
        <v>6.6903387669486294E-2</v>
      </c>
      <c r="O67" s="488" t="s">
        <v>380</v>
      </c>
      <c r="P67" s="489">
        <v>7.0999999999999994E-2</v>
      </c>
      <c r="Q67" s="488" t="s">
        <v>392</v>
      </c>
      <c r="R67" s="489">
        <v>6.7347514361631097E-2</v>
      </c>
      <c r="S67" s="498" t="s">
        <v>392</v>
      </c>
      <c r="T67" s="489">
        <v>7.2383709557529E-2</v>
      </c>
      <c r="U67" s="497">
        <f t="shared" si="0"/>
        <v>22</v>
      </c>
    </row>
    <row r="68" spans="1:21">
      <c r="A68" s="484"/>
      <c r="B68" s="485">
        <v>3</v>
      </c>
      <c r="C68" s="484" t="s">
        <v>380</v>
      </c>
      <c r="D68" s="486">
        <v>5.5096053438530801E-2</v>
      </c>
      <c r="E68" s="484" t="s">
        <v>380</v>
      </c>
      <c r="F68" s="486">
        <v>5.5096053438530801E-2</v>
      </c>
      <c r="G68" s="484" t="s">
        <v>380</v>
      </c>
      <c r="H68" s="486">
        <v>5.3019863543172098E-2</v>
      </c>
      <c r="I68" s="490" t="s">
        <v>392</v>
      </c>
      <c r="J68" s="495">
        <v>5.7464129682240302E-2</v>
      </c>
      <c r="K68" s="490" t="s">
        <v>392</v>
      </c>
      <c r="L68" s="495">
        <v>6.0608758885772399E-2</v>
      </c>
      <c r="M68" s="475" t="s">
        <v>392</v>
      </c>
      <c r="N68" s="495">
        <v>6.2749345361319403E-2</v>
      </c>
      <c r="O68" s="488" t="s">
        <v>392</v>
      </c>
      <c r="P68" s="489">
        <v>7.0999999999999994E-2</v>
      </c>
      <c r="Q68" s="488" t="s">
        <v>380</v>
      </c>
      <c r="R68" s="489">
        <v>6.6174833375391498E-2</v>
      </c>
      <c r="S68" s="498" t="s">
        <v>380</v>
      </c>
      <c r="T68" s="489">
        <v>6.5357380384179001E-2</v>
      </c>
      <c r="U68" s="497">
        <f t="shared" si="0"/>
        <v>23</v>
      </c>
    </row>
    <row r="69" spans="1:21">
      <c r="A69" s="484"/>
      <c r="B69" s="485">
        <v>4</v>
      </c>
      <c r="C69" s="484" t="s">
        <v>396</v>
      </c>
      <c r="D69" s="486">
        <v>4.99743083986674E-2</v>
      </c>
      <c r="E69" s="484" t="s">
        <v>396</v>
      </c>
      <c r="F69" s="486">
        <v>4.99743083986674E-2</v>
      </c>
      <c r="G69" s="484" t="s">
        <v>382</v>
      </c>
      <c r="H69" s="486">
        <v>5.2137599569791297E-2</v>
      </c>
      <c r="I69" s="490" t="s">
        <v>382</v>
      </c>
      <c r="J69" s="495">
        <v>5.0492993052737099E-2</v>
      </c>
      <c r="K69" s="490" t="s">
        <v>396</v>
      </c>
      <c r="L69" s="495">
        <v>5.2387100604009897E-2</v>
      </c>
      <c r="M69" s="475" t="s">
        <v>378</v>
      </c>
      <c r="N69" s="495">
        <v>5.0444880108580899E-2</v>
      </c>
      <c r="O69" s="488" t="s">
        <v>378</v>
      </c>
      <c r="P69" s="489">
        <v>5.2999999999999999E-2</v>
      </c>
      <c r="Q69" s="488" t="s">
        <v>378</v>
      </c>
      <c r="R69" s="489">
        <v>5.4589042112607102E-2</v>
      </c>
      <c r="S69" s="498" t="s">
        <v>382</v>
      </c>
      <c r="T69" s="489">
        <v>5.1774187238371003E-2</v>
      </c>
      <c r="U69" s="497">
        <f t="shared" si="0"/>
        <v>24</v>
      </c>
    </row>
    <row r="70" spans="1:21">
      <c r="A70" s="484"/>
      <c r="B70" s="485">
        <v>5</v>
      </c>
      <c r="C70" s="484" t="s">
        <v>392</v>
      </c>
      <c r="D70" s="486">
        <v>4.9609653412010402E-2</v>
      </c>
      <c r="E70" s="484" t="s">
        <v>392</v>
      </c>
      <c r="F70" s="486">
        <v>4.9609653412010402E-2</v>
      </c>
      <c r="G70" s="484" t="s">
        <v>396</v>
      </c>
      <c r="H70" s="486">
        <v>5.0994857661412298E-2</v>
      </c>
      <c r="I70" s="490" t="s">
        <v>396</v>
      </c>
      <c r="J70" s="495">
        <v>4.8638798035985698E-2</v>
      </c>
      <c r="K70" s="490" t="s">
        <v>382</v>
      </c>
      <c r="L70" s="495">
        <v>4.5367525933840899E-2</v>
      </c>
      <c r="M70" s="475" t="s">
        <v>396</v>
      </c>
      <c r="N70" s="495">
        <v>4.79634224921512E-2</v>
      </c>
      <c r="O70" s="488" t="s">
        <v>382</v>
      </c>
      <c r="P70" s="489">
        <v>4.8000000000000001E-2</v>
      </c>
      <c r="Q70" s="488" t="s">
        <v>382</v>
      </c>
      <c r="R70" s="489">
        <v>5.0633099291938197E-2</v>
      </c>
      <c r="S70" s="498" t="s">
        <v>377</v>
      </c>
      <c r="T70" s="489">
        <v>4.9505105434059699E-2</v>
      </c>
      <c r="U70" s="497">
        <f t="shared" si="0"/>
        <v>25</v>
      </c>
    </row>
    <row r="71" spans="1:21">
      <c r="A71" s="484"/>
      <c r="B71" s="485">
        <v>6</v>
      </c>
      <c r="C71" s="484" t="s">
        <v>384</v>
      </c>
      <c r="D71" s="486">
        <v>4.3874624985496699E-2</v>
      </c>
      <c r="E71" s="484" t="s">
        <v>384</v>
      </c>
      <c r="F71" s="486">
        <v>4.3874624985496699E-2</v>
      </c>
      <c r="G71" s="484" t="s">
        <v>384</v>
      </c>
      <c r="H71" s="486">
        <v>4.2424293348569897E-2</v>
      </c>
      <c r="I71" s="490" t="s">
        <v>384</v>
      </c>
      <c r="J71" s="495">
        <v>4.5829652796014697E-2</v>
      </c>
      <c r="K71" s="490" t="s">
        <v>384</v>
      </c>
      <c r="L71" s="495">
        <v>4.3475357285962302E-2</v>
      </c>
      <c r="M71" s="475" t="s">
        <v>382</v>
      </c>
      <c r="N71" s="495">
        <v>4.5351722625135399E-2</v>
      </c>
      <c r="O71" s="488" t="s">
        <v>377</v>
      </c>
      <c r="P71" s="489">
        <v>4.5999999999999999E-2</v>
      </c>
      <c r="Q71" s="488" t="s">
        <v>377</v>
      </c>
      <c r="R71" s="489">
        <v>4.7285763059064498E-2</v>
      </c>
      <c r="S71" s="498" t="s">
        <v>378</v>
      </c>
      <c r="T71" s="489">
        <v>4.9332968193732597E-2</v>
      </c>
      <c r="U71" s="497">
        <f t="shared" si="0"/>
        <v>26</v>
      </c>
    </row>
    <row r="72" spans="1:21">
      <c r="A72" s="484"/>
      <c r="B72" s="485">
        <v>7</v>
      </c>
      <c r="C72" s="484" t="s">
        <v>379</v>
      </c>
      <c r="D72" s="486">
        <v>4.1951898692214599E-2</v>
      </c>
      <c r="E72" s="484" t="s">
        <v>379</v>
      </c>
      <c r="F72" s="486">
        <v>4.1951898692214599E-2</v>
      </c>
      <c r="G72" s="484" t="s">
        <v>388</v>
      </c>
      <c r="H72" s="486">
        <v>4.1819312338251598E-2</v>
      </c>
      <c r="I72" s="490" t="s">
        <v>379</v>
      </c>
      <c r="J72" s="495">
        <v>4.2789727918765598E-2</v>
      </c>
      <c r="K72" s="490" t="s">
        <v>379</v>
      </c>
      <c r="L72" s="495">
        <v>4.2941097903031897E-2</v>
      </c>
      <c r="M72" s="475" t="s">
        <v>379</v>
      </c>
      <c r="N72" s="495">
        <v>4.3555750538106099E-2</v>
      </c>
      <c r="O72" s="488" t="s">
        <v>379</v>
      </c>
      <c r="P72" s="489">
        <v>4.2999999999999997E-2</v>
      </c>
      <c r="Q72" s="488" t="s">
        <v>384</v>
      </c>
      <c r="R72" s="489">
        <v>4.4710318108272598E-2</v>
      </c>
      <c r="S72" s="498" t="s">
        <v>384</v>
      </c>
      <c r="T72" s="489">
        <v>4.85739994522906E-2</v>
      </c>
      <c r="U72" s="497">
        <f t="shared" si="0"/>
        <v>27</v>
      </c>
    </row>
    <row r="73" spans="1:21">
      <c r="A73" s="484"/>
      <c r="B73" s="485">
        <v>8</v>
      </c>
      <c r="C73" s="484" t="s">
        <v>378</v>
      </c>
      <c r="D73" s="486">
        <v>3.8529114385639197E-2</v>
      </c>
      <c r="E73" s="484" t="s">
        <v>378</v>
      </c>
      <c r="F73" s="486">
        <v>3.8529114385639197E-2</v>
      </c>
      <c r="G73" s="484" t="s">
        <v>379</v>
      </c>
      <c r="H73" s="486">
        <v>3.9374180754881902E-2</v>
      </c>
      <c r="I73" s="490" t="s">
        <v>388</v>
      </c>
      <c r="J73" s="495">
        <v>3.8770979062716399E-2</v>
      </c>
      <c r="K73" s="490" t="s">
        <v>378</v>
      </c>
      <c r="L73" s="495">
        <v>4.2740750634433E-2</v>
      </c>
      <c r="M73" s="475" t="s">
        <v>377</v>
      </c>
      <c r="N73" s="495">
        <v>4.2596070796945502E-2</v>
      </c>
      <c r="O73" s="488" t="s">
        <v>396</v>
      </c>
      <c r="P73" s="489">
        <v>4.2000000000000003E-2</v>
      </c>
      <c r="Q73" s="488" t="s">
        <v>396</v>
      </c>
      <c r="R73" s="489">
        <v>4.17415054848813E-2</v>
      </c>
      <c r="S73" s="498" t="s">
        <v>396</v>
      </c>
      <c r="T73" s="489">
        <v>4.4763506905050703E-2</v>
      </c>
      <c r="U73" s="497">
        <f t="shared" si="0"/>
        <v>28</v>
      </c>
    </row>
    <row r="74" spans="1:21">
      <c r="A74" s="484"/>
      <c r="B74" s="485">
        <v>9</v>
      </c>
      <c r="C74" s="484" t="s">
        <v>393</v>
      </c>
      <c r="D74" s="486">
        <v>3.7401998972335898E-2</v>
      </c>
      <c r="E74" s="484" t="s">
        <v>393</v>
      </c>
      <c r="F74" s="486">
        <v>3.7401998972335898E-2</v>
      </c>
      <c r="G74" s="484" t="s">
        <v>378</v>
      </c>
      <c r="H74" s="486">
        <v>3.7828118172957399E-2</v>
      </c>
      <c r="I74" s="490" t="s">
        <v>378</v>
      </c>
      <c r="J74" s="495">
        <v>3.69088261274381E-2</v>
      </c>
      <c r="K74" s="490" t="s">
        <v>388</v>
      </c>
      <c r="L74" s="495">
        <v>3.8125343187450797E-2</v>
      </c>
      <c r="M74" s="475" t="s">
        <v>384</v>
      </c>
      <c r="N74" s="495">
        <v>4.21230857816592E-2</v>
      </c>
      <c r="O74" s="491" t="s">
        <v>393</v>
      </c>
      <c r="P74" s="489">
        <v>0.04</v>
      </c>
      <c r="Q74" s="491" t="s">
        <v>393</v>
      </c>
      <c r="R74" s="489">
        <v>4.0821173571630003E-2</v>
      </c>
      <c r="S74" s="498" t="s">
        <v>393</v>
      </c>
      <c r="T74" s="489">
        <v>4.0530495677007901E-2</v>
      </c>
      <c r="U74" s="497">
        <f t="shared" si="0"/>
        <v>29</v>
      </c>
    </row>
    <row r="75" spans="1:21">
      <c r="A75" s="484"/>
      <c r="B75" s="485">
        <v>10</v>
      </c>
      <c r="C75" s="484" t="s">
        <v>388</v>
      </c>
      <c r="D75" s="486">
        <v>3.6946180239014803E-2</v>
      </c>
      <c r="E75" s="484" t="s">
        <v>388</v>
      </c>
      <c r="F75" s="486">
        <v>3.6946180239014803E-2</v>
      </c>
      <c r="G75" s="484" t="s">
        <v>389</v>
      </c>
      <c r="H75" s="486">
        <v>3.3769703895405498E-2</v>
      </c>
      <c r="I75" s="490" t="s">
        <v>393</v>
      </c>
      <c r="J75" s="495">
        <v>3.5412737444394E-2</v>
      </c>
      <c r="K75" s="490" t="s">
        <v>393</v>
      </c>
      <c r="L75" s="495">
        <v>3.7153287921285798E-2</v>
      </c>
      <c r="M75" s="475" t="s">
        <v>388</v>
      </c>
      <c r="N75" s="495">
        <v>4.0690421025212198E-2</v>
      </c>
      <c r="O75" s="488" t="s">
        <v>384</v>
      </c>
      <c r="P75" s="489">
        <v>0.04</v>
      </c>
      <c r="Q75" s="488" t="s">
        <v>379</v>
      </c>
      <c r="R75" s="489">
        <v>3.5269493965888299E-2</v>
      </c>
      <c r="S75" s="499" t="s">
        <v>379</v>
      </c>
      <c r="T75" s="500">
        <v>3.2878212902468597E-2</v>
      </c>
      <c r="U75" s="497">
        <f t="shared" si="0"/>
        <v>30</v>
      </c>
    </row>
    <row r="76" spans="1:21">
      <c r="A76" s="480" t="s">
        <v>156</v>
      </c>
      <c r="B76" s="481">
        <v>1</v>
      </c>
      <c r="C76" s="482" t="s">
        <v>381</v>
      </c>
      <c r="D76" s="483">
        <v>8.2499323150117196E-2</v>
      </c>
      <c r="E76" s="482" t="s">
        <v>381</v>
      </c>
      <c r="F76" s="483">
        <v>8.6141452984369593E-2</v>
      </c>
      <c r="G76" s="482" t="s">
        <v>380</v>
      </c>
      <c r="H76" s="483">
        <v>8.8322513981753101E-2</v>
      </c>
      <c r="I76" s="487" t="s">
        <v>380</v>
      </c>
      <c r="J76" s="492">
        <v>9.5630780646814101E-2</v>
      </c>
      <c r="K76" s="487" t="s">
        <v>380</v>
      </c>
      <c r="L76" s="492">
        <v>0.103217360466608</v>
      </c>
      <c r="M76" s="487" t="s">
        <v>380</v>
      </c>
      <c r="N76" s="492">
        <v>0.10677983636661501</v>
      </c>
      <c r="O76" s="493" t="s">
        <v>380</v>
      </c>
      <c r="P76" s="494">
        <v>0.126</v>
      </c>
      <c r="Q76" s="493" t="s">
        <v>380</v>
      </c>
      <c r="R76" s="494">
        <v>0.16334327761710801</v>
      </c>
      <c r="S76" s="498" t="s">
        <v>380</v>
      </c>
      <c r="T76" s="489">
        <v>0.169053300369361</v>
      </c>
      <c r="U76" s="497">
        <f t="shared" si="0"/>
        <v>31</v>
      </c>
    </row>
    <row r="77" spans="1:21">
      <c r="A77" s="484"/>
      <c r="B77" s="485">
        <v>2</v>
      </c>
      <c r="C77" s="484" t="s">
        <v>380</v>
      </c>
      <c r="D77" s="486">
        <v>8.2476182983184002E-2</v>
      </c>
      <c r="E77" s="484" t="s">
        <v>380</v>
      </c>
      <c r="F77" s="486">
        <v>5.8543700585105503E-2</v>
      </c>
      <c r="G77" s="484" t="s">
        <v>381</v>
      </c>
      <c r="H77" s="486">
        <v>8.3475815158212702E-2</v>
      </c>
      <c r="I77" s="490" t="s">
        <v>381</v>
      </c>
      <c r="J77" s="495">
        <v>8.0717043135661304E-2</v>
      </c>
      <c r="K77" s="490" t="s">
        <v>384</v>
      </c>
      <c r="L77" s="495">
        <v>7.7685598086485397E-2</v>
      </c>
      <c r="M77" s="475" t="s">
        <v>384</v>
      </c>
      <c r="N77" s="495">
        <v>7.1876266262037594E-2</v>
      </c>
      <c r="O77" s="488" t="s">
        <v>384</v>
      </c>
      <c r="P77" s="489">
        <v>7.1999999999999995E-2</v>
      </c>
      <c r="Q77" s="488" t="s">
        <v>384</v>
      </c>
      <c r="R77" s="489">
        <v>7.4493075020878693E-2</v>
      </c>
      <c r="S77" s="498" t="s">
        <v>384</v>
      </c>
      <c r="T77" s="489">
        <v>8.9824910004718705E-2</v>
      </c>
      <c r="U77" s="497">
        <f t="shared" si="0"/>
        <v>32</v>
      </c>
    </row>
    <row r="78" spans="1:21">
      <c r="A78" s="484"/>
      <c r="B78" s="485">
        <v>3</v>
      </c>
      <c r="C78" s="484" t="s">
        <v>384</v>
      </c>
      <c r="D78" s="486">
        <v>7.2208890914939095E-2</v>
      </c>
      <c r="E78" s="484" t="s">
        <v>384</v>
      </c>
      <c r="F78" s="486">
        <v>5.5096053438530801E-2</v>
      </c>
      <c r="G78" s="484" t="s">
        <v>384</v>
      </c>
      <c r="H78" s="486">
        <v>7.1873392735512007E-2</v>
      </c>
      <c r="I78" s="490" t="s">
        <v>384</v>
      </c>
      <c r="J78" s="495">
        <v>7.9612812607662495E-2</v>
      </c>
      <c r="K78" s="490" t="s">
        <v>381</v>
      </c>
      <c r="L78" s="495">
        <v>7.45184145596125E-2</v>
      </c>
      <c r="M78" s="475" t="s">
        <v>379</v>
      </c>
      <c r="N78" s="495">
        <v>7.1483994447845103E-2</v>
      </c>
      <c r="O78" s="488" t="s">
        <v>379</v>
      </c>
      <c r="P78" s="489">
        <v>6.9000000000000006E-2</v>
      </c>
      <c r="Q78" s="488" t="s">
        <v>381</v>
      </c>
      <c r="R78" s="489">
        <v>5.9427865208075199E-2</v>
      </c>
      <c r="S78" s="498" t="s">
        <v>381</v>
      </c>
      <c r="T78" s="489">
        <v>7.3536266590861002E-2</v>
      </c>
      <c r="U78" s="497">
        <f t="shared" si="0"/>
        <v>33</v>
      </c>
    </row>
    <row r="79" spans="1:21">
      <c r="A79" s="484"/>
      <c r="B79" s="485">
        <v>4</v>
      </c>
      <c r="C79" s="484" t="s">
        <v>399</v>
      </c>
      <c r="D79" s="486">
        <v>5.2909991692680097E-2</v>
      </c>
      <c r="E79" s="484" t="s">
        <v>399</v>
      </c>
      <c r="F79" s="486">
        <v>4.99743083986674E-2</v>
      </c>
      <c r="G79" s="484" t="s">
        <v>379</v>
      </c>
      <c r="H79" s="486">
        <v>6.1086476042202402E-2</v>
      </c>
      <c r="I79" s="490" t="s">
        <v>379</v>
      </c>
      <c r="J79" s="495">
        <v>7.6772731689649404E-2</v>
      </c>
      <c r="K79" s="490" t="s">
        <v>379</v>
      </c>
      <c r="L79" s="495">
        <v>7.0994710671465497E-2</v>
      </c>
      <c r="M79" s="475" t="s">
        <v>381</v>
      </c>
      <c r="N79" s="495">
        <v>6.5627218203711202E-2</v>
      </c>
      <c r="O79" s="488" t="s">
        <v>381</v>
      </c>
      <c r="P79" s="489">
        <v>6.4000000000000001E-2</v>
      </c>
      <c r="Q79" s="488" t="s">
        <v>379</v>
      </c>
      <c r="R79" s="489">
        <v>5.9183511675211797E-2</v>
      </c>
      <c r="S79" s="498" t="s">
        <v>379</v>
      </c>
      <c r="T79" s="489">
        <v>4.9570386790673999E-2</v>
      </c>
      <c r="U79" s="497">
        <f t="shared" si="0"/>
        <v>34</v>
      </c>
    </row>
    <row r="80" spans="1:21">
      <c r="A80" s="484"/>
      <c r="B80" s="485">
        <v>5</v>
      </c>
      <c r="C80" s="484" t="s">
        <v>379</v>
      </c>
      <c r="D80" s="486">
        <v>4.7124949959388998E-2</v>
      </c>
      <c r="E80" s="484" t="s">
        <v>379</v>
      </c>
      <c r="F80" s="486">
        <v>4.9609653412010402E-2</v>
      </c>
      <c r="G80" s="484" t="s">
        <v>399</v>
      </c>
      <c r="H80" s="486">
        <v>4.8700982777074998E-2</v>
      </c>
      <c r="I80" s="490" t="s">
        <v>399</v>
      </c>
      <c r="J80" s="495">
        <v>4.3111368274131902E-2</v>
      </c>
      <c r="K80" s="490" t="s">
        <v>399</v>
      </c>
      <c r="L80" s="495">
        <v>4.2457990960605402E-2</v>
      </c>
      <c r="M80" s="475" t="s">
        <v>399</v>
      </c>
      <c r="N80" s="495">
        <v>4.20406180939326E-2</v>
      </c>
      <c r="O80" s="488" t="s">
        <v>399</v>
      </c>
      <c r="P80" s="489">
        <v>4.2000000000000003E-2</v>
      </c>
      <c r="Q80" s="488" t="s">
        <v>399</v>
      </c>
      <c r="R80" s="489">
        <v>4.2640234492510302E-2</v>
      </c>
      <c r="S80" s="498" t="s">
        <v>399</v>
      </c>
      <c r="T80" s="489">
        <v>4.8570173347996799E-2</v>
      </c>
      <c r="U80" s="497">
        <f t="shared" si="0"/>
        <v>35</v>
      </c>
    </row>
    <row r="81" spans="1:21">
      <c r="A81" s="484"/>
      <c r="B81" s="485">
        <v>6</v>
      </c>
      <c r="C81" s="484" t="s">
        <v>396</v>
      </c>
      <c r="D81" s="486">
        <v>4.5530592457694002E-2</v>
      </c>
      <c r="E81" s="484" t="s">
        <v>396</v>
      </c>
      <c r="F81" s="486">
        <v>4.3874624985496699E-2</v>
      </c>
      <c r="G81" s="484" t="s">
        <v>396</v>
      </c>
      <c r="H81" s="486">
        <v>4.1486537205132103E-2</v>
      </c>
      <c r="I81" s="490" t="s">
        <v>396</v>
      </c>
      <c r="J81" s="495">
        <v>3.86679446294644E-2</v>
      </c>
      <c r="K81" s="490" t="s">
        <v>396</v>
      </c>
      <c r="L81" s="495">
        <v>4.0090620307701601E-2</v>
      </c>
      <c r="M81" s="475" t="s">
        <v>396</v>
      </c>
      <c r="N81" s="495">
        <v>4.0103686205538898E-2</v>
      </c>
      <c r="O81" s="488" t="s">
        <v>403</v>
      </c>
      <c r="P81" s="489">
        <v>3.9E-2</v>
      </c>
      <c r="Q81" s="488" t="s">
        <v>403</v>
      </c>
      <c r="R81" s="489">
        <v>4.0210817367997503E-2</v>
      </c>
      <c r="S81" s="498" t="s">
        <v>396</v>
      </c>
      <c r="T81" s="489">
        <v>4.1105422496858203E-2</v>
      </c>
      <c r="U81" s="497">
        <f t="shared" si="0"/>
        <v>36</v>
      </c>
    </row>
    <row r="82" spans="1:21">
      <c r="A82" s="484"/>
      <c r="B82" s="485">
        <v>7</v>
      </c>
      <c r="C82" s="484" t="s">
        <v>402</v>
      </c>
      <c r="D82" s="486">
        <v>4.1830479765081002E-2</v>
      </c>
      <c r="E82" s="484" t="s">
        <v>402</v>
      </c>
      <c r="F82" s="486">
        <v>4.1951898692214599E-2</v>
      </c>
      <c r="G82" s="484" t="s">
        <v>402</v>
      </c>
      <c r="H82" s="486">
        <v>3.8405222943512299E-2</v>
      </c>
      <c r="I82" s="490" t="s">
        <v>382</v>
      </c>
      <c r="J82" s="495">
        <v>3.7716097914329401E-2</v>
      </c>
      <c r="K82" s="490" t="s">
        <v>382</v>
      </c>
      <c r="L82" s="495">
        <v>3.7396910911409398E-2</v>
      </c>
      <c r="M82" s="475" t="s">
        <v>388</v>
      </c>
      <c r="N82" s="495">
        <v>3.8748696019518802E-2</v>
      </c>
      <c r="O82" s="488" t="s">
        <v>382</v>
      </c>
      <c r="P82" s="489">
        <v>3.7999999999999999E-2</v>
      </c>
      <c r="Q82" s="488" t="s">
        <v>396</v>
      </c>
      <c r="R82" s="489">
        <v>3.7901947986364003E-2</v>
      </c>
      <c r="S82" s="498" t="s">
        <v>395</v>
      </c>
      <c r="T82" s="489">
        <v>3.75659111944463E-2</v>
      </c>
      <c r="U82" s="497">
        <f t="shared" si="0"/>
        <v>37</v>
      </c>
    </row>
    <row r="83" spans="1:21">
      <c r="A83" s="484"/>
      <c r="B83" s="485">
        <v>8</v>
      </c>
      <c r="C83" s="484" t="s">
        <v>382</v>
      </c>
      <c r="D83" s="486">
        <v>4.1705522863641903E-2</v>
      </c>
      <c r="E83" s="484" t="s">
        <v>382</v>
      </c>
      <c r="F83" s="486">
        <v>3.8529114385639197E-2</v>
      </c>
      <c r="G83" s="484" t="s">
        <v>382</v>
      </c>
      <c r="H83" s="486">
        <v>3.8344986724864097E-2</v>
      </c>
      <c r="I83" s="490" t="s">
        <v>393</v>
      </c>
      <c r="J83" s="495">
        <v>3.4350403264988803E-2</v>
      </c>
      <c r="K83" s="490" t="s">
        <v>403</v>
      </c>
      <c r="L83" s="495">
        <v>3.47767692087134E-2</v>
      </c>
      <c r="M83" s="475" t="s">
        <v>403</v>
      </c>
      <c r="N83" s="495">
        <v>3.8281705764527697E-2</v>
      </c>
      <c r="O83" s="488" t="s">
        <v>402</v>
      </c>
      <c r="P83" s="489">
        <v>3.7999999999999999E-2</v>
      </c>
      <c r="Q83" s="488" t="s">
        <v>382</v>
      </c>
      <c r="R83" s="489">
        <v>3.5639777279899899E-2</v>
      </c>
      <c r="S83" s="498" t="s">
        <v>403</v>
      </c>
      <c r="T83" s="489">
        <v>3.5998112515876597E-2</v>
      </c>
      <c r="U83" s="497">
        <f t="shared" si="0"/>
        <v>38</v>
      </c>
    </row>
    <row r="84" spans="1:21">
      <c r="A84" s="484"/>
      <c r="B84" s="485">
        <v>9</v>
      </c>
      <c r="C84" s="484" t="s">
        <v>388</v>
      </c>
      <c r="D84" s="486">
        <v>3.5184623821876301E-2</v>
      </c>
      <c r="E84" s="484" t="s">
        <v>388</v>
      </c>
      <c r="F84" s="486">
        <v>3.7401998972335898E-2</v>
      </c>
      <c r="G84" s="484" t="s">
        <v>403</v>
      </c>
      <c r="H84" s="486">
        <v>3.1936779771751099E-2</v>
      </c>
      <c r="I84" s="490" t="s">
        <v>402</v>
      </c>
      <c r="J84" s="495">
        <v>3.4326110193372901E-2</v>
      </c>
      <c r="K84" s="490" t="s">
        <v>402</v>
      </c>
      <c r="L84" s="495">
        <v>3.4378749122846698E-2</v>
      </c>
      <c r="M84" s="475" t="s">
        <v>382</v>
      </c>
      <c r="N84" s="495">
        <v>3.6479841826808398E-2</v>
      </c>
      <c r="O84" s="488" t="s">
        <v>388</v>
      </c>
      <c r="P84" s="489">
        <v>3.7999999999999999E-2</v>
      </c>
      <c r="Q84" s="488" t="s">
        <v>388</v>
      </c>
      <c r="R84" s="489">
        <v>3.5327004757834797E-2</v>
      </c>
      <c r="S84" s="498" t="s">
        <v>378</v>
      </c>
      <c r="T84" s="489">
        <v>3.5506141501966397E-2</v>
      </c>
      <c r="U84" s="497">
        <f t="shared" si="0"/>
        <v>39</v>
      </c>
    </row>
    <row r="85" spans="1:21">
      <c r="A85" s="484"/>
      <c r="B85" s="485">
        <v>10</v>
      </c>
      <c r="C85" s="484" t="s">
        <v>395</v>
      </c>
      <c r="D85" s="486">
        <v>3.3990591208124997E-2</v>
      </c>
      <c r="E85" s="484" t="s">
        <v>395</v>
      </c>
      <c r="F85" s="486">
        <v>3.6946180239014803E-2</v>
      </c>
      <c r="G85" s="484" t="s">
        <v>395</v>
      </c>
      <c r="H85" s="486">
        <v>3.19089784400673E-2</v>
      </c>
      <c r="I85" s="490" t="s">
        <v>403</v>
      </c>
      <c r="J85" s="495">
        <v>3.2287700638686898E-2</v>
      </c>
      <c r="K85" s="490" t="s">
        <v>388</v>
      </c>
      <c r="L85" s="495">
        <v>3.3975069983626503E-2</v>
      </c>
      <c r="M85" s="475" t="s">
        <v>402</v>
      </c>
      <c r="N85" s="495">
        <v>3.45371623660456E-2</v>
      </c>
      <c r="O85" s="488" t="s">
        <v>396</v>
      </c>
      <c r="P85" s="489">
        <v>3.6999999999999998E-2</v>
      </c>
      <c r="Q85" s="488" t="s">
        <v>395</v>
      </c>
      <c r="R85" s="489">
        <v>3.3239682579330701E-2</v>
      </c>
      <c r="S85" s="499" t="s">
        <v>382</v>
      </c>
      <c r="T85" s="500">
        <v>3.4401599575794597E-2</v>
      </c>
      <c r="U85" s="497">
        <f t="shared" si="0"/>
        <v>40</v>
      </c>
    </row>
    <row r="86" spans="1:21">
      <c r="A86" s="480" t="s">
        <v>170</v>
      </c>
      <c r="B86" s="481">
        <v>1</v>
      </c>
      <c r="C86" s="482" t="s">
        <v>380</v>
      </c>
      <c r="D86" s="483">
        <v>0.162347723537456</v>
      </c>
      <c r="E86" s="482" t="s">
        <v>380</v>
      </c>
      <c r="F86" s="483">
        <v>0.162347723537456</v>
      </c>
      <c r="G86" s="482" t="s">
        <v>380</v>
      </c>
      <c r="H86" s="483">
        <v>0.15571924785302799</v>
      </c>
      <c r="I86" s="487" t="s">
        <v>380</v>
      </c>
      <c r="J86" s="492">
        <v>0.16086674378579699</v>
      </c>
      <c r="K86" s="487" t="s">
        <v>380</v>
      </c>
      <c r="L86" s="492">
        <v>0.16267659851306401</v>
      </c>
      <c r="M86" s="487" t="s">
        <v>380</v>
      </c>
      <c r="N86" s="492">
        <v>0.16684915181100601</v>
      </c>
      <c r="O86" s="493" t="s">
        <v>380</v>
      </c>
      <c r="P86" s="494">
        <v>0.16300000000000001</v>
      </c>
      <c r="Q86" s="493" t="s">
        <v>380</v>
      </c>
      <c r="R86" s="494">
        <v>0.15651001601928699</v>
      </c>
      <c r="S86" s="498" t="s">
        <v>380</v>
      </c>
      <c r="T86" s="489">
        <v>0.15293733497015699</v>
      </c>
      <c r="U86" s="497">
        <f t="shared" si="0"/>
        <v>41</v>
      </c>
    </row>
    <row r="87" spans="1:21">
      <c r="A87" s="484"/>
      <c r="B87" s="485">
        <v>2</v>
      </c>
      <c r="C87" s="484" t="s">
        <v>379</v>
      </c>
      <c r="D87" s="486">
        <v>7.2252123401959703E-2</v>
      </c>
      <c r="E87" s="484" t="s">
        <v>379</v>
      </c>
      <c r="F87" s="486">
        <v>7.2252123401959703E-2</v>
      </c>
      <c r="G87" s="484" t="s">
        <v>379</v>
      </c>
      <c r="H87" s="486">
        <v>7.6332454940391703E-2</v>
      </c>
      <c r="I87" s="490" t="s">
        <v>379</v>
      </c>
      <c r="J87" s="495">
        <v>8.2490195525209503E-2</v>
      </c>
      <c r="K87" s="490" t="s">
        <v>379</v>
      </c>
      <c r="L87" s="495">
        <v>8.7949113491799694E-2</v>
      </c>
      <c r="M87" s="475" t="s">
        <v>379</v>
      </c>
      <c r="N87" s="495">
        <v>8.9383474184467501E-2</v>
      </c>
      <c r="O87" s="488" t="s">
        <v>379</v>
      </c>
      <c r="P87" s="489">
        <v>9.1999999999999998E-2</v>
      </c>
      <c r="Q87" s="488" t="s">
        <v>379</v>
      </c>
      <c r="R87" s="489">
        <v>9.9674856064330894E-2</v>
      </c>
      <c r="S87" s="498" t="s">
        <v>379</v>
      </c>
      <c r="T87" s="489">
        <v>0.101132485408301</v>
      </c>
      <c r="U87" s="497">
        <f t="shared" si="0"/>
        <v>42</v>
      </c>
    </row>
    <row r="88" spans="1:21">
      <c r="A88" s="484"/>
      <c r="B88" s="485">
        <v>3</v>
      </c>
      <c r="C88" s="484" t="s">
        <v>381</v>
      </c>
      <c r="D88" s="486">
        <v>7.0304364735845004E-2</v>
      </c>
      <c r="E88" s="484" t="s">
        <v>381</v>
      </c>
      <c r="F88" s="486">
        <v>7.0304364735845004E-2</v>
      </c>
      <c r="G88" s="484" t="s">
        <v>381</v>
      </c>
      <c r="H88" s="486">
        <v>7.0977615601818297E-2</v>
      </c>
      <c r="I88" s="490" t="s">
        <v>381</v>
      </c>
      <c r="J88" s="495">
        <v>6.9277431368676506E-2</v>
      </c>
      <c r="K88" s="490" t="s">
        <v>381</v>
      </c>
      <c r="L88" s="495">
        <v>6.5093934925951502E-2</v>
      </c>
      <c r="M88" s="475" t="s">
        <v>378</v>
      </c>
      <c r="N88" s="495">
        <v>6.7605608996468697E-2</v>
      </c>
      <c r="O88" s="488" t="s">
        <v>378</v>
      </c>
      <c r="P88" s="489">
        <v>6.8000000000000005E-2</v>
      </c>
      <c r="Q88" s="488" t="s">
        <v>378</v>
      </c>
      <c r="R88" s="489">
        <v>7.1078050405240401E-2</v>
      </c>
      <c r="S88" s="498" t="s">
        <v>378</v>
      </c>
      <c r="T88" s="489">
        <v>7.3989883925740102E-2</v>
      </c>
      <c r="U88" s="497">
        <f t="shared" si="0"/>
        <v>43</v>
      </c>
    </row>
    <row r="89" spans="1:21">
      <c r="A89" s="484"/>
      <c r="B89" s="485">
        <v>4</v>
      </c>
      <c r="C89" s="484" t="s">
        <v>392</v>
      </c>
      <c r="D89" s="486">
        <v>6.1503381133401099E-2</v>
      </c>
      <c r="E89" s="484" t="s">
        <v>392</v>
      </c>
      <c r="F89" s="486">
        <v>6.1503381133401099E-2</v>
      </c>
      <c r="G89" s="484" t="s">
        <v>392</v>
      </c>
      <c r="H89" s="486">
        <v>5.8363849635591498E-2</v>
      </c>
      <c r="I89" s="490" t="s">
        <v>378</v>
      </c>
      <c r="J89" s="495">
        <v>6.4455604773862293E-2</v>
      </c>
      <c r="K89" s="490" t="s">
        <v>378</v>
      </c>
      <c r="L89" s="495">
        <v>6.4625183594271607E-2</v>
      </c>
      <c r="M89" s="475" t="s">
        <v>381</v>
      </c>
      <c r="N89" s="495">
        <v>6.2395242274713998E-2</v>
      </c>
      <c r="O89" s="488" t="s">
        <v>381</v>
      </c>
      <c r="P89" s="489">
        <v>6.3E-2</v>
      </c>
      <c r="Q89" s="488" t="s">
        <v>381</v>
      </c>
      <c r="R89" s="489">
        <v>6.1111199225998801E-2</v>
      </c>
      <c r="S89" s="498" t="s">
        <v>381</v>
      </c>
      <c r="T89" s="489">
        <v>6.2765499854004494E-2</v>
      </c>
      <c r="U89" s="497">
        <f t="shared" si="0"/>
        <v>44</v>
      </c>
    </row>
    <row r="90" spans="1:21">
      <c r="A90" s="484"/>
      <c r="B90" s="485">
        <v>5</v>
      </c>
      <c r="C90" s="484" t="s">
        <v>378</v>
      </c>
      <c r="D90" s="486">
        <v>5.7821144943355003E-2</v>
      </c>
      <c r="E90" s="484" t="s">
        <v>378</v>
      </c>
      <c r="F90" s="486">
        <v>5.7821144943355003E-2</v>
      </c>
      <c r="G90" s="484" t="s">
        <v>378</v>
      </c>
      <c r="H90" s="486">
        <v>5.77269876754214E-2</v>
      </c>
      <c r="I90" s="490" t="s">
        <v>392</v>
      </c>
      <c r="J90" s="495">
        <v>5.29808424794741E-2</v>
      </c>
      <c r="K90" s="490" t="s">
        <v>392</v>
      </c>
      <c r="L90" s="495">
        <v>5.4701859948465797E-2</v>
      </c>
      <c r="M90" s="475" t="s">
        <v>392</v>
      </c>
      <c r="N90" s="495">
        <v>5.2761200820742801E-2</v>
      </c>
      <c r="O90" s="488" t="s">
        <v>392</v>
      </c>
      <c r="P90" s="489">
        <v>5.2999999999999999E-2</v>
      </c>
      <c r="Q90" s="488" t="s">
        <v>392</v>
      </c>
      <c r="R90" s="489">
        <v>5.4475090802391803E-2</v>
      </c>
      <c r="S90" s="498" t="s">
        <v>392</v>
      </c>
      <c r="T90" s="489">
        <v>5.3971234179897798E-2</v>
      </c>
      <c r="U90" s="497">
        <f t="shared" si="0"/>
        <v>45</v>
      </c>
    </row>
    <row r="91" spans="1:21">
      <c r="A91" s="484"/>
      <c r="B91" s="485">
        <v>6</v>
      </c>
      <c r="C91" s="484" t="s">
        <v>393</v>
      </c>
      <c r="D91" s="486">
        <v>5.48195265158644E-2</v>
      </c>
      <c r="E91" s="484" t="s">
        <v>393</v>
      </c>
      <c r="F91" s="486">
        <v>5.48195265158644E-2</v>
      </c>
      <c r="G91" s="484" t="s">
        <v>393</v>
      </c>
      <c r="H91" s="486">
        <v>5.3860325774388401E-2</v>
      </c>
      <c r="I91" s="490" t="s">
        <v>393</v>
      </c>
      <c r="J91" s="495">
        <v>4.81928730637926E-2</v>
      </c>
      <c r="K91" s="490" t="s">
        <v>393</v>
      </c>
      <c r="L91" s="495">
        <v>4.8343887340588997E-2</v>
      </c>
      <c r="M91" s="475" t="s">
        <v>393</v>
      </c>
      <c r="N91" s="495">
        <v>4.7028329717877002E-2</v>
      </c>
      <c r="O91" s="488" t="s">
        <v>393</v>
      </c>
      <c r="P91" s="489">
        <v>0.05</v>
      </c>
      <c r="Q91" s="488" t="s">
        <v>382</v>
      </c>
      <c r="R91" s="489">
        <v>5.05162651271234E-2</v>
      </c>
      <c r="S91" s="498" t="s">
        <v>382</v>
      </c>
      <c r="T91" s="489">
        <v>5.2862924368059297E-2</v>
      </c>
      <c r="U91" s="497">
        <f t="shared" si="0"/>
        <v>46</v>
      </c>
    </row>
    <row r="92" spans="1:21">
      <c r="A92" s="484"/>
      <c r="B92" s="485">
        <v>7</v>
      </c>
      <c r="C92" s="484" t="s">
        <v>384</v>
      </c>
      <c r="D92" s="486">
        <v>4.6536063331953301E-2</v>
      </c>
      <c r="E92" s="484" t="s">
        <v>384</v>
      </c>
      <c r="F92" s="486">
        <v>4.6536063331953301E-2</v>
      </c>
      <c r="G92" s="484" t="s">
        <v>384</v>
      </c>
      <c r="H92" s="486">
        <v>4.6003528735146702E-2</v>
      </c>
      <c r="I92" s="490" t="s">
        <v>384</v>
      </c>
      <c r="J92" s="495">
        <v>4.6756764382247601E-2</v>
      </c>
      <c r="K92" s="490" t="s">
        <v>384</v>
      </c>
      <c r="L92" s="495">
        <v>4.5227401214207999E-2</v>
      </c>
      <c r="M92" s="475" t="s">
        <v>384</v>
      </c>
      <c r="N92" s="495">
        <v>4.4806218389218798E-2</v>
      </c>
      <c r="O92" s="488" t="s">
        <v>382</v>
      </c>
      <c r="P92" s="489">
        <v>4.8000000000000001E-2</v>
      </c>
      <c r="Q92" s="488" t="s">
        <v>393</v>
      </c>
      <c r="R92" s="489">
        <v>4.6922235086995799E-2</v>
      </c>
      <c r="S92" s="498" t="s">
        <v>393</v>
      </c>
      <c r="T92" s="489">
        <v>4.9098438633231101E-2</v>
      </c>
      <c r="U92" s="497">
        <f t="shared" si="0"/>
        <v>47</v>
      </c>
    </row>
    <row r="93" spans="1:21">
      <c r="A93" s="484"/>
      <c r="B93" s="485">
        <v>8</v>
      </c>
      <c r="C93" s="484" t="s">
        <v>382</v>
      </c>
      <c r="D93" s="486">
        <v>3.9802024916255799E-2</v>
      </c>
      <c r="E93" s="484" t="s">
        <v>382</v>
      </c>
      <c r="F93" s="486">
        <v>3.9802024916255799E-2</v>
      </c>
      <c r="G93" s="484" t="s">
        <v>382</v>
      </c>
      <c r="H93" s="486">
        <v>4.1613730223974001E-2</v>
      </c>
      <c r="I93" s="490" t="s">
        <v>382</v>
      </c>
      <c r="J93" s="495">
        <v>4.31058318991056E-2</v>
      </c>
      <c r="K93" s="490" t="s">
        <v>382</v>
      </c>
      <c r="L93" s="495">
        <v>4.28239852954128E-2</v>
      </c>
      <c r="M93" s="475" t="s">
        <v>382</v>
      </c>
      <c r="N93" s="495">
        <v>4.3902109684824199E-2</v>
      </c>
      <c r="O93" s="488" t="s">
        <v>384</v>
      </c>
      <c r="P93" s="489">
        <v>4.5999999999999999E-2</v>
      </c>
      <c r="Q93" s="488" t="s">
        <v>384</v>
      </c>
      <c r="R93" s="489">
        <v>4.6471791780995697E-2</v>
      </c>
      <c r="S93" s="498" t="s">
        <v>384</v>
      </c>
      <c r="T93" s="489">
        <v>4.4753110645739599E-2</v>
      </c>
      <c r="U93" s="497">
        <f t="shared" si="0"/>
        <v>48</v>
      </c>
    </row>
    <row r="94" spans="1:21">
      <c r="A94" s="484"/>
      <c r="B94" s="485">
        <v>9</v>
      </c>
      <c r="C94" s="484" t="s">
        <v>405</v>
      </c>
      <c r="D94" s="486">
        <v>3.9074359842924698E-2</v>
      </c>
      <c r="E94" s="484" t="s">
        <v>405</v>
      </c>
      <c r="F94" s="486">
        <v>3.9074359842924698E-2</v>
      </c>
      <c r="G94" s="484" t="s">
        <v>405</v>
      </c>
      <c r="H94" s="486">
        <v>3.6606565526922E-2</v>
      </c>
      <c r="I94" s="490" t="s">
        <v>389</v>
      </c>
      <c r="J94" s="495">
        <v>3.58434669751432E-2</v>
      </c>
      <c r="K94" s="490" t="s">
        <v>389</v>
      </c>
      <c r="L94" s="495">
        <v>3.4664871207020498E-2</v>
      </c>
      <c r="M94" s="475" t="s">
        <v>389</v>
      </c>
      <c r="N94" s="495">
        <v>3.2997032292532001E-2</v>
      </c>
      <c r="O94" s="488" t="s">
        <v>389</v>
      </c>
      <c r="P94" s="489">
        <v>3.2000000000000001E-2</v>
      </c>
      <c r="Q94" s="488" t="s">
        <v>389</v>
      </c>
      <c r="R94" s="489">
        <v>3.2292344049866001E-2</v>
      </c>
      <c r="S94" s="498" t="s">
        <v>389</v>
      </c>
      <c r="T94" s="489">
        <v>3.1403157898041802E-2</v>
      </c>
      <c r="U94" s="497">
        <f t="shared" si="0"/>
        <v>49</v>
      </c>
    </row>
    <row r="95" spans="1:21">
      <c r="A95" s="501"/>
      <c r="B95" s="502">
        <v>10</v>
      </c>
      <c r="C95" s="501" t="s">
        <v>389</v>
      </c>
      <c r="D95" s="503">
        <v>3.6772178102299699E-2</v>
      </c>
      <c r="E95" s="501" t="s">
        <v>389</v>
      </c>
      <c r="F95" s="503">
        <v>3.6772178102299699E-2</v>
      </c>
      <c r="G95" s="501" t="s">
        <v>389</v>
      </c>
      <c r="H95" s="503">
        <v>3.5693513430963802E-2</v>
      </c>
      <c r="I95" s="504" t="s">
        <v>405</v>
      </c>
      <c r="J95" s="505">
        <v>3.1473069435431503E-2</v>
      </c>
      <c r="K95" s="504" t="s">
        <v>405</v>
      </c>
      <c r="L95" s="505">
        <v>2.8886445700129802E-2</v>
      </c>
      <c r="M95" s="506" t="s">
        <v>405</v>
      </c>
      <c r="N95" s="505">
        <v>2.6172185741501201E-2</v>
      </c>
      <c r="O95" s="507" t="s">
        <v>405</v>
      </c>
      <c r="P95" s="500">
        <v>2.5999999999999999E-2</v>
      </c>
      <c r="Q95" s="507" t="s">
        <v>377</v>
      </c>
      <c r="R95" s="500">
        <v>2.6065441164808301E-2</v>
      </c>
      <c r="S95" s="499" t="s">
        <v>396</v>
      </c>
      <c r="T95" s="500">
        <v>2.4134780520120701E-2</v>
      </c>
      <c r="U95" s="497">
        <f t="shared" si="0"/>
        <v>50</v>
      </c>
    </row>
    <row r="97" spans="1:95" s="473" customFormat="1">
      <c r="A97" s="473" t="s">
        <v>406</v>
      </c>
      <c r="U97" s="508"/>
      <c r="V97" s="509" t="s">
        <v>186</v>
      </c>
      <c r="W97" s="509">
        <f>C45</f>
        <v>2016</v>
      </c>
      <c r="X97" s="509">
        <f t="shared" ref="X97:AE97" si="1">W97+1</f>
        <v>2017</v>
      </c>
      <c r="Y97" s="509">
        <f t="shared" si="1"/>
        <v>2018</v>
      </c>
      <c r="Z97" s="509">
        <f t="shared" si="1"/>
        <v>2019</v>
      </c>
      <c r="AA97" s="509">
        <f t="shared" si="1"/>
        <v>2020</v>
      </c>
      <c r="AB97" s="509">
        <f t="shared" si="1"/>
        <v>2021</v>
      </c>
      <c r="AC97" s="509">
        <f t="shared" si="1"/>
        <v>2022</v>
      </c>
      <c r="AD97" s="509">
        <f t="shared" si="1"/>
        <v>2023</v>
      </c>
      <c r="AE97" s="509">
        <f t="shared" si="1"/>
        <v>2024</v>
      </c>
      <c r="AF97" s="509"/>
      <c r="AG97" s="509"/>
      <c r="AH97" s="509"/>
      <c r="AI97" s="509"/>
      <c r="AJ97" s="509" t="s">
        <v>129</v>
      </c>
      <c r="AK97" s="509">
        <f>W97</f>
        <v>2016</v>
      </c>
      <c r="AL97" s="509">
        <f t="shared" ref="AL97:AS97" si="2">AK97+1</f>
        <v>2017</v>
      </c>
      <c r="AM97" s="509">
        <f t="shared" si="2"/>
        <v>2018</v>
      </c>
      <c r="AN97" s="509">
        <f t="shared" si="2"/>
        <v>2019</v>
      </c>
      <c r="AO97" s="509">
        <f t="shared" si="2"/>
        <v>2020</v>
      </c>
      <c r="AP97" s="509">
        <f t="shared" si="2"/>
        <v>2021</v>
      </c>
      <c r="AQ97" s="509">
        <f t="shared" si="2"/>
        <v>2022</v>
      </c>
      <c r="AR97" s="509">
        <f t="shared" si="2"/>
        <v>2023</v>
      </c>
      <c r="AS97" s="509">
        <f t="shared" si="2"/>
        <v>2024</v>
      </c>
      <c r="AT97" s="509"/>
      <c r="AU97" s="509"/>
      <c r="AV97" s="509"/>
      <c r="AW97" s="509"/>
      <c r="AX97" s="509" t="s">
        <v>146</v>
      </c>
      <c r="AY97" s="509">
        <f>AK97</f>
        <v>2016</v>
      </c>
      <c r="AZ97" s="509">
        <f t="shared" ref="AZ97:BG97" si="3">AY97+1</f>
        <v>2017</v>
      </c>
      <c r="BA97" s="509">
        <f t="shared" si="3"/>
        <v>2018</v>
      </c>
      <c r="BB97" s="509">
        <f t="shared" si="3"/>
        <v>2019</v>
      </c>
      <c r="BC97" s="509">
        <f t="shared" si="3"/>
        <v>2020</v>
      </c>
      <c r="BD97" s="509">
        <f t="shared" si="3"/>
        <v>2021</v>
      </c>
      <c r="BE97" s="509">
        <f t="shared" si="3"/>
        <v>2022</v>
      </c>
      <c r="BF97" s="509">
        <f t="shared" si="3"/>
        <v>2023</v>
      </c>
      <c r="BG97" s="509">
        <f t="shared" si="3"/>
        <v>2024</v>
      </c>
      <c r="BH97" s="509"/>
      <c r="BI97" s="509"/>
      <c r="BJ97" s="509"/>
      <c r="BK97" s="509"/>
      <c r="BL97" s="509" t="s">
        <v>156</v>
      </c>
      <c r="BM97" s="509">
        <f>AY97</f>
        <v>2016</v>
      </c>
      <c r="BN97" s="509">
        <f t="shared" ref="BN97:BU97" si="4">BM97+1</f>
        <v>2017</v>
      </c>
      <c r="BO97" s="509">
        <f t="shared" si="4"/>
        <v>2018</v>
      </c>
      <c r="BP97" s="509">
        <f t="shared" si="4"/>
        <v>2019</v>
      </c>
      <c r="BQ97" s="509">
        <f t="shared" si="4"/>
        <v>2020</v>
      </c>
      <c r="BR97" s="509">
        <f t="shared" si="4"/>
        <v>2021</v>
      </c>
      <c r="BS97" s="509">
        <f t="shared" si="4"/>
        <v>2022</v>
      </c>
      <c r="BT97" s="509">
        <f t="shared" si="4"/>
        <v>2023</v>
      </c>
      <c r="BU97" s="509">
        <f t="shared" si="4"/>
        <v>2024</v>
      </c>
      <c r="BV97" s="509"/>
      <c r="BW97" s="509"/>
      <c r="BX97" s="509"/>
      <c r="BY97" s="509"/>
      <c r="BZ97" s="509" t="s">
        <v>170</v>
      </c>
      <c r="CA97" s="509">
        <f>BM97</f>
        <v>2016</v>
      </c>
      <c r="CB97" s="509">
        <f t="shared" ref="CB97:CI97" si="5">CA97+1</f>
        <v>2017</v>
      </c>
      <c r="CC97" s="509">
        <f t="shared" si="5"/>
        <v>2018</v>
      </c>
      <c r="CD97" s="509">
        <f t="shared" si="5"/>
        <v>2019</v>
      </c>
      <c r="CE97" s="509">
        <f t="shared" si="5"/>
        <v>2020</v>
      </c>
      <c r="CF97" s="509">
        <f t="shared" si="5"/>
        <v>2021</v>
      </c>
      <c r="CG97" s="509">
        <f t="shared" si="5"/>
        <v>2022</v>
      </c>
      <c r="CH97" s="509">
        <f t="shared" si="5"/>
        <v>2023</v>
      </c>
      <c r="CI97" s="509">
        <f t="shared" si="5"/>
        <v>2024</v>
      </c>
      <c r="CJ97" s="509"/>
      <c r="CK97" s="509"/>
      <c r="CL97" s="509"/>
      <c r="CM97" s="513"/>
      <c r="CN97" s="513"/>
      <c r="CO97" s="513"/>
      <c r="CP97" s="513"/>
      <c r="CQ97" s="514"/>
    </row>
    <row r="98" spans="1:95" s="473" customFormat="1">
      <c r="A98" s="473" t="s">
        <v>407</v>
      </c>
      <c r="U98" s="510">
        <v>1</v>
      </c>
      <c r="V98" s="511" t="s">
        <v>381</v>
      </c>
      <c r="W98" s="511">
        <f>IF(1*ISERROR(VLOOKUP(V98,$C$46:$U$55,19,FALSE))=1,0,VLOOKUP(V98,$C$46:$U$55,19,FALSE))</f>
        <v>2</v>
      </c>
      <c r="X98" s="511">
        <f>IF(1*ISERROR(VLOOKUP(V98,$E$46:$U$55,17,FALSE))=1,0,VLOOKUP(V98,$E$46:$U$55,17,FALSE))</f>
        <v>2</v>
      </c>
      <c r="Y98" s="511">
        <f>IF(1*ISERROR(VLOOKUP(V98,$G$46:$U$55,15,FALSE))=1,0,VLOOKUP(V98,$G$46:$U$55,15,FALSE))</f>
        <v>3</v>
      </c>
      <c r="Z98" s="511">
        <f>IF(1*ISERROR(VLOOKUP(V98,$I$46:$U$55,13,FALSE))=1,0,VLOOKUP(V98,$I$46:$U$55,13,FALSE))</f>
        <v>3</v>
      </c>
      <c r="AA98" s="511">
        <f>IF(1*ISERROR(VLOOKUP(V98,$K$46:$U$55,11,FALSE))=1,0,VLOOKUP(V98,$K$46:$U$55,11,FALSE))</f>
        <v>3</v>
      </c>
      <c r="AB98" s="511">
        <f>IF(1*ISERROR(VLOOKUP(V98,$M$45:$U$54,9,FALSE))=1,0,VLOOKUP(V98,$M$45:$U$54,9,FALSE))</f>
        <v>4</v>
      </c>
      <c r="AC98" s="511">
        <f>IF(1*ISERROR(VLOOKUP(V98,$O$46:$U$55,7,FALSE))=1,0,VLOOKUP(V98,$O$46:$U$55,7,FALSE))</f>
        <v>4</v>
      </c>
      <c r="AD98" s="511">
        <f>IF(1*ISERROR(VLOOKUP(V98,$Q$46:$U$55,5,FALSE))=1,0,VLOOKUP(V98,$Q$46:$U$55,5,FALSE))</f>
        <v>6</v>
      </c>
      <c r="AE98" s="511">
        <f>IF(1*ISERROR(VLOOKUP(V98,$S$46:$U$55,3,FALSE))=1,0,VLOOKUP(V98,$S$46:$U$55,3,FALSE))</f>
        <v>6</v>
      </c>
      <c r="AF98" s="511">
        <f t="shared" ref="AF98:AF132" si="6">SUM(W98:AD98)</f>
        <v>27</v>
      </c>
      <c r="AG98" s="511">
        <f>IF(AF98=0,35,_xlfn.RANK.EQ(AF98,AF98:AF132))</f>
        <v>8</v>
      </c>
      <c r="AH98" s="512">
        <f>IF(AG98=35,35,AG98)</f>
        <v>8</v>
      </c>
      <c r="AI98" s="511">
        <f>_xlfn.RANK.EQ(AH98,AH$98:AH$132,1)</f>
        <v>8</v>
      </c>
      <c r="AJ98" s="511" t="s">
        <v>381</v>
      </c>
      <c r="AK98" s="511">
        <f>IF(1*ISERROR(VLOOKUP(AJ98,$C$56:$U$65,19,FALSE)-10)=1,0,VLOOKUP(AJ98,$C$56:$U$65,19,FALSE)-10)</f>
        <v>1</v>
      </c>
      <c r="AL98" s="511">
        <f>IF(1*ISERROR(VLOOKUP(AJ98,$E$56:$U$65,17,FALSE)-10)=1,0,VLOOKUP(AJ98,$E$56:$U$65,17,FALSE)-10)</f>
        <v>1</v>
      </c>
      <c r="AM98" s="511">
        <f>IF(1*ISERROR(VLOOKUP(AJ98,$G$56:$U$65,15,FALSE)-10)=1,0,VLOOKUP(AJ98,$G$56:$U$65,15,FALSE)-10)</f>
        <v>1</v>
      </c>
      <c r="AN98" s="511">
        <f>IF(1*ISERROR(VLOOKUP(AJ98,$I$56:$U$65,13,FALSE)-10)=1,0,VLOOKUP(AJ98,$I$56:$U$65,13,FALSE)-10)</f>
        <v>1</v>
      </c>
      <c r="AO98" s="511">
        <f>IF(1*ISERROR(VLOOKUP(AJ98,$K$56:$U$65,11,FALSE)-10)=1,0,VLOOKUP(AJ98,$K$56:$U$65,11,FALSE)-10)</f>
        <v>1</v>
      </c>
      <c r="AP98" s="511">
        <f>IF(1*ISERROR(VLOOKUP(AJ98,$M$56:$U$65,9,FALSE)-10)=1,0,VLOOKUP(AJ98,$M$56:$U$65,9,FALSE)-10)</f>
        <v>1</v>
      </c>
      <c r="AQ98" s="511">
        <f>IF(1*ISERROR(VLOOKUP(AJ98,$O$56:$U$65,7,FALSE)-10)=1,0,VLOOKUP(AJ98,$O$56:$U$65,7,FALSE)-10)</f>
        <v>1</v>
      </c>
      <c r="AR98" s="511">
        <f>IF(1*ISERROR(VLOOKUP(AJ98,$Q$56:$U$65,5,FALSE)-10)=1,0,VLOOKUP(AJ98,$Q$56:$U$65,5,FALSE)-10)</f>
        <v>1</v>
      </c>
      <c r="AS98" s="511">
        <f>IF(1*ISERROR(VLOOKUP(AJ98,$S$56:$U$65,3,FALSE)-10)=1,0,VLOOKUP(AJ98,$S$56:$U$65,3,FALSE)-10)</f>
        <v>1</v>
      </c>
      <c r="AT98" s="511">
        <f>SUM(AK98:AR98)</f>
        <v>8</v>
      </c>
      <c r="AU98" s="511">
        <f>IF(AT98=0,35,_xlfn.RANK.EQ(AT98,AT98:AT132))</f>
        <v>11</v>
      </c>
      <c r="AV98" s="512">
        <f>IF(AU98=35,35,AU98)</f>
        <v>11</v>
      </c>
      <c r="AW98" s="511">
        <f>_xlfn.RANK.EQ(AV98,AV$98:AV$132,1)</f>
        <v>11</v>
      </c>
      <c r="AX98" s="511" t="s">
        <v>381</v>
      </c>
      <c r="AY98" s="511">
        <f>IF(1*ISERROR(VLOOKUP(AX98,$C$66:$U$75,19,FALSE)-20)=1,0,VLOOKUP(AX98,$C$66:$U$75,19,FALSE)-20)</f>
        <v>1</v>
      </c>
      <c r="AZ98" s="511">
        <f>IF(1*ISERROR(VLOOKUP(AX98,$E$66:$U$75,17,FALSE)-20)=1,0,VLOOKUP(AX98,$E$66:$U$75,17,FALSE)-20)</f>
        <v>1</v>
      </c>
      <c r="BA98" s="511">
        <f>IF(1*ISERROR(VLOOKUP(AX98,$G$66:$U$75,15,FALSE)-20)=1,0,VLOOKUP(AX98,$G$66:$U$75,15,FALSE)-20)</f>
        <v>1</v>
      </c>
      <c r="BB98" s="511">
        <f>IF(1*ISERROR(VLOOKUP(AX98,$I$66:$U$75,13,FALSE)-20)=1,0,VLOOKUP(AX98,$I$66:$U$75,13,FALSE)-20)</f>
        <v>1</v>
      </c>
      <c r="BC98" s="511">
        <f>IF(1*ISERROR(VLOOKUP(AX98,$K$66:$U$75,11,FALSE)-20)=1,0,VLOOKUP(AX98,$K$66:$U$75,11,FALSE)-20)</f>
        <v>1</v>
      </c>
      <c r="BD98" s="511">
        <f>IF(1*ISERROR(VLOOKUP(AX98,$M$66:$U$75,9,FALSE)-20)=1,0,VLOOKUP(AX98,$M$66:$U$75,9,FALSE)-20)</f>
        <v>1</v>
      </c>
      <c r="BE98" s="511">
        <f>IF(1*ISERROR(VLOOKUP(AX98,$O$66:$U$75,7,FALSE)-20)=1,0,VLOOKUP(AX98,$O$66:$U$75,7,FALSE)-20)</f>
        <v>1</v>
      </c>
      <c r="BF98" s="511">
        <f>IF(1*ISERROR(VLOOKUP(AX98,$Q$66:$U$75,5,FALSE)-20)=1,0,VLOOKUP(AX98,$Q$66:$U$75,5,FALSE)-20)</f>
        <v>1</v>
      </c>
      <c r="BG98" s="511">
        <f>IF(1*ISERROR(VLOOKUP(AX98,$S$66:$U$75,3,FALSE)-20)=1,0,VLOOKUP(AX98,$S$66:$U$75,3,FALSE)-20)</f>
        <v>1</v>
      </c>
      <c r="BH98" s="511">
        <f>SUM(AY98:BF98)</f>
        <v>8</v>
      </c>
      <c r="BI98" s="511">
        <f>IF(BH98=0,35,_xlfn.RANK.EQ(BH98,BH98:BH132))</f>
        <v>12</v>
      </c>
      <c r="BJ98" s="512">
        <f>IF(BI98=35,35,BI98)</f>
        <v>12</v>
      </c>
      <c r="BK98" s="511">
        <f>_xlfn.RANK.EQ(BJ98,BJ$98:BJ$132,1)</f>
        <v>12</v>
      </c>
      <c r="BL98" s="511" t="s">
        <v>381</v>
      </c>
      <c r="BM98" s="511">
        <f>IF(1*ISERROR(VLOOKUP(BL98,$C$76:$U$85,19,FALSE)-30)=1,0,VLOOKUP(BL98,$C$76:$U$85,19,FALSE)-30)</f>
        <v>1</v>
      </c>
      <c r="BN98" s="511">
        <f>IF(1*ISERROR(VLOOKUP(BL98,$E$76:$U$85,17,FALSE)-30)=1,0,VLOOKUP(BL98,$E$76:$U$85,17,FALSE)-30)</f>
        <v>1</v>
      </c>
      <c r="BO98" s="511">
        <f>IF(1*ISERROR(VLOOKUP(BL98,$G$76:$U$85,15,FALSE)-30)=1,0,VLOOKUP(BL98,$G$76:$U$85,15,FALSE)-30)</f>
        <v>2</v>
      </c>
      <c r="BP98" s="511">
        <f>IF(1*ISERROR(VLOOKUP(BL98,$I$76:$U$85,13,FALSE)-30)=1,0,VLOOKUP(BL98,$I$76:$U$85,13,FALSE)-30)</f>
        <v>2</v>
      </c>
      <c r="BQ98" s="511">
        <f>IF(1*ISERROR(VLOOKUP(BL98,$K$76:$U$85,11,FALSE)-30)=1,0,VLOOKUP(BL98,$K$76:$U$85,11,FALSE)-30)</f>
        <v>3</v>
      </c>
      <c r="BR98" s="511">
        <f>IF(1*ISERROR(VLOOKUP(BL98,$M$76:$U$85,9,FALSE)-30)=1,0,VLOOKUP(BL98,$M$76:$U$85,9,FALSE)-30)</f>
        <v>4</v>
      </c>
      <c r="BS98" s="511">
        <f>IF(1*ISERROR(VLOOKUP(BL98,$O$76:$U$85,7,FALSE)-30)=1,0,VLOOKUP(BL98,$O$76:$U$85,7,FALSE)-30)</f>
        <v>4</v>
      </c>
      <c r="BT98" s="511">
        <f>IF(1*ISERROR(VLOOKUP(BL98,$Q$76:$U$85,5,FALSE)-30)=1,0,VLOOKUP(BL98,$Q$76:$U$85,5,FALSE)-30)</f>
        <v>3</v>
      </c>
      <c r="BU98" s="511">
        <f>IF(1*ISERROR(VLOOKUP(BL98,$S$76:$U$85,3,FALSE)-30)=1,0,VLOOKUP(BL98,$S$76:$U$85,3,FALSE)-30)</f>
        <v>3</v>
      </c>
      <c r="BV98" s="511">
        <f>SUM(BM98:BT98)</f>
        <v>20</v>
      </c>
      <c r="BW98" s="511">
        <f>IF(BV98=0,35,_xlfn.RANK.EQ(BV98,BV98:BV132))</f>
        <v>9</v>
      </c>
      <c r="BX98" s="512">
        <f>IF(BW98=35,35,BW98)</f>
        <v>9</v>
      </c>
      <c r="BY98" s="511">
        <f>_xlfn.RANK.EQ(BX98,BX$98:BX$132,1)</f>
        <v>9</v>
      </c>
      <c r="BZ98" s="511" t="s">
        <v>381</v>
      </c>
      <c r="CA98" s="511">
        <f>IF(1*ISERROR(VLOOKUP(BZ98,$C$86:$U$95,19,FALSE)-40)=1,0,VLOOKUP(BZ98,$C$86:$U$95,19,FALSE)-40)</f>
        <v>3</v>
      </c>
      <c r="CB98" s="511">
        <f>IF(1*ISERROR(VLOOKUP(BZ98,$E$86:$U$95,17,FALSE)-40)=1,0,VLOOKUP(BZ98,$E$86:$U$95,17,FALSE)-40)</f>
        <v>3</v>
      </c>
      <c r="CC98" s="511">
        <f>IF(1*ISERROR(VLOOKUP(BZ98,$G$86:$U$95,15,FALSE)-40)=1,0,VLOOKUP(BZ98,$G$86:$U$95,15,FALSE)-40)</f>
        <v>3</v>
      </c>
      <c r="CD98" s="511">
        <f>IF(1*ISERROR(VLOOKUP(BZ98,$I$86:$U$95,13,FALSE)-40)=1,0,VLOOKUP(BZ98,$I$86:$U$95,13,FALSE)-40)</f>
        <v>3</v>
      </c>
      <c r="CE98" s="511">
        <f>IF(1*ISERROR(VLOOKUP(BZ98,$K$86:$U$95,11,FALSE)-40)=1,0,VLOOKUP(BZ98,$K$86:$U$95,11,FALSE)-40)</f>
        <v>3</v>
      </c>
      <c r="CF98" s="511">
        <f>IF(1*ISERROR(VLOOKUP(BZ98,$M$86:$U$95,9,FALSE)-40)=1,0,VLOOKUP(BZ98,$M$86:$U$95,9,FALSE)-40)</f>
        <v>4</v>
      </c>
      <c r="CG98" s="511">
        <f>IF(1*ISERROR(VLOOKUP(BZ98,$O$86:$U$95,7,FALSE)-40)=1,0,VLOOKUP(BZ98,$O$86:$U$95,7,FALSE)-40)</f>
        <v>4</v>
      </c>
      <c r="CH98" s="511">
        <f>IF(1*ISERROR(VLOOKUP(BZ98,$Q$86:$U$95,5,FALSE)-40)=1,0,VLOOKUP(BZ98,$Q$86:$U$95,5,FALSE)-40)</f>
        <v>4</v>
      </c>
      <c r="CI98" s="511">
        <f>IF(1*ISERROR(VLOOKUP(BZ98,$S$86:$U$95,3,FALSE)-40)=1,0,VLOOKUP(BZ98,$S$86:$U$95,3,FALSE)-40)</f>
        <v>4</v>
      </c>
      <c r="CJ98" s="511">
        <f>SUM(CA98:CH98)</f>
        <v>27</v>
      </c>
      <c r="CK98" s="511">
        <f>IF(CJ98=0,35,_xlfn.RANK.EQ(CJ98,CJ98:CJ132))</f>
        <v>8</v>
      </c>
      <c r="CL98" s="512">
        <f>IF(CK98=35,35,CK98)</f>
        <v>8</v>
      </c>
      <c r="CM98" s="511">
        <f>_xlfn.RANK.EQ(CL98,CL$98:CL$132,1)</f>
        <v>8</v>
      </c>
      <c r="CN98" s="511" t="s">
        <v>381</v>
      </c>
      <c r="CO98" s="515"/>
      <c r="CP98" s="515"/>
      <c r="CQ98" s="516"/>
    </row>
    <row r="99" spans="1:95" s="473" customFormat="1">
      <c r="U99" s="510">
        <f t="shared" ref="U99:U162" si="7">U98+1</f>
        <v>2</v>
      </c>
      <c r="V99" s="511" t="s">
        <v>393</v>
      </c>
      <c r="W99" s="511">
        <f t="shared" ref="W99:W132" si="8">IF(1*ISERROR(VLOOKUP(V99,$C$46:$U$55,19,FALSE))=1,0,VLOOKUP(V99,$C$46:$U$55,19,FALSE))</f>
        <v>0</v>
      </c>
      <c r="X99" s="511">
        <f t="shared" ref="X99:X132" si="9">IF(1*ISERROR(VLOOKUP(V99,$E$46:$U$55,17,FALSE))=1,0,VLOOKUP(V99,$E$46:$U$55,17,FALSE))</f>
        <v>0</v>
      </c>
      <c r="Y99" s="511">
        <f t="shared" ref="Y99:Y132" si="10">IF(1*ISERROR(VLOOKUP(V99,$G$46:$U$55,15,FALSE))=1,0,VLOOKUP(V99,$G$46:$U$55,15,FALSE))</f>
        <v>0</v>
      </c>
      <c r="Z99" s="511">
        <f t="shared" ref="Z99:Z132" si="11">IF(1*ISERROR(VLOOKUP(V99,$I$46:$U$55,13,FALSE))=1,0,VLOOKUP(V99,$I$46:$U$55,13,FALSE))</f>
        <v>0</v>
      </c>
      <c r="AA99" s="511">
        <f t="shared" ref="AA99:AA132" si="12">IF(1*ISERROR(VLOOKUP(V99,$K$46:$U$55,11,FALSE))=1,0,VLOOKUP(V99,$K$46:$U$55,11,FALSE))</f>
        <v>0</v>
      </c>
      <c r="AB99" s="511">
        <f t="shared" ref="AB99:AB132" si="13">IF(1*ISERROR(VLOOKUP(V99,$M$45:$U$54,9,FALSE))=1,0,VLOOKUP(V99,$M$45:$U$54,9,FALSE))</f>
        <v>0</v>
      </c>
      <c r="AC99" s="511">
        <f t="shared" ref="AC99:AC132" si="14">IF(1*ISERROR(VLOOKUP(V99,$O$46:$U$55,7,FALSE))=1,0,VLOOKUP(V99,$O$46:$U$55,7,FALSE))</f>
        <v>0</v>
      </c>
      <c r="AD99" s="511">
        <f t="shared" ref="AD99:AD132" si="15">IF(1*ISERROR(VLOOKUP(V99,$Q$46:$U$55,5,FALSE))=1,0,VLOOKUP(V99,$Q$46:$U$55,5,FALSE))</f>
        <v>0</v>
      </c>
      <c r="AE99" s="511">
        <f t="shared" ref="AE99:AE132" si="16">IF(1*ISERROR(VLOOKUP(V99,$S$46:$U$55,3,FALSE))=1,0,VLOOKUP(V99,$S$46:$U$55,3,FALSE))</f>
        <v>0</v>
      </c>
      <c r="AF99" s="511">
        <f t="shared" si="6"/>
        <v>0</v>
      </c>
      <c r="AG99" s="511">
        <f>IF(AF99=0,35,_xlfn.RANK.EQ(AF99,AF98:AF132))</f>
        <v>35</v>
      </c>
      <c r="AH99" s="512">
        <f>IF(AG99=35,35,AG99+COUNTIF(AG$98:AG98,AG99)/COUNTIF(AG$98:AG$132,AG99))</f>
        <v>35</v>
      </c>
      <c r="AI99" s="511">
        <f t="shared" ref="AI99:AI132" si="17">_xlfn.RANK.EQ(AH99,AH$98:AH$132,1)</f>
        <v>14</v>
      </c>
      <c r="AJ99" s="511" t="s">
        <v>393</v>
      </c>
      <c r="AK99" s="511">
        <f t="shared" ref="AK99:AK132" si="18">IF(1*ISERROR(VLOOKUP(AJ99,$C$56:$U$65,19,FALSE)-10)=1,0,VLOOKUP(AJ99,$C$56:$U$65,19,FALSE)-10)</f>
        <v>9</v>
      </c>
      <c r="AL99" s="511">
        <f t="shared" ref="AL99:AL132" si="19">IF(1*ISERROR(VLOOKUP(AJ99,$E$56:$U$65,17,FALSE)-10)=1,0,VLOOKUP(AJ99,$E$56:$U$65,17,FALSE)-10)</f>
        <v>9</v>
      </c>
      <c r="AM99" s="511">
        <f t="shared" ref="AM99:AM132" si="20">IF(1*ISERROR(VLOOKUP(AJ99,$G$56:$U$65,15,FALSE)-10)=1,0,VLOOKUP(AJ99,$G$56:$U$65,15,FALSE)-10)</f>
        <v>9</v>
      </c>
      <c r="AN99" s="511">
        <f t="shared" ref="AN99:AN132" si="21">IF(1*ISERROR(VLOOKUP(AJ99,$I$56:$U$65,13,FALSE)-10)=1,0,VLOOKUP(AJ99,$I$56:$U$65,13,FALSE)-10)</f>
        <v>8</v>
      </c>
      <c r="AO99" s="511">
        <f t="shared" ref="AO99:AO132" si="22">IF(1*ISERROR(VLOOKUP(AJ99,$K$56:$U$65,11,FALSE)-10)=1,0,VLOOKUP(AJ99,$K$56:$U$65,11,FALSE)-10)</f>
        <v>9</v>
      </c>
      <c r="AP99" s="511">
        <f t="shared" ref="AP99:AP132" si="23">IF(1*ISERROR(VLOOKUP(AJ99,$M$56:$U$65,9,FALSE)-10)=1,0,VLOOKUP(AJ99,$M$56:$U$65,9,FALSE)-10)</f>
        <v>0</v>
      </c>
      <c r="AQ99" s="511">
        <f t="shared" ref="AQ99:AQ132" si="24">IF(1*ISERROR(VLOOKUP(AJ99,$O$56:$U$65,7,FALSE)-10)=1,0,VLOOKUP(AJ99,$O$56:$U$65,7,FALSE)-10)</f>
        <v>2</v>
      </c>
      <c r="AR99" s="511">
        <f t="shared" ref="AR99:AR132" si="25">IF(1*ISERROR(VLOOKUP(AJ99,$Q$56:$U$65,5,FALSE)-10)=1,0,VLOOKUP(AJ99,$Q$56:$U$65,5,FALSE)-10)</f>
        <v>0</v>
      </c>
      <c r="AS99" s="511">
        <f t="shared" ref="AS99:AS132" si="26">IF(1*ISERROR(VLOOKUP(AJ99,$S$56:$U$65,3,FALSE)-10)=1,0,VLOOKUP(AJ99,$S$56:$U$65,3,FALSE)-10)</f>
        <v>0</v>
      </c>
      <c r="AT99" s="511">
        <f t="shared" ref="AT99:AT132" si="27">SUM(AK99:AR99)</f>
        <v>46</v>
      </c>
      <c r="AU99" s="511">
        <f>IF(AT99=0,35,_xlfn.RANK.EQ(AT99,AT98:AT132))</f>
        <v>4</v>
      </c>
      <c r="AV99" s="512">
        <f>IF(AU99=35,35,AU99+COUNTIF(AU$98:AU98,AU99)/COUNTIF(AU$98:AU$132,AU99))</f>
        <v>4</v>
      </c>
      <c r="AW99" s="511">
        <f t="shared" ref="AW99:AW132" si="28">_xlfn.RANK.EQ(AV99,AV$98:AV$132,1)</f>
        <v>4</v>
      </c>
      <c r="AX99" s="511" t="s">
        <v>393</v>
      </c>
      <c r="AY99" s="511">
        <f t="shared" ref="AY99:AY132" si="29">IF(1*ISERROR(VLOOKUP(AX99,$C$66:$U$75,19,FALSE)-20)=1,0,VLOOKUP(AX99,$C$66:$U$75,19,FALSE)-20)</f>
        <v>9</v>
      </c>
      <c r="AZ99" s="511">
        <f t="shared" ref="AZ99:AZ132" si="30">IF(1*ISERROR(VLOOKUP(AX99,$E$66:$U$75,17,FALSE)-20)=1,0,VLOOKUP(AX99,$E$66:$U$75,17,FALSE)-20)</f>
        <v>9</v>
      </c>
      <c r="BA99" s="511">
        <f t="shared" ref="BA99:BA132" si="31">IF(1*ISERROR(VLOOKUP(AX99,$G$66:$U$75,15,FALSE)-20)=1,0,VLOOKUP(AX99,$G$66:$U$75,15,FALSE)-20)</f>
        <v>0</v>
      </c>
      <c r="BB99" s="511">
        <f t="shared" ref="BB99:BB132" si="32">IF(1*ISERROR(VLOOKUP(AX99,$I$66:$U$75,13,FALSE)-20)=1,0,VLOOKUP(AX99,$I$66:$U$75,13,FALSE)-20)</f>
        <v>10</v>
      </c>
      <c r="BC99" s="511">
        <f t="shared" ref="BC99:BC132" si="33">IF(1*ISERROR(VLOOKUP(AX99,$K$66:$U$75,11,FALSE)-20)=1,0,VLOOKUP(AX99,$K$66:$U$75,11,FALSE)-20)</f>
        <v>10</v>
      </c>
      <c r="BD99" s="511">
        <f t="shared" ref="BD99:BD132" si="34">IF(1*ISERROR(VLOOKUP(AX99,$M$66:$U$75,9,FALSE)-20)=1,0,VLOOKUP(AX99,$M$66:$U$75,9,FALSE)-20)</f>
        <v>0</v>
      </c>
      <c r="BE99" s="511">
        <f t="shared" ref="BE99:BE132" si="35">IF(1*ISERROR(VLOOKUP(AX99,$O$66:$U$75,7,FALSE)-20)=1,0,VLOOKUP(AX99,$O$66:$U$75,7,FALSE)-20)</f>
        <v>9</v>
      </c>
      <c r="BF99" s="511">
        <f t="shared" ref="BF99:BF132" si="36">IF(1*ISERROR(VLOOKUP(AX99,$Q$66:$U$75,5,FALSE)-20)=1,0,VLOOKUP(AX99,$Q$66:$U$75,5,FALSE)-20)</f>
        <v>9</v>
      </c>
      <c r="BG99" s="511">
        <f t="shared" ref="BG99:BG132" si="37">IF(1*ISERROR(VLOOKUP(AX99,$S$66:$U$75,3,FALSE)-20)=1,0,VLOOKUP(AX99,$S$66:$U$75,3,FALSE)-20)</f>
        <v>9</v>
      </c>
      <c r="BH99" s="511">
        <f t="shared" ref="BH99:BH132" si="38">SUM(AY99:BF99)</f>
        <v>56</v>
      </c>
      <c r="BI99" s="511">
        <f>IF(BH99=0,35,_xlfn.RANK.EQ(BH99,BH98:BH132))</f>
        <v>2</v>
      </c>
      <c r="BJ99" s="512">
        <f>IF(BI99=35,35,BI99+COUNTIF(BI$98:BI98,BI99)/COUNTIF(BI$98:BI$132,BI99))</f>
        <v>2</v>
      </c>
      <c r="BK99" s="511">
        <f t="shared" ref="BK99:BK132" si="39">_xlfn.RANK.EQ(BJ99,BJ$98:BJ$132,1)</f>
        <v>2</v>
      </c>
      <c r="BL99" s="511" t="s">
        <v>393</v>
      </c>
      <c r="BM99" s="511">
        <f t="shared" ref="BM99:BM132" si="40">IF(1*ISERROR(VLOOKUP(BL99,$C$76:$U$85,19,FALSE)-30)=1,0,VLOOKUP(BL99,$C$76:$U$85,19,FALSE)-30)</f>
        <v>0</v>
      </c>
      <c r="BN99" s="511">
        <f t="shared" ref="BN99:BN132" si="41">IF(1*ISERROR(VLOOKUP(BL99,$E$76:$U$85,17,FALSE)-30)=1,0,VLOOKUP(BL99,$E$76:$U$85,17,FALSE)-30)</f>
        <v>0</v>
      </c>
      <c r="BO99" s="511">
        <f t="shared" ref="BO99:BO132" si="42">IF(1*ISERROR(VLOOKUP(BL99,$G$76:$U$85,15,FALSE)-30)=1,0,VLOOKUP(BL99,$G$76:$U$85,15,FALSE)-30)</f>
        <v>0</v>
      </c>
      <c r="BP99" s="511">
        <f t="shared" ref="BP99:BP132" si="43">IF(1*ISERROR(VLOOKUP(BL99,$I$76:$U$85,13,FALSE)-30)=1,0,VLOOKUP(BL99,$I$76:$U$85,13,FALSE)-30)</f>
        <v>8</v>
      </c>
      <c r="BQ99" s="511">
        <f t="shared" ref="BQ99:BQ132" si="44">IF(1*ISERROR(VLOOKUP(BL99,$K$76:$U$85,11,FALSE)-30)=1,0,VLOOKUP(BL99,$K$76:$U$85,11,FALSE)-30)</f>
        <v>0</v>
      </c>
      <c r="BR99" s="511">
        <f t="shared" ref="BR99:BR132" si="45">IF(1*ISERROR(VLOOKUP(BL99,$M$76:$U$85,9,FALSE)-30)=1,0,VLOOKUP(BL99,$M$76:$U$85,9,FALSE)-30)</f>
        <v>0</v>
      </c>
      <c r="BS99" s="511">
        <f t="shared" ref="BS99:BS132" si="46">IF(1*ISERROR(VLOOKUP(BL99,$O$76:$U$85,7,FALSE)-30)=1,0,VLOOKUP(BL99,$O$76:$U$85,7,FALSE)-30)</f>
        <v>0</v>
      </c>
      <c r="BT99" s="511">
        <f t="shared" ref="BT99:BT132" si="47">IF(1*ISERROR(VLOOKUP(BL99,$Q$76:$U$85,5,FALSE)-30)=1,0,VLOOKUP(BL99,$Q$76:$U$85,5,FALSE)-30)</f>
        <v>0</v>
      </c>
      <c r="BU99" s="511">
        <f t="shared" ref="BU99:BU132" si="48">IF(1*ISERROR(VLOOKUP(BL99,$S$76:$U$85,3,FALSE)-30)=1,0,VLOOKUP(BL99,$S$76:$U$85,3,FALSE)-30)</f>
        <v>0</v>
      </c>
      <c r="BV99" s="511">
        <f t="shared" ref="BV99:BV132" si="49">SUM(BM99:BT99)</f>
        <v>8</v>
      </c>
      <c r="BW99" s="511">
        <f>IF(BV99=0,35,_xlfn.RANK.EQ(BV99,BV98:BV132))</f>
        <v>12</v>
      </c>
      <c r="BX99" s="512">
        <f>IF(BW99=35,35,BW99+COUNTIF(BW$98:BW98,BW99)/COUNTIF(BW$98:BW$132,BW99))</f>
        <v>12</v>
      </c>
      <c r="BY99" s="511">
        <f t="shared" ref="BY99:BY132" si="50">_xlfn.RANK.EQ(BX99,BX$98:BX$132,1)</f>
        <v>12</v>
      </c>
      <c r="BZ99" s="511" t="s">
        <v>393</v>
      </c>
      <c r="CA99" s="511">
        <f t="shared" ref="CA99:CA132" si="51">IF(1*ISERROR(VLOOKUP(BZ99,$C$86:$U$95,19,FALSE)-40)=1,0,VLOOKUP(BZ99,$C$86:$U$95,19,FALSE)-40)</f>
        <v>6</v>
      </c>
      <c r="CB99" s="511">
        <f t="shared" ref="CB99:CB132" si="52">IF(1*ISERROR(VLOOKUP(BZ99,$E$86:$U$95,17,FALSE)-40)=1,0,VLOOKUP(BZ99,$E$86:$U$95,17,FALSE)-40)</f>
        <v>6</v>
      </c>
      <c r="CC99" s="511">
        <f t="shared" ref="CC99:CC132" si="53">IF(1*ISERROR(VLOOKUP(BZ99,$G$86:$U$95,15,FALSE)-40)=1,0,VLOOKUP(BZ99,$G$86:$U$95,15,FALSE)-40)</f>
        <v>6</v>
      </c>
      <c r="CD99" s="511">
        <f t="shared" ref="CD99:CD132" si="54">IF(1*ISERROR(VLOOKUP(BZ99,$I$86:$U$95,13,FALSE)-40)=1,0,VLOOKUP(BZ99,$I$86:$U$95,13,FALSE)-40)</f>
        <v>6</v>
      </c>
      <c r="CE99" s="511">
        <f t="shared" ref="CE99:CE132" si="55">IF(1*ISERROR(VLOOKUP(BZ99,$K$86:$U$95,11,FALSE)-40)=1,0,VLOOKUP(BZ99,$K$86:$U$95,11,FALSE)-40)</f>
        <v>6</v>
      </c>
      <c r="CF99" s="511">
        <f t="shared" ref="CF99:CF132" si="56">IF(1*ISERROR(VLOOKUP(BZ99,$M$86:$U$95,9,FALSE)-40)=1,0,VLOOKUP(BZ99,$M$86:$U$95,9,FALSE)-40)</f>
        <v>6</v>
      </c>
      <c r="CG99" s="511">
        <f t="shared" ref="CG99:CG132" si="57">IF(1*ISERROR(VLOOKUP(BZ99,$O$86:$U$95,7,FALSE)-40)=1,0,VLOOKUP(BZ99,$O$86:$U$95,7,FALSE)-40)</f>
        <v>6</v>
      </c>
      <c r="CH99" s="511">
        <f t="shared" ref="CH99:CH132" si="58">IF(1*ISERROR(VLOOKUP(BZ99,$Q$86:$U$95,5,FALSE)-40)=1,0,VLOOKUP(BZ99,$Q$86:$U$95,5,FALSE)-40)</f>
        <v>7</v>
      </c>
      <c r="CI99" s="511">
        <f t="shared" ref="CI99:CI132" si="59">IF(1*ISERROR(VLOOKUP(BZ99,$S$86:$U$95,3,FALSE)-40)=1,0,VLOOKUP(BZ99,$S$86:$U$95,3,FALSE)-40)</f>
        <v>7</v>
      </c>
      <c r="CJ99" s="511">
        <f t="shared" ref="CJ99:CJ132" si="60">SUM(CA99:CH99)</f>
        <v>49</v>
      </c>
      <c r="CK99" s="511">
        <f>IF(CJ99=0,35,_xlfn.RANK.EQ(CJ99,CJ98:CJ132))</f>
        <v>5</v>
      </c>
      <c r="CL99" s="512">
        <f>IF(CK99=35,35,CK99+COUNTIF(CK$98:CK98,CK99)/COUNTIF(CK$98:CK$132,CK99))</f>
        <v>5</v>
      </c>
      <c r="CM99" s="511">
        <f t="shared" ref="CM99:CM132" si="61">_xlfn.RANK.EQ(CL99,CL$98:CL$132,1)</f>
        <v>5</v>
      </c>
      <c r="CN99" s="511" t="s">
        <v>393</v>
      </c>
      <c r="CO99" s="515"/>
      <c r="CP99" s="515"/>
      <c r="CQ99" s="516"/>
    </row>
    <row r="100" spans="1:95" s="473" customFormat="1">
      <c r="U100" s="510">
        <f t="shared" si="7"/>
        <v>3</v>
      </c>
      <c r="V100" s="511" t="s">
        <v>405</v>
      </c>
      <c r="W100" s="511">
        <f t="shared" si="8"/>
        <v>0</v>
      </c>
      <c r="X100" s="511">
        <f t="shared" si="9"/>
        <v>0</v>
      </c>
      <c r="Y100" s="511">
        <f t="shared" si="10"/>
        <v>10</v>
      </c>
      <c r="Z100" s="511">
        <f t="shared" si="11"/>
        <v>9</v>
      </c>
      <c r="AA100" s="511">
        <f t="shared" si="12"/>
        <v>0</v>
      </c>
      <c r="AB100" s="511">
        <f t="shared" si="13"/>
        <v>0</v>
      </c>
      <c r="AC100" s="511">
        <f t="shared" si="14"/>
        <v>0</v>
      </c>
      <c r="AD100" s="511">
        <f t="shared" si="15"/>
        <v>0</v>
      </c>
      <c r="AE100" s="511">
        <f t="shared" si="16"/>
        <v>0</v>
      </c>
      <c r="AF100" s="511">
        <f t="shared" si="6"/>
        <v>19</v>
      </c>
      <c r="AG100" s="511">
        <f>IF(AF100=0,35,_xlfn.RANK.EQ(AF100,AF98:AF132))</f>
        <v>10</v>
      </c>
      <c r="AH100" s="512">
        <f>IF(AG100=35,35,AG100+COUNTIF(AG$98:AG99,AG100)/COUNTIF(AG$98:AG$132,AG100))</f>
        <v>10</v>
      </c>
      <c r="AI100" s="511">
        <f t="shared" si="17"/>
        <v>10</v>
      </c>
      <c r="AJ100" s="511" t="s">
        <v>405</v>
      </c>
      <c r="AK100" s="511">
        <f t="shared" si="18"/>
        <v>0</v>
      </c>
      <c r="AL100" s="511">
        <f t="shared" si="19"/>
        <v>0</v>
      </c>
      <c r="AM100" s="511">
        <f t="shared" si="20"/>
        <v>0</v>
      </c>
      <c r="AN100" s="511">
        <f t="shared" si="21"/>
        <v>0</v>
      </c>
      <c r="AO100" s="511">
        <f t="shared" si="22"/>
        <v>0</v>
      </c>
      <c r="AP100" s="511">
        <f t="shared" si="23"/>
        <v>0</v>
      </c>
      <c r="AQ100" s="511">
        <f t="shared" si="24"/>
        <v>0</v>
      </c>
      <c r="AR100" s="511">
        <f t="shared" si="25"/>
        <v>0</v>
      </c>
      <c r="AS100" s="511">
        <f t="shared" si="26"/>
        <v>0</v>
      </c>
      <c r="AT100" s="511">
        <f t="shared" si="27"/>
        <v>0</v>
      </c>
      <c r="AU100" s="511">
        <f>IF(AT100=0,35,_xlfn.RANK.EQ(AT100,AT98:AT132))</f>
        <v>35</v>
      </c>
      <c r="AV100" s="512">
        <f>IF(AU100=35,35,AU100+COUNTIF(AU$98:AU99,AU100)/COUNTIF(AU$98:AU$132,AU100))</f>
        <v>35</v>
      </c>
      <c r="AW100" s="511">
        <f t="shared" si="28"/>
        <v>13</v>
      </c>
      <c r="AX100" s="511" t="s">
        <v>405</v>
      </c>
      <c r="AY100" s="511">
        <f t="shared" si="29"/>
        <v>0</v>
      </c>
      <c r="AZ100" s="511">
        <f t="shared" si="30"/>
        <v>0</v>
      </c>
      <c r="BA100" s="511">
        <f t="shared" si="31"/>
        <v>0</v>
      </c>
      <c r="BB100" s="511">
        <f t="shared" si="32"/>
        <v>0</v>
      </c>
      <c r="BC100" s="511">
        <f t="shared" si="33"/>
        <v>0</v>
      </c>
      <c r="BD100" s="511">
        <f t="shared" si="34"/>
        <v>0</v>
      </c>
      <c r="BE100" s="511">
        <f t="shared" si="35"/>
        <v>0</v>
      </c>
      <c r="BF100" s="511">
        <f t="shared" si="36"/>
        <v>0</v>
      </c>
      <c r="BG100" s="511">
        <f t="shared" si="37"/>
        <v>0</v>
      </c>
      <c r="BH100" s="511">
        <f t="shared" si="38"/>
        <v>0</v>
      </c>
      <c r="BI100" s="511">
        <f>IF(BH100=0,35,_xlfn.RANK.EQ(BH100,BH98:BH132))</f>
        <v>35</v>
      </c>
      <c r="BJ100" s="512">
        <f>IF(BI100=35,35,BI100+COUNTIF(BI$98:BI99,BI100)/COUNTIF(BI$98:BI$132,BI100))</f>
        <v>35</v>
      </c>
      <c r="BK100" s="511">
        <f t="shared" si="39"/>
        <v>13</v>
      </c>
      <c r="BL100" s="511" t="s">
        <v>405</v>
      </c>
      <c r="BM100" s="511">
        <f t="shared" si="40"/>
        <v>0</v>
      </c>
      <c r="BN100" s="511">
        <f t="shared" si="41"/>
        <v>0</v>
      </c>
      <c r="BO100" s="511">
        <f t="shared" si="42"/>
        <v>0</v>
      </c>
      <c r="BP100" s="511">
        <f t="shared" si="43"/>
        <v>0</v>
      </c>
      <c r="BQ100" s="511">
        <f t="shared" si="44"/>
        <v>0</v>
      </c>
      <c r="BR100" s="511">
        <f t="shared" si="45"/>
        <v>0</v>
      </c>
      <c r="BS100" s="511">
        <f t="shared" si="46"/>
        <v>0</v>
      </c>
      <c r="BT100" s="511">
        <f t="shared" si="47"/>
        <v>0</v>
      </c>
      <c r="BU100" s="511">
        <f t="shared" si="48"/>
        <v>0</v>
      </c>
      <c r="BV100" s="511">
        <f t="shared" si="49"/>
        <v>0</v>
      </c>
      <c r="BW100" s="511">
        <f>IF(BV100=0,35,_xlfn.RANK.EQ(BV100,BV98:BV132))</f>
        <v>35</v>
      </c>
      <c r="BX100" s="512">
        <f>IF(BW100=35,35,BW100+COUNTIF(BW$98:BW99,BW100)/COUNTIF(BW$98:BW$132,BW100))</f>
        <v>35</v>
      </c>
      <c r="BY100" s="511">
        <f t="shared" si="50"/>
        <v>13</v>
      </c>
      <c r="BZ100" s="511" t="s">
        <v>405</v>
      </c>
      <c r="CA100" s="511">
        <f t="shared" si="51"/>
        <v>9</v>
      </c>
      <c r="CB100" s="511">
        <f t="shared" si="52"/>
        <v>9</v>
      </c>
      <c r="CC100" s="511">
        <f t="shared" si="53"/>
        <v>9</v>
      </c>
      <c r="CD100" s="511">
        <f t="shared" si="54"/>
        <v>10</v>
      </c>
      <c r="CE100" s="511">
        <f t="shared" si="55"/>
        <v>10</v>
      </c>
      <c r="CF100" s="511">
        <f t="shared" si="56"/>
        <v>10</v>
      </c>
      <c r="CG100" s="511">
        <f t="shared" si="57"/>
        <v>10</v>
      </c>
      <c r="CH100" s="511">
        <f t="shared" si="58"/>
        <v>0</v>
      </c>
      <c r="CI100" s="511">
        <f t="shared" si="59"/>
        <v>0</v>
      </c>
      <c r="CJ100" s="511">
        <f t="shared" si="60"/>
        <v>67</v>
      </c>
      <c r="CK100" s="511">
        <f>IF(CJ100=0,35,_xlfn.RANK.EQ(CJ100,CJ98:CJ132))</f>
        <v>2</v>
      </c>
      <c r="CL100" s="512">
        <f>IF(CK100=35,35,CK100+COUNTIF(CK$98:CK99,CK100)/COUNTIF(CK$98:CK$132,CK100))</f>
        <v>2</v>
      </c>
      <c r="CM100" s="511">
        <f t="shared" si="61"/>
        <v>2</v>
      </c>
      <c r="CN100" s="511" t="s">
        <v>405</v>
      </c>
      <c r="CO100" s="515"/>
      <c r="CP100" s="515"/>
      <c r="CQ100" s="516"/>
    </row>
    <row r="101" spans="1:95" s="473" customFormat="1">
      <c r="U101" s="510">
        <f t="shared" si="7"/>
        <v>4</v>
      </c>
      <c r="V101" s="511" t="s">
        <v>379</v>
      </c>
      <c r="W101" s="511">
        <f t="shared" si="8"/>
        <v>3</v>
      </c>
      <c r="X101" s="511">
        <f t="shared" si="9"/>
        <v>3</v>
      </c>
      <c r="Y101" s="511">
        <f t="shared" si="10"/>
        <v>1</v>
      </c>
      <c r="Z101" s="511">
        <f t="shared" si="11"/>
        <v>1</v>
      </c>
      <c r="AA101" s="511">
        <f t="shared" si="12"/>
        <v>1</v>
      </c>
      <c r="AB101" s="511">
        <f t="shared" si="13"/>
        <v>1</v>
      </c>
      <c r="AC101" s="511">
        <f t="shared" si="14"/>
        <v>1</v>
      </c>
      <c r="AD101" s="511">
        <f t="shared" si="15"/>
        <v>2</v>
      </c>
      <c r="AE101" s="511">
        <f t="shared" si="16"/>
        <v>2</v>
      </c>
      <c r="AF101" s="511">
        <f t="shared" si="6"/>
        <v>13</v>
      </c>
      <c r="AG101" s="511">
        <f>IF(AF101=0,35,_xlfn.RANK.EQ(AF101,AF98:AF132))</f>
        <v>11</v>
      </c>
      <c r="AH101" s="512">
        <f>IF(AG101=35,35,AG101+COUNTIF(AG$98:AG100,AG101)/COUNTIF(AG$98:AG$132,AG101))</f>
        <v>11</v>
      </c>
      <c r="AI101" s="511">
        <f t="shared" si="17"/>
        <v>11</v>
      </c>
      <c r="AJ101" s="511" t="s">
        <v>379</v>
      </c>
      <c r="AK101" s="511">
        <f t="shared" si="18"/>
        <v>0</v>
      </c>
      <c r="AL101" s="511">
        <f t="shared" si="19"/>
        <v>0</v>
      </c>
      <c r="AM101" s="511">
        <f t="shared" si="20"/>
        <v>0</v>
      </c>
      <c r="AN101" s="511">
        <f t="shared" si="21"/>
        <v>0</v>
      </c>
      <c r="AO101" s="511">
        <f t="shared" si="22"/>
        <v>0</v>
      </c>
      <c r="AP101" s="511">
        <f t="shared" si="23"/>
        <v>0</v>
      </c>
      <c r="AQ101" s="511">
        <f t="shared" si="24"/>
        <v>3</v>
      </c>
      <c r="AR101" s="511">
        <f t="shared" si="25"/>
        <v>0</v>
      </c>
      <c r="AS101" s="511">
        <f t="shared" si="26"/>
        <v>10</v>
      </c>
      <c r="AT101" s="511">
        <f t="shared" si="27"/>
        <v>3</v>
      </c>
      <c r="AU101" s="511">
        <f>IF(AT101=0,35,_xlfn.RANK.EQ(AT101,AT98:AT132))</f>
        <v>12</v>
      </c>
      <c r="AV101" s="512">
        <f>IF(AU101=35,35,AU101+COUNTIF(AU$98:AU100,AU101)/COUNTIF(AU$98:AU$132,AU101))</f>
        <v>12</v>
      </c>
      <c r="AW101" s="511">
        <f t="shared" si="28"/>
        <v>12</v>
      </c>
      <c r="AX101" s="511" t="s">
        <v>379</v>
      </c>
      <c r="AY101" s="511">
        <f t="shared" si="29"/>
        <v>7</v>
      </c>
      <c r="AZ101" s="511">
        <f t="shared" si="30"/>
        <v>7</v>
      </c>
      <c r="BA101" s="511">
        <f t="shared" si="31"/>
        <v>8</v>
      </c>
      <c r="BB101" s="511">
        <f t="shared" si="32"/>
        <v>7</v>
      </c>
      <c r="BC101" s="511">
        <f t="shared" si="33"/>
        <v>7</v>
      </c>
      <c r="BD101" s="511">
        <f t="shared" si="34"/>
        <v>7</v>
      </c>
      <c r="BE101" s="511">
        <f t="shared" si="35"/>
        <v>7</v>
      </c>
      <c r="BF101" s="511">
        <f t="shared" si="36"/>
        <v>10</v>
      </c>
      <c r="BG101" s="511">
        <f t="shared" si="37"/>
        <v>10</v>
      </c>
      <c r="BH101" s="511">
        <f t="shared" si="38"/>
        <v>60</v>
      </c>
      <c r="BI101" s="511">
        <f>IF(BH101=0,35,_xlfn.RANK.EQ(BH101,BH98:BH132))</f>
        <v>1</v>
      </c>
      <c r="BJ101" s="512">
        <f>IF(BI101=35,35,BI101+COUNTIF(BI$98:BI100,BI101)/COUNTIF(BI$98:BI$132,BI101))</f>
        <v>1</v>
      </c>
      <c r="BK101" s="511">
        <f t="shared" si="39"/>
        <v>1</v>
      </c>
      <c r="BL101" s="511" t="s">
        <v>379</v>
      </c>
      <c r="BM101" s="511">
        <f t="shared" si="40"/>
        <v>5</v>
      </c>
      <c r="BN101" s="511">
        <f t="shared" si="41"/>
        <v>5</v>
      </c>
      <c r="BO101" s="511">
        <f t="shared" si="42"/>
        <v>4</v>
      </c>
      <c r="BP101" s="511">
        <f t="shared" si="43"/>
        <v>4</v>
      </c>
      <c r="BQ101" s="511">
        <f t="shared" si="44"/>
        <v>4</v>
      </c>
      <c r="BR101" s="511">
        <f t="shared" si="45"/>
        <v>3</v>
      </c>
      <c r="BS101" s="511">
        <f t="shared" si="46"/>
        <v>3</v>
      </c>
      <c r="BT101" s="511">
        <f t="shared" si="47"/>
        <v>4</v>
      </c>
      <c r="BU101" s="511">
        <f t="shared" si="48"/>
        <v>4</v>
      </c>
      <c r="BV101" s="511">
        <f t="shared" si="49"/>
        <v>32</v>
      </c>
      <c r="BW101" s="511">
        <f>IF(BV101=0,35,_xlfn.RANK.EQ(BV101,BV98:BV132))</f>
        <v>8</v>
      </c>
      <c r="BX101" s="512">
        <f>IF(BW101=35,35,BW101+COUNTIF(BW$98:BW100,BW101)/COUNTIF(BW$98:BW$132,BW101))</f>
        <v>8</v>
      </c>
      <c r="BY101" s="511">
        <f t="shared" si="50"/>
        <v>8</v>
      </c>
      <c r="BZ101" s="511" t="s">
        <v>379</v>
      </c>
      <c r="CA101" s="511">
        <f t="shared" si="51"/>
        <v>2</v>
      </c>
      <c r="CB101" s="511">
        <f t="shared" si="52"/>
        <v>2</v>
      </c>
      <c r="CC101" s="511">
        <f t="shared" si="53"/>
        <v>2</v>
      </c>
      <c r="CD101" s="511">
        <f t="shared" si="54"/>
        <v>2</v>
      </c>
      <c r="CE101" s="511">
        <f t="shared" si="55"/>
        <v>2</v>
      </c>
      <c r="CF101" s="511">
        <f t="shared" si="56"/>
        <v>2</v>
      </c>
      <c r="CG101" s="511">
        <f t="shared" si="57"/>
        <v>2</v>
      </c>
      <c r="CH101" s="511">
        <f t="shared" si="58"/>
        <v>2</v>
      </c>
      <c r="CI101" s="511">
        <f t="shared" si="59"/>
        <v>2</v>
      </c>
      <c r="CJ101" s="511">
        <f t="shared" si="60"/>
        <v>16</v>
      </c>
      <c r="CK101" s="511">
        <f>IF(CJ101=0,35,_xlfn.RANK.EQ(CJ101,CJ98:CJ132))</f>
        <v>9</v>
      </c>
      <c r="CL101" s="512">
        <f>IF(CK101=35,35,CK101+COUNTIF(CK$98:CK100,CK101)/COUNTIF(CK$98:CK$132,CK101))</f>
        <v>9</v>
      </c>
      <c r="CM101" s="511">
        <f t="shared" si="61"/>
        <v>9</v>
      </c>
      <c r="CN101" s="511" t="s">
        <v>379</v>
      </c>
      <c r="CO101" s="515"/>
      <c r="CP101" s="515"/>
      <c r="CQ101" s="516"/>
    </row>
    <row r="102" spans="1:95" s="473" customFormat="1">
      <c r="U102" s="510">
        <f t="shared" si="7"/>
        <v>5</v>
      </c>
      <c r="V102" s="511" t="s">
        <v>397</v>
      </c>
      <c r="W102" s="511">
        <f t="shared" si="8"/>
        <v>0</v>
      </c>
      <c r="X102" s="511">
        <f t="shared" si="9"/>
        <v>0</v>
      </c>
      <c r="Y102" s="511">
        <f t="shared" si="10"/>
        <v>0</v>
      </c>
      <c r="Z102" s="511">
        <f t="shared" si="11"/>
        <v>0</v>
      </c>
      <c r="AA102" s="511">
        <f t="shared" si="12"/>
        <v>0</v>
      </c>
      <c r="AB102" s="511">
        <f t="shared" si="13"/>
        <v>0</v>
      </c>
      <c r="AC102" s="511">
        <f t="shared" si="14"/>
        <v>0</v>
      </c>
      <c r="AD102" s="511">
        <f t="shared" si="15"/>
        <v>0</v>
      </c>
      <c r="AE102" s="511">
        <f t="shared" si="16"/>
        <v>0</v>
      </c>
      <c r="AF102" s="511">
        <f t="shared" si="6"/>
        <v>0</v>
      </c>
      <c r="AG102" s="511">
        <f>IF(AF102=0,35,_xlfn.RANK.EQ(AF102,AF98:AF132))</f>
        <v>35</v>
      </c>
      <c r="AH102" s="512">
        <f>IF(AG102=35,35,AG102+COUNTIF(AG$98:AG101,AG102)/COUNTIF(AG$98:AG$132,AG102))</f>
        <v>35</v>
      </c>
      <c r="AI102" s="511">
        <f t="shared" si="17"/>
        <v>14</v>
      </c>
      <c r="AJ102" s="511" t="s">
        <v>397</v>
      </c>
      <c r="AK102" s="511">
        <f t="shared" si="18"/>
        <v>0</v>
      </c>
      <c r="AL102" s="511">
        <f t="shared" si="19"/>
        <v>0</v>
      </c>
      <c r="AM102" s="511">
        <f t="shared" si="20"/>
        <v>0</v>
      </c>
      <c r="AN102" s="511">
        <f t="shared" si="21"/>
        <v>0</v>
      </c>
      <c r="AO102" s="511">
        <f t="shared" si="22"/>
        <v>0</v>
      </c>
      <c r="AP102" s="511">
        <f t="shared" si="23"/>
        <v>0</v>
      </c>
      <c r="AQ102" s="511">
        <f t="shared" si="24"/>
        <v>0</v>
      </c>
      <c r="AR102" s="511">
        <f t="shared" si="25"/>
        <v>0</v>
      </c>
      <c r="AS102" s="511">
        <f t="shared" si="26"/>
        <v>0</v>
      </c>
      <c r="AT102" s="511">
        <f t="shared" si="27"/>
        <v>0</v>
      </c>
      <c r="AU102" s="511">
        <f>IF(AT102=0,35,_xlfn.RANK.EQ(AT102,AT98:AT132))</f>
        <v>35</v>
      </c>
      <c r="AV102" s="512">
        <f>IF(AU102=35,35,AU102+COUNTIF(AU$98:AU101,AU102)/COUNTIF(AU$98:AU$132,AU102))</f>
        <v>35</v>
      </c>
      <c r="AW102" s="511">
        <f t="shared" si="28"/>
        <v>13</v>
      </c>
      <c r="AX102" s="511" t="s">
        <v>397</v>
      </c>
      <c r="AY102" s="511">
        <f t="shared" si="29"/>
        <v>0</v>
      </c>
      <c r="AZ102" s="511">
        <f t="shared" si="30"/>
        <v>0</v>
      </c>
      <c r="BA102" s="511">
        <f t="shared" si="31"/>
        <v>0</v>
      </c>
      <c r="BB102" s="511">
        <f t="shared" si="32"/>
        <v>0</v>
      </c>
      <c r="BC102" s="511">
        <f t="shared" si="33"/>
        <v>0</v>
      </c>
      <c r="BD102" s="511">
        <f t="shared" si="34"/>
        <v>0</v>
      </c>
      <c r="BE102" s="511">
        <f t="shared" si="35"/>
        <v>0</v>
      </c>
      <c r="BF102" s="511">
        <f t="shared" si="36"/>
        <v>0</v>
      </c>
      <c r="BG102" s="511">
        <f t="shared" si="37"/>
        <v>0</v>
      </c>
      <c r="BH102" s="511">
        <f t="shared" si="38"/>
        <v>0</v>
      </c>
      <c r="BI102" s="511">
        <f>IF(BH102=0,35,_xlfn.RANK.EQ(BH102,BH98:BH132))</f>
        <v>35</v>
      </c>
      <c r="BJ102" s="512">
        <f>IF(BI102=35,35,BI102+COUNTIF(BI$98:BI101,BI102)/COUNTIF(BI$98:BI$132,BI102))</f>
        <v>35</v>
      </c>
      <c r="BK102" s="511">
        <f t="shared" si="39"/>
        <v>13</v>
      </c>
      <c r="BL102" s="511" t="s">
        <v>397</v>
      </c>
      <c r="BM102" s="511">
        <f t="shared" si="40"/>
        <v>0</v>
      </c>
      <c r="BN102" s="511">
        <f t="shared" si="41"/>
        <v>0</v>
      </c>
      <c r="BO102" s="511">
        <f t="shared" si="42"/>
        <v>0</v>
      </c>
      <c r="BP102" s="511">
        <f t="shared" si="43"/>
        <v>0</v>
      </c>
      <c r="BQ102" s="511">
        <f t="shared" si="44"/>
        <v>0</v>
      </c>
      <c r="BR102" s="511">
        <f t="shared" si="45"/>
        <v>0</v>
      </c>
      <c r="BS102" s="511">
        <f t="shared" si="46"/>
        <v>0</v>
      </c>
      <c r="BT102" s="511">
        <f t="shared" si="47"/>
        <v>0</v>
      </c>
      <c r="BU102" s="511">
        <f t="shared" si="48"/>
        <v>0</v>
      </c>
      <c r="BV102" s="511">
        <f t="shared" si="49"/>
        <v>0</v>
      </c>
      <c r="BW102" s="511">
        <f>IF(BV102=0,35,_xlfn.RANK.EQ(BV102,BV98:BV132))</f>
        <v>35</v>
      </c>
      <c r="BX102" s="512">
        <f>IF(BW102=35,35,BW102+COUNTIF(BW$98:BW101,BW102)/COUNTIF(BW$98:BW$132,BW102))</f>
        <v>35</v>
      </c>
      <c r="BY102" s="511">
        <f t="shared" si="50"/>
        <v>13</v>
      </c>
      <c r="BZ102" s="511" t="s">
        <v>397</v>
      </c>
      <c r="CA102" s="511">
        <f t="shared" si="51"/>
        <v>0</v>
      </c>
      <c r="CB102" s="511">
        <f t="shared" si="52"/>
        <v>0</v>
      </c>
      <c r="CC102" s="511">
        <f t="shared" si="53"/>
        <v>0</v>
      </c>
      <c r="CD102" s="511">
        <f t="shared" si="54"/>
        <v>0</v>
      </c>
      <c r="CE102" s="511">
        <f t="shared" si="55"/>
        <v>0</v>
      </c>
      <c r="CF102" s="511">
        <f t="shared" si="56"/>
        <v>0</v>
      </c>
      <c r="CG102" s="511">
        <f t="shared" si="57"/>
        <v>0</v>
      </c>
      <c r="CH102" s="511">
        <f t="shared" si="58"/>
        <v>0</v>
      </c>
      <c r="CI102" s="511">
        <f t="shared" si="59"/>
        <v>0</v>
      </c>
      <c r="CJ102" s="511">
        <f t="shared" si="60"/>
        <v>0</v>
      </c>
      <c r="CK102" s="511">
        <f>IF(CJ102=0,35,_xlfn.RANK.EQ(CJ102,CJ98:CJ132))</f>
        <v>35</v>
      </c>
      <c r="CL102" s="512">
        <f>IF(CK102=35,35,CK102+COUNTIF(CK$98:CK101,CK102)/COUNTIF(CK$98:CK$132,CK102))</f>
        <v>35</v>
      </c>
      <c r="CM102" s="511">
        <f t="shared" si="61"/>
        <v>12</v>
      </c>
      <c r="CN102" s="511" t="s">
        <v>397</v>
      </c>
      <c r="CO102" s="515"/>
      <c r="CP102" s="515"/>
      <c r="CQ102" s="516"/>
    </row>
    <row r="103" spans="1:95" s="473" customFormat="1">
      <c r="U103" s="510">
        <f t="shared" si="7"/>
        <v>6</v>
      </c>
      <c r="V103" s="511" t="s">
        <v>380</v>
      </c>
      <c r="W103" s="511">
        <f t="shared" si="8"/>
        <v>6</v>
      </c>
      <c r="X103" s="511">
        <f t="shared" si="9"/>
        <v>6</v>
      </c>
      <c r="Y103" s="511">
        <f t="shared" si="10"/>
        <v>5</v>
      </c>
      <c r="Z103" s="511">
        <f t="shared" si="11"/>
        <v>5</v>
      </c>
      <c r="AA103" s="511">
        <f t="shared" si="12"/>
        <v>5</v>
      </c>
      <c r="AB103" s="511">
        <f t="shared" si="13"/>
        <v>5</v>
      </c>
      <c r="AC103" s="511">
        <f t="shared" si="14"/>
        <v>5</v>
      </c>
      <c r="AD103" s="511">
        <f t="shared" si="15"/>
        <v>3</v>
      </c>
      <c r="AE103" s="511">
        <f t="shared" si="16"/>
        <v>3</v>
      </c>
      <c r="AF103" s="511">
        <f t="shared" si="6"/>
        <v>40</v>
      </c>
      <c r="AG103" s="511">
        <f>IF(AF103=0,35,_xlfn.RANK.EQ(AF103,AF98:AF132))</f>
        <v>5</v>
      </c>
      <c r="AH103" s="512">
        <f>IF(AG103=35,35,AG103+COUNTIF(AG$98:AG102,AG103)/COUNTIF(AG$98:AG$132,AG103))</f>
        <v>5</v>
      </c>
      <c r="AI103" s="511">
        <f t="shared" si="17"/>
        <v>5</v>
      </c>
      <c r="AJ103" s="511" t="s">
        <v>380</v>
      </c>
      <c r="AK103" s="511">
        <f t="shared" si="18"/>
        <v>2</v>
      </c>
      <c r="AL103" s="511">
        <f t="shared" si="19"/>
        <v>2</v>
      </c>
      <c r="AM103" s="511">
        <f t="shared" si="20"/>
        <v>2</v>
      </c>
      <c r="AN103" s="511">
        <f t="shared" si="21"/>
        <v>2</v>
      </c>
      <c r="AO103" s="511">
        <f t="shared" si="22"/>
        <v>3</v>
      </c>
      <c r="AP103" s="511">
        <f t="shared" si="23"/>
        <v>3</v>
      </c>
      <c r="AQ103" s="511">
        <f t="shared" si="24"/>
        <v>5</v>
      </c>
      <c r="AR103" s="511">
        <f t="shared" si="25"/>
        <v>3</v>
      </c>
      <c r="AS103" s="511">
        <f t="shared" si="26"/>
        <v>2</v>
      </c>
      <c r="AT103" s="511">
        <f t="shared" si="27"/>
        <v>22</v>
      </c>
      <c r="AU103" s="511">
        <f>IF(AT103=0,35,_xlfn.RANK.EQ(AT103,AT98:AT132))</f>
        <v>9</v>
      </c>
      <c r="AV103" s="512">
        <f>IF(AU103=35,35,AU103+COUNTIF(AU$98:AU102,AU103)/COUNTIF(AU$98:AU$132,AU103))</f>
        <v>9</v>
      </c>
      <c r="AW103" s="511">
        <f t="shared" si="28"/>
        <v>9</v>
      </c>
      <c r="AX103" s="511" t="s">
        <v>380</v>
      </c>
      <c r="AY103" s="511">
        <f t="shared" si="29"/>
        <v>3</v>
      </c>
      <c r="AZ103" s="511">
        <f t="shared" si="30"/>
        <v>3</v>
      </c>
      <c r="BA103" s="511">
        <f t="shared" si="31"/>
        <v>3</v>
      </c>
      <c r="BB103" s="511">
        <f t="shared" si="32"/>
        <v>2</v>
      </c>
      <c r="BC103" s="511">
        <f t="shared" si="33"/>
        <v>2</v>
      </c>
      <c r="BD103" s="511">
        <f t="shared" si="34"/>
        <v>2</v>
      </c>
      <c r="BE103" s="511">
        <f t="shared" si="35"/>
        <v>2</v>
      </c>
      <c r="BF103" s="511">
        <f t="shared" si="36"/>
        <v>3</v>
      </c>
      <c r="BG103" s="511">
        <f t="shared" si="37"/>
        <v>3</v>
      </c>
      <c r="BH103" s="511">
        <f t="shared" si="38"/>
        <v>20</v>
      </c>
      <c r="BI103" s="511">
        <f>IF(BH103=0,35,_xlfn.RANK.EQ(BH103,BH98:BH132))</f>
        <v>9</v>
      </c>
      <c r="BJ103" s="512">
        <f>IF(BI103=35,35,BI103+COUNTIF(BI$98:BI102,BI103)/COUNTIF(BI$98:BI$132,BI103))</f>
        <v>9</v>
      </c>
      <c r="BK103" s="511">
        <f t="shared" si="39"/>
        <v>9</v>
      </c>
      <c r="BL103" s="511" t="s">
        <v>380</v>
      </c>
      <c r="BM103" s="511">
        <f t="shared" si="40"/>
        <v>2</v>
      </c>
      <c r="BN103" s="511">
        <f t="shared" si="41"/>
        <v>2</v>
      </c>
      <c r="BO103" s="511">
        <f t="shared" si="42"/>
        <v>1</v>
      </c>
      <c r="BP103" s="511">
        <f t="shared" si="43"/>
        <v>1</v>
      </c>
      <c r="BQ103" s="511">
        <f t="shared" si="44"/>
        <v>1</v>
      </c>
      <c r="BR103" s="511">
        <f t="shared" si="45"/>
        <v>1</v>
      </c>
      <c r="BS103" s="511">
        <f t="shared" si="46"/>
        <v>1</v>
      </c>
      <c r="BT103" s="511">
        <f t="shared" si="47"/>
        <v>1</v>
      </c>
      <c r="BU103" s="511">
        <f t="shared" si="48"/>
        <v>1</v>
      </c>
      <c r="BV103" s="511">
        <f t="shared" si="49"/>
        <v>10</v>
      </c>
      <c r="BW103" s="511">
        <f>IF(BV103=0,35,_xlfn.RANK.EQ(BV103,BV98:BV132))</f>
        <v>11</v>
      </c>
      <c r="BX103" s="512">
        <f>IF(BW103=35,35,BW103+COUNTIF(BW$98:BW102,BW103)/COUNTIF(BW$98:BW$132,BW103))</f>
        <v>11</v>
      </c>
      <c r="BY103" s="511">
        <f t="shared" si="50"/>
        <v>11</v>
      </c>
      <c r="BZ103" s="511" t="s">
        <v>380</v>
      </c>
      <c r="CA103" s="511">
        <f t="shared" si="51"/>
        <v>1</v>
      </c>
      <c r="CB103" s="511">
        <f t="shared" si="52"/>
        <v>1</v>
      </c>
      <c r="CC103" s="511">
        <f t="shared" si="53"/>
        <v>1</v>
      </c>
      <c r="CD103" s="511">
        <f t="shared" si="54"/>
        <v>1</v>
      </c>
      <c r="CE103" s="511">
        <f t="shared" si="55"/>
        <v>1</v>
      </c>
      <c r="CF103" s="511">
        <f t="shared" si="56"/>
        <v>1</v>
      </c>
      <c r="CG103" s="511">
        <f t="shared" si="57"/>
        <v>1</v>
      </c>
      <c r="CH103" s="511">
        <f t="shared" si="58"/>
        <v>1</v>
      </c>
      <c r="CI103" s="511">
        <f t="shared" si="59"/>
        <v>1</v>
      </c>
      <c r="CJ103" s="511">
        <f t="shared" si="60"/>
        <v>8</v>
      </c>
      <c r="CK103" s="511">
        <f>IF(CJ103=0,35,_xlfn.RANK.EQ(CJ103,CJ98:CJ132))</f>
        <v>11</v>
      </c>
      <c r="CL103" s="512">
        <f>IF(CK103=35,35,CK103+COUNTIF(CK$98:CK102,CK103)/COUNTIF(CK$98:CK$132,CK103))</f>
        <v>11</v>
      </c>
      <c r="CM103" s="511">
        <f t="shared" si="61"/>
        <v>11</v>
      </c>
      <c r="CN103" s="511" t="s">
        <v>380</v>
      </c>
      <c r="CO103" s="515"/>
      <c r="CP103" s="515"/>
      <c r="CQ103" s="516"/>
    </row>
    <row r="104" spans="1:95" s="473" customFormat="1">
      <c r="U104" s="510">
        <f t="shared" si="7"/>
        <v>7</v>
      </c>
      <c r="V104" s="511" t="s">
        <v>377</v>
      </c>
      <c r="W104" s="511">
        <f t="shared" si="8"/>
        <v>0</v>
      </c>
      <c r="X104" s="511">
        <f t="shared" si="9"/>
        <v>0</v>
      </c>
      <c r="Y104" s="511">
        <f t="shared" si="10"/>
        <v>0</v>
      </c>
      <c r="Z104" s="511">
        <f t="shared" si="11"/>
        <v>0</v>
      </c>
      <c r="AA104" s="511">
        <f t="shared" si="12"/>
        <v>0</v>
      </c>
      <c r="AB104" s="511">
        <f t="shared" si="13"/>
        <v>0</v>
      </c>
      <c r="AC104" s="511">
        <f t="shared" si="14"/>
        <v>0</v>
      </c>
      <c r="AD104" s="511">
        <f t="shared" si="15"/>
        <v>0</v>
      </c>
      <c r="AE104" s="511">
        <f t="shared" si="16"/>
        <v>0</v>
      </c>
      <c r="AF104" s="511">
        <f t="shared" si="6"/>
        <v>0</v>
      </c>
      <c r="AG104" s="511">
        <f>IF(AF104=0,35,_xlfn.RANK.EQ(AF104,AF98:AF132))</f>
        <v>35</v>
      </c>
      <c r="AH104" s="512">
        <f>IF(AG104=35,35,AG104+COUNTIF(AG$98:AG103,AG104)/COUNTIF(AG$98:AG$132,AG104))</f>
        <v>35</v>
      </c>
      <c r="AI104" s="511">
        <f t="shared" si="17"/>
        <v>14</v>
      </c>
      <c r="AJ104" s="511" t="s">
        <v>377</v>
      </c>
      <c r="AK104" s="511">
        <f t="shared" si="18"/>
        <v>0</v>
      </c>
      <c r="AL104" s="511">
        <f t="shared" si="19"/>
        <v>0</v>
      </c>
      <c r="AM104" s="511">
        <f t="shared" si="20"/>
        <v>0</v>
      </c>
      <c r="AN104" s="511">
        <f t="shared" si="21"/>
        <v>0</v>
      </c>
      <c r="AO104" s="511">
        <f t="shared" si="22"/>
        <v>0</v>
      </c>
      <c r="AP104" s="511">
        <f t="shared" si="23"/>
        <v>0</v>
      </c>
      <c r="AQ104" s="511">
        <f t="shared" si="24"/>
        <v>0</v>
      </c>
      <c r="AR104" s="511">
        <f t="shared" si="25"/>
        <v>0</v>
      </c>
      <c r="AS104" s="511">
        <f t="shared" si="26"/>
        <v>9</v>
      </c>
      <c r="AT104" s="511">
        <f t="shared" si="27"/>
        <v>0</v>
      </c>
      <c r="AU104" s="511">
        <f>IF(AT104=0,35,_xlfn.RANK.EQ(AT104,AT98:AT132))</f>
        <v>35</v>
      </c>
      <c r="AV104" s="512">
        <f>IF(AU104=35,35,AU104+COUNTIF(AU$98:AU103,AU104)/COUNTIF(AU$98:AU$132,AU104))</f>
        <v>35</v>
      </c>
      <c r="AW104" s="511">
        <f t="shared" si="28"/>
        <v>13</v>
      </c>
      <c r="AX104" s="511" t="s">
        <v>377</v>
      </c>
      <c r="AY104" s="511">
        <f t="shared" si="29"/>
        <v>0</v>
      </c>
      <c r="AZ104" s="511">
        <f t="shared" si="30"/>
        <v>0</v>
      </c>
      <c r="BA104" s="511">
        <f t="shared" si="31"/>
        <v>0</v>
      </c>
      <c r="BB104" s="511">
        <f t="shared" si="32"/>
        <v>0</v>
      </c>
      <c r="BC104" s="511">
        <f t="shared" si="33"/>
        <v>0</v>
      </c>
      <c r="BD104" s="511">
        <f t="shared" si="34"/>
        <v>8</v>
      </c>
      <c r="BE104" s="511">
        <f t="shared" si="35"/>
        <v>6</v>
      </c>
      <c r="BF104" s="511">
        <f t="shared" si="36"/>
        <v>6</v>
      </c>
      <c r="BG104" s="511">
        <f t="shared" si="37"/>
        <v>5</v>
      </c>
      <c r="BH104" s="511">
        <f t="shared" si="38"/>
        <v>20</v>
      </c>
      <c r="BI104" s="511">
        <f>IF(BH104=0,35,_xlfn.RANK.EQ(BH104,BH98:BH132))</f>
        <v>9</v>
      </c>
      <c r="BJ104" s="512">
        <f>IF(BI104=35,35,BI104+COUNTIF(BI$98:BI103,BI104)/COUNTIF(BI$98:BI$132,BI104))</f>
        <v>9.5</v>
      </c>
      <c r="BK104" s="511">
        <f t="shared" si="39"/>
        <v>10</v>
      </c>
      <c r="BL104" s="511" t="s">
        <v>377</v>
      </c>
      <c r="BM104" s="511">
        <f t="shared" si="40"/>
        <v>0</v>
      </c>
      <c r="BN104" s="511">
        <f t="shared" si="41"/>
        <v>0</v>
      </c>
      <c r="BO104" s="511">
        <f t="shared" si="42"/>
        <v>0</v>
      </c>
      <c r="BP104" s="511">
        <f t="shared" si="43"/>
        <v>0</v>
      </c>
      <c r="BQ104" s="511">
        <f t="shared" si="44"/>
        <v>0</v>
      </c>
      <c r="BR104" s="511">
        <f t="shared" si="45"/>
        <v>0</v>
      </c>
      <c r="BS104" s="511">
        <f t="shared" si="46"/>
        <v>0</v>
      </c>
      <c r="BT104" s="511">
        <f t="shared" si="47"/>
        <v>0</v>
      </c>
      <c r="BU104" s="511">
        <f t="shared" si="48"/>
        <v>0</v>
      </c>
      <c r="BV104" s="511">
        <f t="shared" si="49"/>
        <v>0</v>
      </c>
      <c r="BW104" s="511">
        <f>IF(BV104=0,35,_xlfn.RANK.EQ(BV104,BV98:BV132))</f>
        <v>35</v>
      </c>
      <c r="BX104" s="512">
        <f>IF(BW104=35,35,BW104+COUNTIF(BW$98:BW103,BW104)/COUNTIF(BW$98:BW$132,BW104))</f>
        <v>35</v>
      </c>
      <c r="BY104" s="511">
        <f t="shared" si="50"/>
        <v>13</v>
      </c>
      <c r="BZ104" s="511" t="s">
        <v>377</v>
      </c>
      <c r="CA104" s="511">
        <f t="shared" si="51"/>
        <v>0</v>
      </c>
      <c r="CB104" s="511">
        <f t="shared" si="52"/>
        <v>0</v>
      </c>
      <c r="CC104" s="511">
        <f t="shared" si="53"/>
        <v>0</v>
      </c>
      <c r="CD104" s="511">
        <f t="shared" si="54"/>
        <v>0</v>
      </c>
      <c r="CE104" s="511">
        <f t="shared" si="55"/>
        <v>0</v>
      </c>
      <c r="CF104" s="511">
        <f t="shared" si="56"/>
        <v>0</v>
      </c>
      <c r="CG104" s="511">
        <f t="shared" si="57"/>
        <v>0</v>
      </c>
      <c r="CH104" s="511">
        <f t="shared" si="58"/>
        <v>10</v>
      </c>
      <c r="CI104" s="511">
        <f t="shared" si="59"/>
        <v>0</v>
      </c>
      <c r="CJ104" s="511">
        <f t="shared" si="60"/>
        <v>10</v>
      </c>
      <c r="CK104" s="511">
        <f>IF(CJ104=0,35,_xlfn.RANK.EQ(CJ104,CJ98:CJ132))</f>
        <v>10</v>
      </c>
      <c r="CL104" s="512">
        <f>IF(CK104=35,35,CK104+COUNTIF(CK$98:CK103,CK104)/COUNTIF(CK$98:CK$132,CK104))</f>
        <v>10</v>
      </c>
      <c r="CM104" s="511">
        <f t="shared" si="61"/>
        <v>10</v>
      </c>
      <c r="CN104" s="511" t="s">
        <v>377</v>
      </c>
      <c r="CO104" s="515"/>
      <c r="CP104" s="515"/>
      <c r="CQ104" s="516"/>
    </row>
    <row r="105" spans="1:95" s="473" customFormat="1">
      <c r="U105" s="510">
        <f t="shared" si="7"/>
        <v>8</v>
      </c>
      <c r="V105" s="511" t="s">
        <v>392</v>
      </c>
      <c r="W105" s="511">
        <f t="shared" si="8"/>
        <v>0</v>
      </c>
      <c r="X105" s="511">
        <f t="shared" si="9"/>
        <v>0</v>
      </c>
      <c r="Y105" s="511">
        <f t="shared" si="10"/>
        <v>0</v>
      </c>
      <c r="Z105" s="511">
        <f t="shared" si="11"/>
        <v>0</v>
      </c>
      <c r="AA105" s="511">
        <f t="shared" si="12"/>
        <v>0</v>
      </c>
      <c r="AB105" s="511">
        <f t="shared" si="13"/>
        <v>0</v>
      </c>
      <c r="AC105" s="511">
        <f t="shared" si="14"/>
        <v>0</v>
      </c>
      <c r="AD105" s="511">
        <f t="shared" si="15"/>
        <v>0</v>
      </c>
      <c r="AE105" s="511">
        <f t="shared" si="16"/>
        <v>0</v>
      </c>
      <c r="AF105" s="511">
        <f t="shared" si="6"/>
        <v>0</v>
      </c>
      <c r="AG105" s="511">
        <f>IF(AF105=0,35,_xlfn.RANK.EQ(AF105,AF98:AF132))</f>
        <v>35</v>
      </c>
      <c r="AH105" s="512">
        <f>IF(AG105=35,35,AG105+COUNTIF(AG$98:AG104,AG105)/COUNTIF(AG$98:AG$132,AG105))</f>
        <v>35</v>
      </c>
      <c r="AI105" s="511">
        <f t="shared" si="17"/>
        <v>14</v>
      </c>
      <c r="AJ105" s="511" t="s">
        <v>392</v>
      </c>
      <c r="AK105" s="511">
        <f t="shared" si="18"/>
        <v>8</v>
      </c>
      <c r="AL105" s="511">
        <f t="shared" si="19"/>
        <v>8</v>
      </c>
      <c r="AM105" s="511">
        <f t="shared" si="20"/>
        <v>8</v>
      </c>
      <c r="AN105" s="511">
        <f t="shared" si="21"/>
        <v>9</v>
      </c>
      <c r="AO105" s="511">
        <f t="shared" si="22"/>
        <v>8</v>
      </c>
      <c r="AP105" s="511">
        <f t="shared" si="23"/>
        <v>10</v>
      </c>
      <c r="AQ105" s="511">
        <f t="shared" si="24"/>
        <v>10</v>
      </c>
      <c r="AR105" s="511">
        <f t="shared" si="25"/>
        <v>8</v>
      </c>
      <c r="AS105" s="511">
        <f t="shared" si="26"/>
        <v>7</v>
      </c>
      <c r="AT105" s="511">
        <f t="shared" si="27"/>
        <v>69</v>
      </c>
      <c r="AU105" s="511">
        <f>IF(AT105=0,35,_xlfn.RANK.EQ(AT105,AT98:AT132))</f>
        <v>1</v>
      </c>
      <c r="AV105" s="512">
        <f>IF(AU105=35,35,AU105+COUNTIF(AU$98:AU104,AU105)/COUNTIF(AU$98:AU$132,AU105))</f>
        <v>1</v>
      </c>
      <c r="AW105" s="511">
        <f t="shared" si="28"/>
        <v>1</v>
      </c>
      <c r="AX105" s="511" t="s">
        <v>392</v>
      </c>
      <c r="AY105" s="511">
        <f t="shared" si="29"/>
        <v>5</v>
      </c>
      <c r="AZ105" s="511">
        <f t="shared" si="30"/>
        <v>5</v>
      </c>
      <c r="BA105" s="511">
        <f t="shared" si="31"/>
        <v>2</v>
      </c>
      <c r="BB105" s="511">
        <f t="shared" si="32"/>
        <v>3</v>
      </c>
      <c r="BC105" s="511">
        <f t="shared" si="33"/>
        <v>3</v>
      </c>
      <c r="BD105" s="511">
        <f t="shared" si="34"/>
        <v>3</v>
      </c>
      <c r="BE105" s="511">
        <f t="shared" si="35"/>
        <v>3</v>
      </c>
      <c r="BF105" s="511">
        <f t="shared" si="36"/>
        <v>2</v>
      </c>
      <c r="BG105" s="511">
        <f t="shared" si="37"/>
        <v>2</v>
      </c>
      <c r="BH105" s="511">
        <f t="shared" si="38"/>
        <v>26</v>
      </c>
      <c r="BI105" s="511">
        <f>IF(BH105=0,35,_xlfn.RANK.EQ(BH105,BH98:BH132))</f>
        <v>8</v>
      </c>
      <c r="BJ105" s="512">
        <f>IF(BI105=35,35,BI105+COUNTIF(BI$98:BI104,BI105)/COUNTIF(BI$98:BI$132,BI105))</f>
        <v>8</v>
      </c>
      <c r="BK105" s="511">
        <f t="shared" si="39"/>
        <v>8</v>
      </c>
      <c r="BL105" s="511" t="s">
        <v>392</v>
      </c>
      <c r="BM105" s="511">
        <f t="shared" si="40"/>
        <v>0</v>
      </c>
      <c r="BN105" s="511">
        <f t="shared" si="41"/>
        <v>0</v>
      </c>
      <c r="BO105" s="511">
        <f t="shared" si="42"/>
        <v>0</v>
      </c>
      <c r="BP105" s="511">
        <f t="shared" si="43"/>
        <v>0</v>
      </c>
      <c r="BQ105" s="511">
        <f t="shared" si="44"/>
        <v>0</v>
      </c>
      <c r="BR105" s="511">
        <f t="shared" si="45"/>
        <v>0</v>
      </c>
      <c r="BS105" s="511">
        <f t="shared" si="46"/>
        <v>0</v>
      </c>
      <c r="BT105" s="511">
        <f t="shared" si="47"/>
        <v>0</v>
      </c>
      <c r="BU105" s="511">
        <f t="shared" si="48"/>
        <v>0</v>
      </c>
      <c r="BV105" s="511">
        <f t="shared" si="49"/>
        <v>0</v>
      </c>
      <c r="BW105" s="511">
        <f>IF(BV105=0,35,_xlfn.RANK.EQ(BV105,BV98:BV132))</f>
        <v>35</v>
      </c>
      <c r="BX105" s="512">
        <f>IF(BW105=35,35,BW105+COUNTIF(BW$98:BW104,BW105)/COUNTIF(BW$98:BW$132,BW105))</f>
        <v>35</v>
      </c>
      <c r="BY105" s="511">
        <f t="shared" si="50"/>
        <v>13</v>
      </c>
      <c r="BZ105" s="511" t="s">
        <v>392</v>
      </c>
      <c r="CA105" s="511">
        <f t="shared" si="51"/>
        <v>4</v>
      </c>
      <c r="CB105" s="511">
        <f t="shared" si="52"/>
        <v>4</v>
      </c>
      <c r="CC105" s="511">
        <f t="shared" si="53"/>
        <v>4</v>
      </c>
      <c r="CD105" s="511">
        <f t="shared" si="54"/>
        <v>5</v>
      </c>
      <c r="CE105" s="511">
        <f t="shared" si="55"/>
        <v>5</v>
      </c>
      <c r="CF105" s="511">
        <f t="shared" si="56"/>
        <v>5</v>
      </c>
      <c r="CG105" s="511">
        <f t="shared" si="57"/>
        <v>5</v>
      </c>
      <c r="CH105" s="511">
        <f t="shared" si="58"/>
        <v>5</v>
      </c>
      <c r="CI105" s="511">
        <f t="shared" si="59"/>
        <v>5</v>
      </c>
      <c r="CJ105" s="511">
        <f t="shared" si="60"/>
        <v>37</v>
      </c>
      <c r="CK105" s="511">
        <f>IF(CJ105=0,35,_xlfn.RANK.EQ(CJ105,CJ98:CJ132))</f>
        <v>6</v>
      </c>
      <c r="CL105" s="512">
        <f>IF(CK105=35,35,CK105+COUNTIF(CK$98:CK104,CK105)/COUNTIF(CK$98:CK$132,CK105))</f>
        <v>6</v>
      </c>
      <c r="CM105" s="511">
        <f t="shared" si="61"/>
        <v>6</v>
      </c>
      <c r="CN105" s="511" t="s">
        <v>392</v>
      </c>
      <c r="CO105" s="515"/>
      <c r="CP105" s="515"/>
      <c r="CQ105" s="516"/>
    </row>
    <row r="106" spans="1:95" s="473" customFormat="1">
      <c r="U106" s="510">
        <f t="shared" si="7"/>
        <v>9</v>
      </c>
      <c r="V106" s="511" t="s">
        <v>389</v>
      </c>
      <c r="W106" s="511">
        <f t="shared" si="8"/>
        <v>0</v>
      </c>
      <c r="X106" s="511">
        <f t="shared" si="9"/>
        <v>0</v>
      </c>
      <c r="Y106" s="511">
        <f t="shared" si="10"/>
        <v>0</v>
      </c>
      <c r="Z106" s="511">
        <f t="shared" si="11"/>
        <v>0</v>
      </c>
      <c r="AA106" s="511">
        <f t="shared" si="12"/>
        <v>0</v>
      </c>
      <c r="AB106" s="511">
        <f t="shared" si="13"/>
        <v>0</v>
      </c>
      <c r="AC106" s="511">
        <f t="shared" si="14"/>
        <v>0</v>
      </c>
      <c r="AD106" s="511">
        <f t="shared" si="15"/>
        <v>0</v>
      </c>
      <c r="AE106" s="511">
        <f t="shared" si="16"/>
        <v>0</v>
      </c>
      <c r="AF106" s="511">
        <f t="shared" si="6"/>
        <v>0</v>
      </c>
      <c r="AG106" s="511">
        <f>IF(AF106=0,35,_xlfn.RANK.EQ(AF106,AF98:AF132))</f>
        <v>35</v>
      </c>
      <c r="AH106" s="512">
        <f>IF(AG106=35,35,AG106+COUNTIF(AG$98:AG105,AG106)/COUNTIF(AG$98:AG$132,AG106))</f>
        <v>35</v>
      </c>
      <c r="AI106" s="511">
        <f t="shared" si="17"/>
        <v>14</v>
      </c>
      <c r="AJ106" s="511" t="s">
        <v>389</v>
      </c>
      <c r="AK106" s="511">
        <f t="shared" si="18"/>
        <v>4</v>
      </c>
      <c r="AL106" s="511">
        <f t="shared" si="19"/>
        <v>4</v>
      </c>
      <c r="AM106" s="511">
        <f t="shared" si="20"/>
        <v>7</v>
      </c>
      <c r="AN106" s="511">
        <f t="shared" si="21"/>
        <v>7</v>
      </c>
      <c r="AO106" s="511">
        <f t="shared" si="22"/>
        <v>7</v>
      </c>
      <c r="AP106" s="511">
        <f t="shared" si="23"/>
        <v>7</v>
      </c>
      <c r="AQ106" s="511">
        <f t="shared" si="24"/>
        <v>9</v>
      </c>
      <c r="AR106" s="511">
        <f t="shared" si="25"/>
        <v>7</v>
      </c>
      <c r="AS106" s="511">
        <f t="shared" si="26"/>
        <v>8</v>
      </c>
      <c r="AT106" s="511">
        <f t="shared" si="27"/>
        <v>52</v>
      </c>
      <c r="AU106" s="511">
        <f>IF(AT106=0,35,_xlfn.RANK.EQ(AT106,AT98:AT132))</f>
        <v>3</v>
      </c>
      <c r="AV106" s="512">
        <f>IF(AU106=35,35,AU106+COUNTIF(AU$98:AU105,AU106)/COUNTIF(AU$98:AU$132,AU106))</f>
        <v>3</v>
      </c>
      <c r="AW106" s="511">
        <f t="shared" si="28"/>
        <v>3</v>
      </c>
      <c r="AX106" s="511" t="s">
        <v>389</v>
      </c>
      <c r="AY106" s="511">
        <f t="shared" si="29"/>
        <v>0</v>
      </c>
      <c r="AZ106" s="511">
        <f t="shared" si="30"/>
        <v>0</v>
      </c>
      <c r="BA106" s="511">
        <f t="shared" si="31"/>
        <v>10</v>
      </c>
      <c r="BB106" s="511">
        <f t="shared" si="32"/>
        <v>0</v>
      </c>
      <c r="BC106" s="511">
        <f t="shared" si="33"/>
        <v>0</v>
      </c>
      <c r="BD106" s="511">
        <f t="shared" si="34"/>
        <v>0</v>
      </c>
      <c r="BE106" s="511">
        <f t="shared" si="35"/>
        <v>0</v>
      </c>
      <c r="BF106" s="511">
        <f t="shared" si="36"/>
        <v>0</v>
      </c>
      <c r="BG106" s="511">
        <f t="shared" si="37"/>
        <v>0</v>
      </c>
      <c r="BH106" s="511">
        <f t="shared" si="38"/>
        <v>10</v>
      </c>
      <c r="BI106" s="511">
        <f>IF(BH106=0,35,_xlfn.RANK.EQ(BH106,BH98:BH132))</f>
        <v>11</v>
      </c>
      <c r="BJ106" s="512">
        <f>IF(BI106=35,35,BI106+COUNTIF(BI$98:BI105,BI106)/COUNTIF(BI$98:BI$132,BI106))</f>
        <v>11</v>
      </c>
      <c r="BK106" s="511">
        <f t="shared" si="39"/>
        <v>11</v>
      </c>
      <c r="BL106" s="511" t="s">
        <v>389</v>
      </c>
      <c r="BM106" s="511">
        <f t="shared" si="40"/>
        <v>0</v>
      </c>
      <c r="BN106" s="511">
        <f t="shared" si="41"/>
        <v>0</v>
      </c>
      <c r="BO106" s="511">
        <f t="shared" si="42"/>
        <v>0</v>
      </c>
      <c r="BP106" s="511">
        <f t="shared" si="43"/>
        <v>0</v>
      </c>
      <c r="BQ106" s="511">
        <f t="shared" si="44"/>
        <v>0</v>
      </c>
      <c r="BR106" s="511">
        <f t="shared" si="45"/>
        <v>0</v>
      </c>
      <c r="BS106" s="511">
        <f t="shared" si="46"/>
        <v>0</v>
      </c>
      <c r="BT106" s="511">
        <f t="shared" si="47"/>
        <v>0</v>
      </c>
      <c r="BU106" s="511">
        <f t="shared" si="48"/>
        <v>0</v>
      </c>
      <c r="BV106" s="511">
        <f t="shared" si="49"/>
        <v>0</v>
      </c>
      <c r="BW106" s="511">
        <f>IF(BV106=0,35,_xlfn.RANK.EQ(BV106,BV98:BV132))</f>
        <v>35</v>
      </c>
      <c r="BX106" s="512">
        <f>IF(BW106=35,35,BW106+COUNTIF(BW$98:BW105,BW106)/COUNTIF(BW$98:BW$132,BW106))</f>
        <v>35</v>
      </c>
      <c r="BY106" s="511">
        <f t="shared" si="50"/>
        <v>13</v>
      </c>
      <c r="BZ106" s="511" t="s">
        <v>389</v>
      </c>
      <c r="CA106" s="511">
        <f t="shared" si="51"/>
        <v>10</v>
      </c>
      <c r="CB106" s="511">
        <f t="shared" si="52"/>
        <v>10</v>
      </c>
      <c r="CC106" s="511">
        <f t="shared" si="53"/>
        <v>10</v>
      </c>
      <c r="CD106" s="511">
        <f t="shared" si="54"/>
        <v>9</v>
      </c>
      <c r="CE106" s="511">
        <f t="shared" si="55"/>
        <v>9</v>
      </c>
      <c r="CF106" s="511">
        <f t="shared" si="56"/>
        <v>9</v>
      </c>
      <c r="CG106" s="511">
        <f t="shared" si="57"/>
        <v>9</v>
      </c>
      <c r="CH106" s="511">
        <f t="shared" si="58"/>
        <v>9</v>
      </c>
      <c r="CI106" s="511">
        <f t="shared" si="59"/>
        <v>9</v>
      </c>
      <c r="CJ106" s="511">
        <f t="shared" si="60"/>
        <v>75</v>
      </c>
      <c r="CK106" s="511">
        <f>IF(CJ106=0,35,_xlfn.RANK.EQ(CJ106,CJ98:CJ132))</f>
        <v>1</v>
      </c>
      <c r="CL106" s="512">
        <f>IF(CK106=35,35,CK106+COUNTIF(CK$98:CK105,CK106)/COUNTIF(CK$98:CK$132,CK106))</f>
        <v>1</v>
      </c>
      <c r="CM106" s="511">
        <f t="shared" si="61"/>
        <v>1</v>
      </c>
      <c r="CN106" s="511" t="s">
        <v>389</v>
      </c>
      <c r="CO106" s="515"/>
      <c r="CP106" s="515"/>
      <c r="CQ106" s="516"/>
    </row>
    <row r="107" spans="1:95" s="473" customFormat="1">
      <c r="U107" s="510">
        <f t="shared" si="7"/>
        <v>10</v>
      </c>
      <c r="V107" s="511" t="s">
        <v>384</v>
      </c>
      <c r="W107" s="511">
        <f t="shared" si="8"/>
        <v>5</v>
      </c>
      <c r="X107" s="511">
        <f t="shared" si="9"/>
        <v>5</v>
      </c>
      <c r="Y107" s="511">
        <f t="shared" si="10"/>
        <v>6</v>
      </c>
      <c r="Z107" s="511">
        <f t="shared" si="11"/>
        <v>6</v>
      </c>
      <c r="AA107" s="511">
        <f t="shared" si="12"/>
        <v>6</v>
      </c>
      <c r="AB107" s="511">
        <f t="shared" si="13"/>
        <v>6</v>
      </c>
      <c r="AC107" s="511">
        <f t="shared" si="14"/>
        <v>6</v>
      </c>
      <c r="AD107" s="511">
        <f t="shared" si="15"/>
        <v>5</v>
      </c>
      <c r="AE107" s="511">
        <f t="shared" si="16"/>
        <v>4</v>
      </c>
      <c r="AF107" s="511">
        <f t="shared" si="6"/>
        <v>45</v>
      </c>
      <c r="AG107" s="511">
        <f>IF(AF107=0,35,_xlfn.RANK.EQ(AF107,AF98:AF132))</f>
        <v>4</v>
      </c>
      <c r="AH107" s="512">
        <f>IF(AG107=35,35,AG107+COUNTIF(AG$98:AG106,AG107)/COUNTIF(AG$98:AG$132,AG107))</f>
        <v>4</v>
      </c>
      <c r="AI107" s="511">
        <f t="shared" si="17"/>
        <v>4</v>
      </c>
      <c r="AJ107" s="511" t="s">
        <v>384</v>
      </c>
      <c r="AK107" s="511">
        <f t="shared" si="18"/>
        <v>7</v>
      </c>
      <c r="AL107" s="511">
        <f t="shared" si="19"/>
        <v>7</v>
      </c>
      <c r="AM107" s="511">
        <f t="shared" si="20"/>
        <v>4</v>
      </c>
      <c r="AN107" s="511">
        <f t="shared" si="21"/>
        <v>5</v>
      </c>
      <c r="AO107" s="511">
        <f t="shared" si="22"/>
        <v>4</v>
      </c>
      <c r="AP107" s="511">
        <f t="shared" si="23"/>
        <v>5</v>
      </c>
      <c r="AQ107" s="511">
        <f t="shared" si="24"/>
        <v>7</v>
      </c>
      <c r="AR107" s="511">
        <f t="shared" si="25"/>
        <v>5</v>
      </c>
      <c r="AS107" s="511">
        <f t="shared" si="26"/>
        <v>5</v>
      </c>
      <c r="AT107" s="511">
        <f t="shared" si="27"/>
        <v>44</v>
      </c>
      <c r="AU107" s="511">
        <f>IF(AT107=0,35,_xlfn.RANK.EQ(AT107,AT98:AT132))</f>
        <v>6</v>
      </c>
      <c r="AV107" s="512">
        <f>IF(AU107=35,35,AU107+COUNTIF(AU$98:AU106,AU107)/COUNTIF(AU$98:AU$132,AU107))</f>
        <v>6</v>
      </c>
      <c r="AW107" s="511">
        <f t="shared" si="28"/>
        <v>6</v>
      </c>
      <c r="AX107" s="511" t="s">
        <v>384</v>
      </c>
      <c r="AY107" s="511">
        <f t="shared" si="29"/>
        <v>6</v>
      </c>
      <c r="AZ107" s="511">
        <f t="shared" si="30"/>
        <v>6</v>
      </c>
      <c r="BA107" s="511">
        <f t="shared" si="31"/>
        <v>6</v>
      </c>
      <c r="BB107" s="511">
        <f t="shared" si="32"/>
        <v>6</v>
      </c>
      <c r="BC107" s="511">
        <f t="shared" si="33"/>
        <v>6</v>
      </c>
      <c r="BD107" s="511">
        <f t="shared" si="34"/>
        <v>9</v>
      </c>
      <c r="BE107" s="511">
        <f t="shared" si="35"/>
        <v>10</v>
      </c>
      <c r="BF107" s="511">
        <f t="shared" si="36"/>
        <v>7</v>
      </c>
      <c r="BG107" s="511">
        <f t="shared" si="37"/>
        <v>7</v>
      </c>
      <c r="BH107" s="511">
        <f t="shared" si="38"/>
        <v>56</v>
      </c>
      <c r="BI107" s="511">
        <f>IF(BH107=0,35,_xlfn.RANK.EQ(BH107,BH98:BH132))</f>
        <v>2</v>
      </c>
      <c r="BJ107" s="512">
        <f>IF(BI107=35,35,BI107+COUNTIF(BI$98:BI106,BI107)/COUNTIF(BI$98:BI$132,BI107))</f>
        <v>2.5</v>
      </c>
      <c r="BK107" s="511">
        <f t="shared" si="39"/>
        <v>3</v>
      </c>
      <c r="BL107" s="511" t="s">
        <v>384</v>
      </c>
      <c r="BM107" s="511">
        <f t="shared" si="40"/>
        <v>3</v>
      </c>
      <c r="BN107" s="511">
        <f t="shared" si="41"/>
        <v>3</v>
      </c>
      <c r="BO107" s="511">
        <f t="shared" si="42"/>
        <v>3</v>
      </c>
      <c r="BP107" s="511">
        <f t="shared" si="43"/>
        <v>3</v>
      </c>
      <c r="BQ107" s="511">
        <f t="shared" si="44"/>
        <v>2</v>
      </c>
      <c r="BR107" s="511">
        <f t="shared" si="45"/>
        <v>2</v>
      </c>
      <c r="BS107" s="511">
        <f t="shared" si="46"/>
        <v>2</v>
      </c>
      <c r="BT107" s="511">
        <f t="shared" si="47"/>
        <v>2</v>
      </c>
      <c r="BU107" s="511">
        <f t="shared" si="48"/>
        <v>2</v>
      </c>
      <c r="BV107" s="511">
        <f t="shared" si="49"/>
        <v>20</v>
      </c>
      <c r="BW107" s="511">
        <f>IF(BV107=0,35,_xlfn.RANK.EQ(BV107,BV98:BV132))</f>
        <v>9</v>
      </c>
      <c r="BX107" s="512">
        <f>IF(BW107=35,35,BW107+COUNTIF(BW$98:BW106,BW107)/COUNTIF(BW$98:BW$132,BW107))</f>
        <v>9.5</v>
      </c>
      <c r="BY107" s="511">
        <f t="shared" si="50"/>
        <v>10</v>
      </c>
      <c r="BZ107" s="511" t="s">
        <v>384</v>
      </c>
      <c r="CA107" s="511">
        <f t="shared" si="51"/>
        <v>7</v>
      </c>
      <c r="CB107" s="511">
        <f t="shared" si="52"/>
        <v>7</v>
      </c>
      <c r="CC107" s="511">
        <f t="shared" si="53"/>
        <v>7</v>
      </c>
      <c r="CD107" s="511">
        <f t="shared" si="54"/>
        <v>7</v>
      </c>
      <c r="CE107" s="511">
        <f t="shared" si="55"/>
        <v>7</v>
      </c>
      <c r="CF107" s="511">
        <f t="shared" si="56"/>
        <v>7</v>
      </c>
      <c r="CG107" s="511">
        <f t="shared" si="57"/>
        <v>8</v>
      </c>
      <c r="CH107" s="511">
        <f t="shared" si="58"/>
        <v>8</v>
      </c>
      <c r="CI107" s="511">
        <f t="shared" si="59"/>
        <v>8</v>
      </c>
      <c r="CJ107" s="511">
        <f t="shared" si="60"/>
        <v>58</v>
      </c>
      <c r="CK107" s="511">
        <f>IF(CJ107=0,35,_xlfn.RANK.EQ(CJ107,CJ98:CJ132))</f>
        <v>4</v>
      </c>
      <c r="CL107" s="512">
        <f>IF(CK107=35,35,CK107+COUNTIF(CK$98:CK106,CK107)/COUNTIF(CK$98:CK$132,CK107))</f>
        <v>4</v>
      </c>
      <c r="CM107" s="511">
        <f t="shared" si="61"/>
        <v>4</v>
      </c>
      <c r="CN107" s="511" t="s">
        <v>384</v>
      </c>
      <c r="CO107" s="515"/>
      <c r="CP107" s="515"/>
      <c r="CQ107" s="516"/>
    </row>
    <row r="108" spans="1:95" s="473" customFormat="1">
      <c r="U108" s="510">
        <f t="shared" si="7"/>
        <v>11</v>
      </c>
      <c r="V108" s="511" t="s">
        <v>408</v>
      </c>
      <c r="W108" s="511">
        <f t="shared" si="8"/>
        <v>0</v>
      </c>
      <c r="X108" s="511">
        <f t="shared" si="9"/>
        <v>0</v>
      </c>
      <c r="Y108" s="511">
        <f t="shared" si="10"/>
        <v>0</v>
      </c>
      <c r="Z108" s="511">
        <f t="shared" si="11"/>
        <v>0</v>
      </c>
      <c r="AA108" s="511">
        <f t="shared" si="12"/>
        <v>0</v>
      </c>
      <c r="AB108" s="511">
        <f t="shared" si="13"/>
        <v>0</v>
      </c>
      <c r="AC108" s="511">
        <f t="shared" si="14"/>
        <v>0</v>
      </c>
      <c r="AD108" s="511">
        <f t="shared" si="15"/>
        <v>0</v>
      </c>
      <c r="AE108" s="511">
        <f t="shared" si="16"/>
        <v>0</v>
      </c>
      <c r="AF108" s="511">
        <f t="shared" si="6"/>
        <v>0</v>
      </c>
      <c r="AG108" s="511">
        <f>IF(AF108=0,35,_xlfn.RANK.EQ(AF108,AF98:AF132))</f>
        <v>35</v>
      </c>
      <c r="AH108" s="512">
        <f>IF(AG108=35,35,AG108+COUNTIF(AG$98:AG107,AG108)/COUNTIF(AG$98:AG$132,AG108))</f>
        <v>35</v>
      </c>
      <c r="AI108" s="511">
        <f t="shared" si="17"/>
        <v>14</v>
      </c>
      <c r="AJ108" s="511" t="s">
        <v>408</v>
      </c>
      <c r="AK108" s="511">
        <f t="shared" si="18"/>
        <v>0</v>
      </c>
      <c r="AL108" s="511">
        <f t="shared" si="19"/>
        <v>0</v>
      </c>
      <c r="AM108" s="511">
        <f t="shared" si="20"/>
        <v>0</v>
      </c>
      <c r="AN108" s="511">
        <f t="shared" si="21"/>
        <v>0</v>
      </c>
      <c r="AO108" s="511">
        <f t="shared" si="22"/>
        <v>0</v>
      </c>
      <c r="AP108" s="511">
        <f t="shared" si="23"/>
        <v>0</v>
      </c>
      <c r="AQ108" s="511">
        <f t="shared" si="24"/>
        <v>0</v>
      </c>
      <c r="AR108" s="511">
        <f t="shared" si="25"/>
        <v>0</v>
      </c>
      <c r="AS108" s="511">
        <f t="shared" si="26"/>
        <v>0</v>
      </c>
      <c r="AT108" s="511">
        <f t="shared" si="27"/>
        <v>0</v>
      </c>
      <c r="AU108" s="511">
        <f>IF(AT108=0,35,_xlfn.RANK.EQ(AT108,AT98:AT132))</f>
        <v>35</v>
      </c>
      <c r="AV108" s="512">
        <f>IF(AU108=35,35,AU108+COUNTIF(AU$98:AU107,AU108)/COUNTIF(AU$98:AU$132,AU108))</f>
        <v>35</v>
      </c>
      <c r="AW108" s="511">
        <f t="shared" si="28"/>
        <v>13</v>
      </c>
      <c r="AX108" s="511" t="s">
        <v>408</v>
      </c>
      <c r="AY108" s="511">
        <f t="shared" si="29"/>
        <v>0</v>
      </c>
      <c r="AZ108" s="511">
        <f t="shared" si="30"/>
        <v>0</v>
      </c>
      <c r="BA108" s="511">
        <f t="shared" si="31"/>
        <v>0</v>
      </c>
      <c r="BB108" s="511">
        <f t="shared" si="32"/>
        <v>0</v>
      </c>
      <c r="BC108" s="511">
        <f t="shared" si="33"/>
        <v>0</v>
      </c>
      <c r="BD108" s="511">
        <f t="shared" si="34"/>
        <v>0</v>
      </c>
      <c r="BE108" s="511">
        <f t="shared" si="35"/>
        <v>0</v>
      </c>
      <c r="BF108" s="511">
        <f t="shared" si="36"/>
        <v>0</v>
      </c>
      <c r="BG108" s="511">
        <f t="shared" si="37"/>
        <v>0</v>
      </c>
      <c r="BH108" s="511">
        <f t="shared" si="38"/>
        <v>0</v>
      </c>
      <c r="BI108" s="511">
        <f>IF(BH108=0,35,_xlfn.RANK.EQ(BH108,BH98:BH132))</f>
        <v>35</v>
      </c>
      <c r="BJ108" s="512">
        <f>IF(BI108=35,35,BI108+COUNTIF(BI$98:BI107,BI108)/COUNTIF(BI$98:BI$132,BI108))</f>
        <v>35</v>
      </c>
      <c r="BK108" s="511">
        <f t="shared" si="39"/>
        <v>13</v>
      </c>
      <c r="BL108" s="511" t="s">
        <v>408</v>
      </c>
      <c r="BM108" s="511">
        <f t="shared" si="40"/>
        <v>0</v>
      </c>
      <c r="BN108" s="511">
        <f t="shared" si="41"/>
        <v>0</v>
      </c>
      <c r="BO108" s="511">
        <f t="shared" si="42"/>
        <v>0</v>
      </c>
      <c r="BP108" s="511">
        <f t="shared" si="43"/>
        <v>0</v>
      </c>
      <c r="BQ108" s="511">
        <f t="shared" si="44"/>
        <v>0</v>
      </c>
      <c r="BR108" s="511">
        <f t="shared" si="45"/>
        <v>0</v>
      </c>
      <c r="BS108" s="511">
        <f t="shared" si="46"/>
        <v>0</v>
      </c>
      <c r="BT108" s="511">
        <f t="shared" si="47"/>
        <v>0</v>
      </c>
      <c r="BU108" s="511">
        <f t="shared" si="48"/>
        <v>0</v>
      </c>
      <c r="BV108" s="511">
        <f t="shared" si="49"/>
        <v>0</v>
      </c>
      <c r="BW108" s="511">
        <f>IF(BV108=0,35,_xlfn.RANK.EQ(BV108,BV98:BV132))</f>
        <v>35</v>
      </c>
      <c r="BX108" s="512">
        <f>IF(BW108=35,35,BW108+COUNTIF(BW$98:BW107,BW108)/COUNTIF(BW$98:BW$132,BW108))</f>
        <v>35</v>
      </c>
      <c r="BY108" s="511">
        <f t="shared" si="50"/>
        <v>13</v>
      </c>
      <c r="BZ108" s="511" t="s">
        <v>408</v>
      </c>
      <c r="CA108" s="511">
        <f t="shared" si="51"/>
        <v>0</v>
      </c>
      <c r="CB108" s="511">
        <f t="shared" si="52"/>
        <v>0</v>
      </c>
      <c r="CC108" s="511">
        <f t="shared" si="53"/>
        <v>0</v>
      </c>
      <c r="CD108" s="511">
        <f t="shared" si="54"/>
        <v>0</v>
      </c>
      <c r="CE108" s="511">
        <f t="shared" si="55"/>
        <v>0</v>
      </c>
      <c r="CF108" s="511">
        <f t="shared" si="56"/>
        <v>0</v>
      </c>
      <c r="CG108" s="511">
        <f t="shared" si="57"/>
        <v>0</v>
      </c>
      <c r="CH108" s="511">
        <f t="shared" si="58"/>
        <v>0</v>
      </c>
      <c r="CI108" s="511">
        <f t="shared" si="59"/>
        <v>0</v>
      </c>
      <c r="CJ108" s="511">
        <f t="shared" si="60"/>
        <v>0</v>
      </c>
      <c r="CK108" s="511">
        <f>IF(CJ108=0,35,_xlfn.RANK.EQ(CJ108,CJ98:CJ132))</f>
        <v>35</v>
      </c>
      <c r="CL108" s="512">
        <f>IF(CK108=35,35,CK108+COUNTIF(CK$98:CK107,CK108)/COUNTIF(CK$98:CK$132,CK108))</f>
        <v>35</v>
      </c>
      <c r="CM108" s="511">
        <f t="shared" si="61"/>
        <v>12</v>
      </c>
      <c r="CN108" s="511" t="s">
        <v>408</v>
      </c>
      <c r="CO108" s="515"/>
      <c r="CP108" s="515"/>
      <c r="CQ108" s="516"/>
    </row>
    <row r="109" spans="1:95" s="473" customFormat="1">
      <c r="U109" s="510">
        <f t="shared" si="7"/>
        <v>12</v>
      </c>
      <c r="V109" s="511" t="s">
        <v>409</v>
      </c>
      <c r="W109" s="511">
        <f t="shared" si="8"/>
        <v>0</v>
      </c>
      <c r="X109" s="511">
        <f t="shared" si="9"/>
        <v>0</v>
      </c>
      <c r="Y109" s="511">
        <f t="shared" si="10"/>
        <v>0</v>
      </c>
      <c r="Z109" s="511">
        <f t="shared" si="11"/>
        <v>0</v>
      </c>
      <c r="AA109" s="511">
        <f t="shared" si="12"/>
        <v>0</v>
      </c>
      <c r="AB109" s="511">
        <f t="shared" si="13"/>
        <v>0</v>
      </c>
      <c r="AC109" s="511">
        <f t="shared" si="14"/>
        <v>0</v>
      </c>
      <c r="AD109" s="511">
        <f t="shared" si="15"/>
        <v>0</v>
      </c>
      <c r="AE109" s="511">
        <f t="shared" si="16"/>
        <v>0</v>
      </c>
      <c r="AF109" s="511">
        <f t="shared" si="6"/>
        <v>0</v>
      </c>
      <c r="AG109" s="511">
        <f>IF(AF109=0,35,_xlfn.RANK.EQ(AF109,AF98:AF132))</f>
        <v>35</v>
      </c>
      <c r="AH109" s="512">
        <f>IF(AG109=35,35,AG109+COUNTIF(AG$98:AG108,AG109)/COUNTIF(AG$98:AG$132,AG109))</f>
        <v>35</v>
      </c>
      <c r="AI109" s="511">
        <f t="shared" si="17"/>
        <v>14</v>
      </c>
      <c r="AJ109" s="511" t="s">
        <v>409</v>
      </c>
      <c r="AK109" s="511">
        <f t="shared" si="18"/>
        <v>0</v>
      </c>
      <c r="AL109" s="511">
        <f t="shared" si="19"/>
        <v>0</v>
      </c>
      <c r="AM109" s="511">
        <f t="shared" si="20"/>
        <v>0</v>
      </c>
      <c r="AN109" s="511">
        <f t="shared" si="21"/>
        <v>0</v>
      </c>
      <c r="AO109" s="511">
        <f t="shared" si="22"/>
        <v>0</v>
      </c>
      <c r="AP109" s="511">
        <f t="shared" si="23"/>
        <v>0</v>
      </c>
      <c r="AQ109" s="511">
        <f t="shared" si="24"/>
        <v>0</v>
      </c>
      <c r="AR109" s="511">
        <f t="shared" si="25"/>
        <v>0</v>
      </c>
      <c r="AS109" s="511">
        <f t="shared" si="26"/>
        <v>0</v>
      </c>
      <c r="AT109" s="511">
        <f t="shared" si="27"/>
        <v>0</v>
      </c>
      <c r="AU109" s="511">
        <f>IF(AT109=0,35,_xlfn.RANK.EQ(AT109,AT98:AT132))</f>
        <v>35</v>
      </c>
      <c r="AV109" s="512">
        <f>IF(AU109=35,35,AU109+COUNTIF(AU$98:AU108,AU109)/COUNTIF(AU$98:AU$132,AU109))</f>
        <v>35</v>
      </c>
      <c r="AW109" s="511">
        <f t="shared" si="28"/>
        <v>13</v>
      </c>
      <c r="AX109" s="511" t="s">
        <v>409</v>
      </c>
      <c r="AY109" s="511">
        <f t="shared" si="29"/>
        <v>0</v>
      </c>
      <c r="AZ109" s="511">
        <f t="shared" si="30"/>
        <v>0</v>
      </c>
      <c r="BA109" s="511">
        <f t="shared" si="31"/>
        <v>0</v>
      </c>
      <c r="BB109" s="511">
        <f t="shared" si="32"/>
        <v>0</v>
      </c>
      <c r="BC109" s="511">
        <f t="shared" si="33"/>
        <v>0</v>
      </c>
      <c r="BD109" s="511">
        <f t="shared" si="34"/>
        <v>0</v>
      </c>
      <c r="BE109" s="511">
        <f t="shared" si="35"/>
        <v>0</v>
      </c>
      <c r="BF109" s="511">
        <f t="shared" si="36"/>
        <v>0</v>
      </c>
      <c r="BG109" s="511">
        <f t="shared" si="37"/>
        <v>0</v>
      </c>
      <c r="BH109" s="511">
        <f t="shared" si="38"/>
        <v>0</v>
      </c>
      <c r="BI109" s="511">
        <f>IF(BH109=0,35,_xlfn.RANK.EQ(BH109,BH98:BH132))</f>
        <v>35</v>
      </c>
      <c r="BJ109" s="512">
        <f>IF(BI109=35,35,BI109+COUNTIF(BI$98:BI108,BI109)/COUNTIF(BI$98:BI$132,BI109))</f>
        <v>35</v>
      </c>
      <c r="BK109" s="511">
        <f t="shared" si="39"/>
        <v>13</v>
      </c>
      <c r="BL109" s="511" t="s">
        <v>409</v>
      </c>
      <c r="BM109" s="511">
        <f t="shared" si="40"/>
        <v>0</v>
      </c>
      <c r="BN109" s="511">
        <f t="shared" si="41"/>
        <v>0</v>
      </c>
      <c r="BO109" s="511">
        <f t="shared" si="42"/>
        <v>0</v>
      </c>
      <c r="BP109" s="511">
        <f t="shared" si="43"/>
        <v>0</v>
      </c>
      <c r="BQ109" s="511">
        <f t="shared" si="44"/>
        <v>0</v>
      </c>
      <c r="BR109" s="511">
        <f t="shared" si="45"/>
        <v>0</v>
      </c>
      <c r="BS109" s="511">
        <f t="shared" si="46"/>
        <v>0</v>
      </c>
      <c r="BT109" s="511">
        <f t="shared" si="47"/>
        <v>0</v>
      </c>
      <c r="BU109" s="511">
        <f t="shared" si="48"/>
        <v>0</v>
      </c>
      <c r="BV109" s="511">
        <f t="shared" si="49"/>
        <v>0</v>
      </c>
      <c r="BW109" s="511">
        <f>IF(BV109=0,35,_xlfn.RANK.EQ(BV109,BV98:BV132))</f>
        <v>35</v>
      </c>
      <c r="BX109" s="512">
        <f>IF(BW109=35,35,BW109+COUNTIF(BW$98:BW108,BW109)/COUNTIF(BW$98:BW$132,BW109))</f>
        <v>35</v>
      </c>
      <c r="BY109" s="511">
        <f t="shared" si="50"/>
        <v>13</v>
      </c>
      <c r="BZ109" s="511" t="s">
        <v>409</v>
      </c>
      <c r="CA109" s="511">
        <f t="shared" si="51"/>
        <v>0</v>
      </c>
      <c r="CB109" s="511">
        <f t="shared" si="52"/>
        <v>0</v>
      </c>
      <c r="CC109" s="511">
        <f t="shared" si="53"/>
        <v>0</v>
      </c>
      <c r="CD109" s="511">
        <f t="shared" si="54"/>
        <v>0</v>
      </c>
      <c r="CE109" s="511">
        <f t="shared" si="55"/>
        <v>0</v>
      </c>
      <c r="CF109" s="511">
        <f t="shared" si="56"/>
        <v>0</v>
      </c>
      <c r="CG109" s="511">
        <f t="shared" si="57"/>
        <v>0</v>
      </c>
      <c r="CH109" s="511">
        <f t="shared" si="58"/>
        <v>0</v>
      </c>
      <c r="CI109" s="511">
        <f t="shared" si="59"/>
        <v>0</v>
      </c>
      <c r="CJ109" s="511">
        <f t="shared" si="60"/>
        <v>0</v>
      </c>
      <c r="CK109" s="511">
        <f>IF(CJ109=0,35,_xlfn.RANK.EQ(CJ109,CJ98:CJ132))</f>
        <v>35</v>
      </c>
      <c r="CL109" s="512">
        <f>IF(CK109=35,35,CK109+COUNTIF(CK$98:CK108,CK109)/COUNTIF(CK$98:CK$132,CK109))</f>
        <v>35</v>
      </c>
      <c r="CM109" s="511">
        <f t="shared" si="61"/>
        <v>12</v>
      </c>
      <c r="CN109" s="511" t="s">
        <v>409</v>
      </c>
      <c r="CO109" s="515"/>
      <c r="CP109" s="515"/>
      <c r="CQ109" s="516"/>
    </row>
    <row r="110" spans="1:95" s="473" customFormat="1">
      <c r="U110" s="510">
        <f t="shared" si="7"/>
        <v>13</v>
      </c>
      <c r="V110" s="511" t="s">
        <v>378</v>
      </c>
      <c r="W110" s="511">
        <f t="shared" si="8"/>
        <v>1</v>
      </c>
      <c r="X110" s="511">
        <f t="shared" si="9"/>
        <v>1</v>
      </c>
      <c r="Y110" s="511">
        <f t="shared" si="10"/>
        <v>2</v>
      </c>
      <c r="Z110" s="511">
        <f t="shared" si="11"/>
        <v>2</v>
      </c>
      <c r="AA110" s="511">
        <f t="shared" si="12"/>
        <v>2</v>
      </c>
      <c r="AB110" s="511">
        <f t="shared" si="13"/>
        <v>2</v>
      </c>
      <c r="AC110" s="511">
        <f t="shared" si="14"/>
        <v>2</v>
      </c>
      <c r="AD110" s="511">
        <f t="shared" si="15"/>
        <v>1</v>
      </c>
      <c r="AE110" s="511">
        <f t="shared" si="16"/>
        <v>1</v>
      </c>
      <c r="AF110" s="511">
        <f t="shared" si="6"/>
        <v>13</v>
      </c>
      <c r="AG110" s="511">
        <f>IF(AF110=0,35,_xlfn.RANK.EQ(AF110,AF98:AF132))</f>
        <v>11</v>
      </c>
      <c r="AH110" s="512">
        <f>IF(AG110=35,35,AG110+COUNTIF(AG$98:AG109,AG110)/COUNTIF(AG$98:AG$132,AG110))</f>
        <v>11.5</v>
      </c>
      <c r="AI110" s="511">
        <f t="shared" si="17"/>
        <v>12</v>
      </c>
      <c r="AJ110" s="511" t="s">
        <v>378</v>
      </c>
      <c r="AK110" s="511">
        <f t="shared" si="18"/>
        <v>6</v>
      </c>
      <c r="AL110" s="511">
        <f t="shared" si="19"/>
        <v>6</v>
      </c>
      <c r="AM110" s="511">
        <f t="shared" si="20"/>
        <v>6</v>
      </c>
      <c r="AN110" s="511">
        <f t="shared" si="21"/>
        <v>6</v>
      </c>
      <c r="AO110" s="511">
        <f t="shared" si="22"/>
        <v>5</v>
      </c>
      <c r="AP110" s="511">
        <f t="shared" si="23"/>
        <v>4</v>
      </c>
      <c r="AQ110" s="511">
        <f t="shared" si="24"/>
        <v>6</v>
      </c>
      <c r="AR110" s="511">
        <f t="shared" si="25"/>
        <v>4</v>
      </c>
      <c r="AS110" s="511">
        <f t="shared" si="26"/>
        <v>4</v>
      </c>
      <c r="AT110" s="511">
        <f t="shared" si="27"/>
        <v>43</v>
      </c>
      <c r="AU110" s="511">
        <f>IF(AT110=0,35,_xlfn.RANK.EQ(AT110,AT98:AT132))</f>
        <v>7</v>
      </c>
      <c r="AV110" s="512">
        <f>IF(AU110=35,35,AU110+COUNTIF(AU$98:AU109,AU110)/COUNTIF(AU$98:AU$132,AU110))</f>
        <v>7</v>
      </c>
      <c r="AW110" s="511">
        <f t="shared" si="28"/>
        <v>7</v>
      </c>
      <c r="AX110" s="511" t="s">
        <v>378</v>
      </c>
      <c r="AY110" s="511">
        <f t="shared" si="29"/>
        <v>8</v>
      </c>
      <c r="AZ110" s="511">
        <f t="shared" si="30"/>
        <v>8</v>
      </c>
      <c r="BA110" s="511">
        <f t="shared" si="31"/>
        <v>9</v>
      </c>
      <c r="BB110" s="511">
        <f t="shared" si="32"/>
        <v>9</v>
      </c>
      <c r="BC110" s="511">
        <f t="shared" si="33"/>
        <v>8</v>
      </c>
      <c r="BD110" s="511">
        <f t="shared" si="34"/>
        <v>4</v>
      </c>
      <c r="BE110" s="511">
        <f t="shared" si="35"/>
        <v>4</v>
      </c>
      <c r="BF110" s="511">
        <f t="shared" si="36"/>
        <v>4</v>
      </c>
      <c r="BG110" s="511">
        <f t="shared" si="37"/>
        <v>6</v>
      </c>
      <c r="BH110" s="511">
        <f t="shared" si="38"/>
        <v>54</v>
      </c>
      <c r="BI110" s="511">
        <f>IF(BH110=0,35,_xlfn.RANK.EQ(BH110,BH98:BH132))</f>
        <v>4</v>
      </c>
      <c r="BJ110" s="512">
        <f>IF(BI110=35,35,BI110+COUNTIF(BI$98:BI109,BI110)/COUNTIF(BI$98:BI$132,BI110))</f>
        <v>4</v>
      </c>
      <c r="BK110" s="511">
        <f t="shared" si="39"/>
        <v>4</v>
      </c>
      <c r="BL110" s="511" t="s">
        <v>378</v>
      </c>
      <c r="BM110" s="511">
        <f t="shared" si="40"/>
        <v>0</v>
      </c>
      <c r="BN110" s="511">
        <f t="shared" si="41"/>
        <v>0</v>
      </c>
      <c r="BO110" s="511">
        <f t="shared" si="42"/>
        <v>0</v>
      </c>
      <c r="BP110" s="511">
        <f t="shared" si="43"/>
        <v>0</v>
      </c>
      <c r="BQ110" s="511">
        <f t="shared" si="44"/>
        <v>0</v>
      </c>
      <c r="BR110" s="511">
        <f t="shared" si="45"/>
        <v>0</v>
      </c>
      <c r="BS110" s="511">
        <f t="shared" si="46"/>
        <v>0</v>
      </c>
      <c r="BT110" s="511">
        <f t="shared" si="47"/>
        <v>0</v>
      </c>
      <c r="BU110" s="511">
        <f t="shared" si="48"/>
        <v>9</v>
      </c>
      <c r="BV110" s="511">
        <f t="shared" si="49"/>
        <v>0</v>
      </c>
      <c r="BW110" s="511">
        <f>IF(BV110=0,35,_xlfn.RANK.EQ(BV110,BV98:BV132))</f>
        <v>35</v>
      </c>
      <c r="BX110" s="512">
        <f>IF(BW110=35,35,BW110+COUNTIF(BW$98:BW109,BW110)/COUNTIF(BW$98:BW$132,BW110))</f>
        <v>35</v>
      </c>
      <c r="BY110" s="511">
        <f t="shared" si="50"/>
        <v>13</v>
      </c>
      <c r="BZ110" s="511" t="s">
        <v>378</v>
      </c>
      <c r="CA110" s="511">
        <f t="shared" si="51"/>
        <v>5</v>
      </c>
      <c r="CB110" s="511">
        <f t="shared" si="52"/>
        <v>5</v>
      </c>
      <c r="CC110" s="511">
        <f t="shared" si="53"/>
        <v>5</v>
      </c>
      <c r="CD110" s="511">
        <f t="shared" si="54"/>
        <v>4</v>
      </c>
      <c r="CE110" s="511">
        <f t="shared" si="55"/>
        <v>4</v>
      </c>
      <c r="CF110" s="511">
        <f t="shared" si="56"/>
        <v>3</v>
      </c>
      <c r="CG110" s="511">
        <f t="shared" si="57"/>
        <v>3</v>
      </c>
      <c r="CH110" s="511">
        <f t="shared" si="58"/>
        <v>3</v>
      </c>
      <c r="CI110" s="511">
        <f t="shared" si="59"/>
        <v>3</v>
      </c>
      <c r="CJ110" s="511">
        <f t="shared" si="60"/>
        <v>32</v>
      </c>
      <c r="CK110" s="511">
        <f>IF(CJ110=0,35,_xlfn.RANK.EQ(CJ110,CJ98:CJ132))</f>
        <v>7</v>
      </c>
      <c r="CL110" s="512">
        <f>IF(CK110=35,35,CK110+COUNTIF(CK$98:CK109,CK110)/COUNTIF(CK$98:CK$132,CK110))</f>
        <v>7</v>
      </c>
      <c r="CM110" s="511">
        <f t="shared" si="61"/>
        <v>7</v>
      </c>
      <c r="CN110" s="511" t="s">
        <v>378</v>
      </c>
      <c r="CO110" s="515"/>
      <c r="CP110" s="515"/>
      <c r="CQ110" s="516"/>
    </row>
    <row r="111" spans="1:95" s="473" customFormat="1">
      <c r="U111" s="510">
        <f t="shared" si="7"/>
        <v>14</v>
      </c>
      <c r="V111" s="511" t="s">
        <v>385</v>
      </c>
      <c r="W111" s="511">
        <f t="shared" si="8"/>
        <v>8</v>
      </c>
      <c r="X111" s="511">
        <f t="shared" si="9"/>
        <v>8</v>
      </c>
      <c r="Y111" s="511">
        <f t="shared" si="10"/>
        <v>9</v>
      </c>
      <c r="Z111" s="511">
        <f t="shared" si="11"/>
        <v>0</v>
      </c>
      <c r="AA111" s="511">
        <f t="shared" si="12"/>
        <v>0</v>
      </c>
      <c r="AB111" s="511">
        <f t="shared" si="13"/>
        <v>9</v>
      </c>
      <c r="AC111" s="511">
        <f t="shared" si="14"/>
        <v>0</v>
      </c>
      <c r="AD111" s="511">
        <f t="shared" si="15"/>
        <v>0</v>
      </c>
      <c r="AE111" s="511">
        <f t="shared" si="16"/>
        <v>0</v>
      </c>
      <c r="AF111" s="511">
        <f t="shared" si="6"/>
        <v>34</v>
      </c>
      <c r="AG111" s="511">
        <f>IF(AF111=0,35,_xlfn.RANK.EQ(AF111,AF98:AF132))</f>
        <v>6</v>
      </c>
      <c r="AH111" s="512">
        <f>IF(AG111=35,35,AG111+COUNTIF(AG$98:AG110,AG111)/COUNTIF(AG$98:AG$132,AG111))</f>
        <v>6</v>
      </c>
      <c r="AI111" s="511">
        <f t="shared" si="17"/>
        <v>6</v>
      </c>
      <c r="AJ111" s="511" t="s">
        <v>385</v>
      </c>
      <c r="AK111" s="511">
        <f t="shared" si="18"/>
        <v>0</v>
      </c>
      <c r="AL111" s="511">
        <f t="shared" si="19"/>
        <v>0</v>
      </c>
      <c r="AM111" s="511">
        <f t="shared" si="20"/>
        <v>0</v>
      </c>
      <c r="AN111" s="511">
        <f t="shared" si="21"/>
        <v>0</v>
      </c>
      <c r="AO111" s="511">
        <f t="shared" si="22"/>
        <v>0</v>
      </c>
      <c r="AP111" s="511">
        <f t="shared" si="23"/>
        <v>0</v>
      </c>
      <c r="AQ111" s="511">
        <f t="shared" si="24"/>
        <v>0</v>
      </c>
      <c r="AR111" s="511">
        <f t="shared" si="25"/>
        <v>0</v>
      </c>
      <c r="AS111" s="511">
        <f t="shared" si="26"/>
        <v>0</v>
      </c>
      <c r="AT111" s="511">
        <f t="shared" si="27"/>
        <v>0</v>
      </c>
      <c r="AU111" s="511">
        <f>IF(AT111=0,35,_xlfn.RANK.EQ(AT111,AT98:AT132))</f>
        <v>35</v>
      </c>
      <c r="AV111" s="512">
        <f>IF(AU111=35,35,AU111+COUNTIF(AU$98:AU110,AU111)/COUNTIF(AU$98:AU$132,AU111))</f>
        <v>35</v>
      </c>
      <c r="AW111" s="511">
        <f t="shared" si="28"/>
        <v>13</v>
      </c>
      <c r="AX111" s="511" t="s">
        <v>385</v>
      </c>
      <c r="AY111" s="511">
        <f t="shared" si="29"/>
        <v>0</v>
      </c>
      <c r="AZ111" s="511">
        <f t="shared" si="30"/>
        <v>0</v>
      </c>
      <c r="BA111" s="511">
        <f t="shared" si="31"/>
        <v>0</v>
      </c>
      <c r="BB111" s="511">
        <f t="shared" si="32"/>
        <v>0</v>
      </c>
      <c r="BC111" s="511">
        <f t="shared" si="33"/>
        <v>0</v>
      </c>
      <c r="BD111" s="511">
        <f t="shared" si="34"/>
        <v>0</v>
      </c>
      <c r="BE111" s="511">
        <f t="shared" si="35"/>
        <v>0</v>
      </c>
      <c r="BF111" s="511">
        <f t="shared" si="36"/>
        <v>0</v>
      </c>
      <c r="BG111" s="511">
        <f t="shared" si="37"/>
        <v>0</v>
      </c>
      <c r="BH111" s="511">
        <f t="shared" si="38"/>
        <v>0</v>
      </c>
      <c r="BI111" s="511">
        <f>IF(BH111=0,35,_xlfn.RANK.EQ(BH111,BH98:BH132))</f>
        <v>35</v>
      </c>
      <c r="BJ111" s="512">
        <f>IF(BI111=35,35,BI111+COUNTIF(BI$98:BI110,BI111)/COUNTIF(BI$98:BI$132,BI111))</f>
        <v>35</v>
      </c>
      <c r="BK111" s="511">
        <f t="shared" si="39"/>
        <v>13</v>
      </c>
      <c r="BL111" s="511" t="s">
        <v>385</v>
      </c>
      <c r="BM111" s="511">
        <f t="shared" si="40"/>
        <v>0</v>
      </c>
      <c r="BN111" s="511">
        <f t="shared" si="41"/>
        <v>0</v>
      </c>
      <c r="BO111" s="511">
        <f t="shared" si="42"/>
        <v>0</v>
      </c>
      <c r="BP111" s="511">
        <f t="shared" si="43"/>
        <v>0</v>
      </c>
      <c r="BQ111" s="511">
        <f t="shared" si="44"/>
        <v>0</v>
      </c>
      <c r="BR111" s="511">
        <f t="shared" si="45"/>
        <v>0</v>
      </c>
      <c r="BS111" s="511">
        <f t="shared" si="46"/>
        <v>0</v>
      </c>
      <c r="BT111" s="511">
        <f t="shared" si="47"/>
        <v>0</v>
      </c>
      <c r="BU111" s="511">
        <f t="shared" si="48"/>
        <v>0</v>
      </c>
      <c r="BV111" s="511">
        <f t="shared" si="49"/>
        <v>0</v>
      </c>
      <c r="BW111" s="511">
        <f>IF(BV111=0,35,_xlfn.RANK.EQ(BV111,BV98:BV132))</f>
        <v>35</v>
      </c>
      <c r="BX111" s="512">
        <f>IF(BW111=35,35,BW111+COUNTIF(BW$98:BW110,BW111)/COUNTIF(BW$98:BW$132,BW111))</f>
        <v>35</v>
      </c>
      <c r="BY111" s="511">
        <f t="shared" si="50"/>
        <v>13</v>
      </c>
      <c r="BZ111" s="511" t="s">
        <v>385</v>
      </c>
      <c r="CA111" s="511">
        <f t="shared" si="51"/>
        <v>0</v>
      </c>
      <c r="CB111" s="511">
        <f t="shared" si="52"/>
        <v>0</v>
      </c>
      <c r="CC111" s="511">
        <f t="shared" si="53"/>
        <v>0</v>
      </c>
      <c r="CD111" s="511">
        <f t="shared" si="54"/>
        <v>0</v>
      </c>
      <c r="CE111" s="511">
        <f t="shared" si="55"/>
        <v>0</v>
      </c>
      <c r="CF111" s="511">
        <f t="shared" si="56"/>
        <v>0</v>
      </c>
      <c r="CG111" s="511">
        <f t="shared" si="57"/>
        <v>0</v>
      </c>
      <c r="CH111" s="511">
        <f t="shared" si="58"/>
        <v>0</v>
      </c>
      <c r="CI111" s="511">
        <f t="shared" si="59"/>
        <v>0</v>
      </c>
      <c r="CJ111" s="511">
        <f t="shared" si="60"/>
        <v>0</v>
      </c>
      <c r="CK111" s="511">
        <f>IF(CJ111=0,35,_xlfn.RANK.EQ(CJ111,CJ98:CJ132))</f>
        <v>35</v>
      </c>
      <c r="CL111" s="512">
        <f>IF(CK111=35,35,CK111+COUNTIF(CK$98:CK110,CK111)/COUNTIF(CK$98:CK$132,CK111))</f>
        <v>35</v>
      </c>
      <c r="CM111" s="511">
        <f t="shared" si="61"/>
        <v>12</v>
      </c>
      <c r="CN111" s="511" t="s">
        <v>385</v>
      </c>
      <c r="CO111" s="515"/>
      <c r="CP111" s="515"/>
      <c r="CQ111" s="516"/>
    </row>
    <row r="112" spans="1:95" s="473" customFormat="1">
      <c r="U112" s="510">
        <f t="shared" si="7"/>
        <v>15</v>
      </c>
      <c r="V112" s="511" t="s">
        <v>387</v>
      </c>
      <c r="W112" s="511">
        <f t="shared" si="8"/>
        <v>0</v>
      </c>
      <c r="X112" s="511">
        <f t="shared" si="9"/>
        <v>0</v>
      </c>
      <c r="Y112" s="511">
        <f t="shared" si="10"/>
        <v>0</v>
      </c>
      <c r="Z112" s="511">
        <f t="shared" si="11"/>
        <v>0</v>
      </c>
      <c r="AA112" s="511">
        <f t="shared" si="12"/>
        <v>0</v>
      </c>
      <c r="AB112" s="511">
        <f t="shared" si="13"/>
        <v>0</v>
      </c>
      <c r="AC112" s="511">
        <f t="shared" si="14"/>
        <v>0</v>
      </c>
      <c r="AD112" s="511">
        <f t="shared" si="15"/>
        <v>0</v>
      </c>
      <c r="AE112" s="511">
        <f t="shared" si="16"/>
        <v>0</v>
      </c>
      <c r="AF112" s="511">
        <f t="shared" si="6"/>
        <v>0</v>
      </c>
      <c r="AG112" s="511">
        <f>IF(AF112=0,35,_xlfn.RANK.EQ(AF112,AF98:AF132))</f>
        <v>35</v>
      </c>
      <c r="AH112" s="512">
        <f>IF(AG112=35,35,AG112+COUNTIF(AG$98:AG111,AG112)/COUNTIF(AG$98:AG$132,AG112))</f>
        <v>35</v>
      </c>
      <c r="AI112" s="511">
        <f t="shared" si="17"/>
        <v>14</v>
      </c>
      <c r="AJ112" s="511" t="s">
        <v>387</v>
      </c>
      <c r="AK112" s="511">
        <f t="shared" si="18"/>
        <v>0</v>
      </c>
      <c r="AL112" s="511">
        <f t="shared" si="19"/>
        <v>0</v>
      </c>
      <c r="AM112" s="511">
        <f t="shared" si="20"/>
        <v>0</v>
      </c>
      <c r="AN112" s="511">
        <f t="shared" si="21"/>
        <v>0</v>
      </c>
      <c r="AO112" s="511">
        <f t="shared" si="22"/>
        <v>0</v>
      </c>
      <c r="AP112" s="511">
        <f t="shared" si="23"/>
        <v>0</v>
      </c>
      <c r="AQ112" s="511">
        <f t="shared" si="24"/>
        <v>0</v>
      </c>
      <c r="AR112" s="511">
        <f t="shared" si="25"/>
        <v>0</v>
      </c>
      <c r="AS112" s="511">
        <f t="shared" si="26"/>
        <v>0</v>
      </c>
      <c r="AT112" s="511">
        <f t="shared" si="27"/>
        <v>0</v>
      </c>
      <c r="AU112" s="511">
        <f>IF(AT112=0,35,_xlfn.RANK.EQ(AT112,AT98:AT132))</f>
        <v>35</v>
      </c>
      <c r="AV112" s="512">
        <f>IF(AU112=35,35,AU112+COUNTIF(AU$98:AU111,AU112)/COUNTIF(AU$98:AU$132,AU112))</f>
        <v>35</v>
      </c>
      <c r="AW112" s="511">
        <f t="shared" si="28"/>
        <v>13</v>
      </c>
      <c r="AX112" s="511" t="s">
        <v>387</v>
      </c>
      <c r="AY112" s="511">
        <f t="shared" si="29"/>
        <v>0</v>
      </c>
      <c r="AZ112" s="511">
        <f t="shared" si="30"/>
        <v>0</v>
      </c>
      <c r="BA112" s="511">
        <f t="shared" si="31"/>
        <v>0</v>
      </c>
      <c r="BB112" s="511">
        <f t="shared" si="32"/>
        <v>0</v>
      </c>
      <c r="BC112" s="511">
        <f t="shared" si="33"/>
        <v>0</v>
      </c>
      <c r="BD112" s="511">
        <f t="shared" si="34"/>
        <v>0</v>
      </c>
      <c r="BE112" s="511">
        <f t="shared" si="35"/>
        <v>0</v>
      </c>
      <c r="BF112" s="511">
        <f t="shared" si="36"/>
        <v>0</v>
      </c>
      <c r="BG112" s="511">
        <f t="shared" si="37"/>
        <v>0</v>
      </c>
      <c r="BH112" s="511">
        <f t="shared" si="38"/>
        <v>0</v>
      </c>
      <c r="BI112" s="511">
        <f>IF(BH112=0,35,_xlfn.RANK.EQ(BH112,BH98:BH132))</f>
        <v>35</v>
      </c>
      <c r="BJ112" s="512">
        <f>IF(BI112=35,35,BI112+COUNTIF(BI$98:BI111,BI112)/COUNTIF(BI$98:BI$132,BI112))</f>
        <v>35</v>
      </c>
      <c r="BK112" s="511">
        <f t="shared" si="39"/>
        <v>13</v>
      </c>
      <c r="BL112" s="511" t="s">
        <v>387</v>
      </c>
      <c r="BM112" s="511">
        <f t="shared" si="40"/>
        <v>0</v>
      </c>
      <c r="BN112" s="511">
        <f t="shared" si="41"/>
        <v>0</v>
      </c>
      <c r="BO112" s="511">
        <f t="shared" si="42"/>
        <v>0</v>
      </c>
      <c r="BP112" s="511">
        <f t="shared" si="43"/>
        <v>0</v>
      </c>
      <c r="BQ112" s="511">
        <f t="shared" si="44"/>
        <v>0</v>
      </c>
      <c r="BR112" s="511">
        <f t="shared" si="45"/>
        <v>0</v>
      </c>
      <c r="BS112" s="511">
        <f t="shared" si="46"/>
        <v>0</v>
      </c>
      <c r="BT112" s="511">
        <f t="shared" si="47"/>
        <v>0</v>
      </c>
      <c r="BU112" s="511">
        <f t="shared" si="48"/>
        <v>0</v>
      </c>
      <c r="BV112" s="511">
        <f t="shared" si="49"/>
        <v>0</v>
      </c>
      <c r="BW112" s="511">
        <f>IF(BV112=0,35,_xlfn.RANK.EQ(BV112,BV98:BV132))</f>
        <v>35</v>
      </c>
      <c r="BX112" s="512">
        <f>IF(BW112=35,35,BW112+COUNTIF(BW$98:BW111,BW112)/COUNTIF(BW$98:BW$132,BW112))</f>
        <v>35</v>
      </c>
      <c r="BY112" s="511">
        <f t="shared" si="50"/>
        <v>13</v>
      </c>
      <c r="BZ112" s="511" t="s">
        <v>387</v>
      </c>
      <c r="CA112" s="511">
        <f t="shared" si="51"/>
        <v>0</v>
      </c>
      <c r="CB112" s="511">
        <f t="shared" si="52"/>
        <v>0</v>
      </c>
      <c r="CC112" s="511">
        <f t="shared" si="53"/>
        <v>0</v>
      </c>
      <c r="CD112" s="511">
        <f t="shared" si="54"/>
        <v>0</v>
      </c>
      <c r="CE112" s="511">
        <f t="shared" si="55"/>
        <v>0</v>
      </c>
      <c r="CF112" s="511">
        <f t="shared" si="56"/>
        <v>0</v>
      </c>
      <c r="CG112" s="511">
        <f t="shared" si="57"/>
        <v>0</v>
      </c>
      <c r="CH112" s="511">
        <f t="shared" si="58"/>
        <v>0</v>
      </c>
      <c r="CI112" s="511">
        <f t="shared" si="59"/>
        <v>0</v>
      </c>
      <c r="CJ112" s="511">
        <f t="shared" si="60"/>
        <v>0</v>
      </c>
      <c r="CK112" s="511">
        <f>IF(CJ112=0,35,_xlfn.RANK.EQ(CJ112,CJ98:CJ132))</f>
        <v>35</v>
      </c>
      <c r="CL112" s="512">
        <f>IF(CK112=35,35,CK112+COUNTIF(CK$98:CK111,CK112)/COUNTIF(CK$98:CK$132,CK112))</f>
        <v>35</v>
      </c>
      <c r="CM112" s="511">
        <f t="shared" si="61"/>
        <v>12</v>
      </c>
      <c r="CN112" s="511" t="s">
        <v>387</v>
      </c>
      <c r="CO112" s="515"/>
      <c r="CP112" s="515"/>
      <c r="CQ112" s="516"/>
    </row>
    <row r="113" spans="21:95" s="473" customFormat="1">
      <c r="U113" s="510">
        <f t="shared" si="7"/>
        <v>16</v>
      </c>
      <c r="V113" s="511" t="s">
        <v>383</v>
      </c>
      <c r="W113" s="511">
        <f t="shared" si="8"/>
        <v>0</v>
      </c>
      <c r="X113" s="511">
        <f t="shared" si="9"/>
        <v>0</v>
      </c>
      <c r="Y113" s="511">
        <f t="shared" si="10"/>
        <v>0</v>
      </c>
      <c r="Z113" s="511">
        <f t="shared" si="11"/>
        <v>0</v>
      </c>
      <c r="AA113" s="511">
        <f t="shared" si="12"/>
        <v>0</v>
      </c>
      <c r="AB113" s="511">
        <f t="shared" si="13"/>
        <v>0</v>
      </c>
      <c r="AC113" s="511">
        <f t="shared" si="14"/>
        <v>0</v>
      </c>
      <c r="AD113" s="511">
        <f t="shared" si="15"/>
        <v>0</v>
      </c>
      <c r="AE113" s="511">
        <f t="shared" si="16"/>
        <v>0</v>
      </c>
      <c r="AF113" s="511">
        <f t="shared" si="6"/>
        <v>0</v>
      </c>
      <c r="AG113" s="511">
        <f>IF(AF113=0,35,_xlfn.RANK.EQ(AF113,AF98:AF132))</f>
        <v>35</v>
      </c>
      <c r="AH113" s="512">
        <f>IF(AG113=35,35,AG113+COUNTIF(AG$98:AG112,AG113)/COUNTIF(AG$98:AG$132,AG113))</f>
        <v>35</v>
      </c>
      <c r="AI113" s="511">
        <f t="shared" si="17"/>
        <v>14</v>
      </c>
      <c r="AJ113" s="511" t="s">
        <v>383</v>
      </c>
      <c r="AK113" s="511">
        <f t="shared" si="18"/>
        <v>0</v>
      </c>
      <c r="AL113" s="511">
        <f t="shared" si="19"/>
        <v>0</v>
      </c>
      <c r="AM113" s="511">
        <f t="shared" si="20"/>
        <v>0</v>
      </c>
      <c r="AN113" s="511">
        <f t="shared" si="21"/>
        <v>0</v>
      </c>
      <c r="AO113" s="511">
        <f t="shared" si="22"/>
        <v>0</v>
      </c>
      <c r="AP113" s="511">
        <f t="shared" si="23"/>
        <v>0</v>
      </c>
      <c r="AQ113" s="511">
        <f t="shared" si="24"/>
        <v>0</v>
      </c>
      <c r="AR113" s="511">
        <f t="shared" si="25"/>
        <v>0</v>
      </c>
      <c r="AS113" s="511">
        <f t="shared" si="26"/>
        <v>0</v>
      </c>
      <c r="AT113" s="511">
        <f t="shared" si="27"/>
        <v>0</v>
      </c>
      <c r="AU113" s="511">
        <f>IF(AT113=0,35,_xlfn.RANK.EQ(AT113,AT98:AT132))</f>
        <v>35</v>
      </c>
      <c r="AV113" s="512">
        <f>IF(AU113=35,35,AU113+COUNTIF(AU$98:AU112,AU113)/COUNTIF(AU$98:AU$132,AU113))</f>
        <v>35</v>
      </c>
      <c r="AW113" s="511">
        <f t="shared" si="28"/>
        <v>13</v>
      </c>
      <c r="AX113" s="511" t="s">
        <v>383</v>
      </c>
      <c r="AY113" s="511">
        <f t="shared" si="29"/>
        <v>0</v>
      </c>
      <c r="AZ113" s="511">
        <f t="shared" si="30"/>
        <v>0</v>
      </c>
      <c r="BA113" s="511">
        <f t="shared" si="31"/>
        <v>0</v>
      </c>
      <c r="BB113" s="511">
        <f t="shared" si="32"/>
        <v>0</v>
      </c>
      <c r="BC113" s="511">
        <f t="shared" si="33"/>
        <v>0</v>
      </c>
      <c r="BD113" s="511">
        <f t="shared" si="34"/>
        <v>0</v>
      </c>
      <c r="BE113" s="511">
        <f t="shared" si="35"/>
        <v>0</v>
      </c>
      <c r="BF113" s="511">
        <f t="shared" si="36"/>
        <v>0</v>
      </c>
      <c r="BG113" s="511">
        <f t="shared" si="37"/>
        <v>0</v>
      </c>
      <c r="BH113" s="511">
        <f t="shared" si="38"/>
        <v>0</v>
      </c>
      <c r="BI113" s="511">
        <f>IF(BH113=0,35,_xlfn.RANK.EQ(BH113,BH98:BH132))</f>
        <v>35</v>
      </c>
      <c r="BJ113" s="512">
        <f>IF(BI113=35,35,BI113+COUNTIF(BI$98:BI112,BI113)/COUNTIF(BI$98:BI$132,BI113))</f>
        <v>35</v>
      </c>
      <c r="BK113" s="511">
        <f t="shared" si="39"/>
        <v>13</v>
      </c>
      <c r="BL113" s="511" t="s">
        <v>383</v>
      </c>
      <c r="BM113" s="511">
        <f t="shared" si="40"/>
        <v>0</v>
      </c>
      <c r="BN113" s="511">
        <f t="shared" si="41"/>
        <v>0</v>
      </c>
      <c r="BO113" s="511">
        <f t="shared" si="42"/>
        <v>0</v>
      </c>
      <c r="BP113" s="511">
        <f t="shared" si="43"/>
        <v>0</v>
      </c>
      <c r="BQ113" s="511">
        <f t="shared" si="44"/>
        <v>0</v>
      </c>
      <c r="BR113" s="511">
        <f t="shared" si="45"/>
        <v>0</v>
      </c>
      <c r="BS113" s="511">
        <f t="shared" si="46"/>
        <v>0</v>
      </c>
      <c r="BT113" s="511">
        <f t="shared" si="47"/>
        <v>0</v>
      </c>
      <c r="BU113" s="511">
        <f t="shared" si="48"/>
        <v>0</v>
      </c>
      <c r="BV113" s="511">
        <f t="shared" si="49"/>
        <v>0</v>
      </c>
      <c r="BW113" s="511">
        <f>IF(BV113=0,35,_xlfn.RANK.EQ(BV113,BV98:BV132))</f>
        <v>35</v>
      </c>
      <c r="BX113" s="512">
        <f>IF(BW113=35,35,BW113+COUNTIF(BW$98:BW112,BW113)/COUNTIF(BW$98:BW$132,BW113))</f>
        <v>35</v>
      </c>
      <c r="BY113" s="511">
        <f t="shared" si="50"/>
        <v>13</v>
      </c>
      <c r="BZ113" s="511" t="s">
        <v>383</v>
      </c>
      <c r="CA113" s="511">
        <f t="shared" si="51"/>
        <v>0</v>
      </c>
      <c r="CB113" s="511">
        <f t="shared" si="52"/>
        <v>0</v>
      </c>
      <c r="CC113" s="511">
        <f t="shared" si="53"/>
        <v>0</v>
      </c>
      <c r="CD113" s="511">
        <f t="shared" si="54"/>
        <v>0</v>
      </c>
      <c r="CE113" s="511">
        <f t="shared" si="55"/>
        <v>0</v>
      </c>
      <c r="CF113" s="511">
        <f t="shared" si="56"/>
        <v>0</v>
      </c>
      <c r="CG113" s="511">
        <f t="shared" si="57"/>
        <v>0</v>
      </c>
      <c r="CH113" s="511">
        <f t="shared" si="58"/>
        <v>0</v>
      </c>
      <c r="CI113" s="511">
        <f t="shared" si="59"/>
        <v>0</v>
      </c>
      <c r="CJ113" s="511">
        <f t="shared" si="60"/>
        <v>0</v>
      </c>
      <c r="CK113" s="511">
        <f>IF(CJ113=0,35,_xlfn.RANK.EQ(CJ113,CJ98:CJ132))</f>
        <v>35</v>
      </c>
      <c r="CL113" s="512">
        <f>IF(CK113=35,35,CK113+COUNTIF(CK$98:CK112,CK113)/COUNTIF(CK$98:CK$132,CK113))</f>
        <v>35</v>
      </c>
      <c r="CM113" s="511">
        <f t="shared" si="61"/>
        <v>12</v>
      </c>
      <c r="CN113" s="511" t="s">
        <v>383</v>
      </c>
      <c r="CO113" s="515"/>
      <c r="CP113" s="515"/>
      <c r="CQ113" s="516"/>
    </row>
    <row r="114" spans="21:95" s="473" customFormat="1">
      <c r="U114" s="510">
        <f t="shared" si="7"/>
        <v>17</v>
      </c>
      <c r="V114" s="511" t="s">
        <v>410</v>
      </c>
      <c r="W114" s="511">
        <f t="shared" si="8"/>
        <v>0</v>
      </c>
      <c r="X114" s="511">
        <f t="shared" si="9"/>
        <v>0</v>
      </c>
      <c r="Y114" s="511">
        <f t="shared" si="10"/>
        <v>0</v>
      </c>
      <c r="Z114" s="511">
        <f t="shared" si="11"/>
        <v>0</v>
      </c>
      <c r="AA114" s="511">
        <f t="shared" si="12"/>
        <v>0</v>
      </c>
      <c r="AB114" s="511">
        <f t="shared" si="13"/>
        <v>0</v>
      </c>
      <c r="AC114" s="511">
        <f t="shared" si="14"/>
        <v>0</v>
      </c>
      <c r="AD114" s="511">
        <f t="shared" si="15"/>
        <v>0</v>
      </c>
      <c r="AE114" s="511">
        <f t="shared" si="16"/>
        <v>0</v>
      </c>
      <c r="AF114" s="511">
        <f t="shared" si="6"/>
        <v>0</v>
      </c>
      <c r="AG114" s="511">
        <f>IF(AF114=0,35,_xlfn.RANK.EQ(AF114,AF98:AF132))</f>
        <v>35</v>
      </c>
      <c r="AH114" s="512">
        <f>IF(AG114=35,35,AG114+COUNTIF(AG$98:AG113,AG114)/COUNTIF(AG$98:AG$132,AG114))</f>
        <v>35</v>
      </c>
      <c r="AI114" s="511">
        <f t="shared" si="17"/>
        <v>14</v>
      </c>
      <c r="AJ114" s="511" t="s">
        <v>410</v>
      </c>
      <c r="AK114" s="511">
        <f t="shared" si="18"/>
        <v>0</v>
      </c>
      <c r="AL114" s="511">
        <f t="shared" si="19"/>
        <v>0</v>
      </c>
      <c r="AM114" s="511">
        <f t="shared" si="20"/>
        <v>0</v>
      </c>
      <c r="AN114" s="511">
        <f t="shared" si="21"/>
        <v>0</v>
      </c>
      <c r="AO114" s="511">
        <f t="shared" si="22"/>
        <v>0</v>
      </c>
      <c r="AP114" s="511">
        <f t="shared" si="23"/>
        <v>0</v>
      </c>
      <c r="AQ114" s="511">
        <f t="shared" si="24"/>
        <v>0</v>
      </c>
      <c r="AR114" s="511">
        <f t="shared" si="25"/>
        <v>0</v>
      </c>
      <c r="AS114" s="511">
        <f t="shared" si="26"/>
        <v>0</v>
      </c>
      <c r="AT114" s="511">
        <f t="shared" si="27"/>
        <v>0</v>
      </c>
      <c r="AU114" s="511">
        <f>IF(AT114=0,35,_xlfn.RANK.EQ(AT114,AT98:AT132))</f>
        <v>35</v>
      </c>
      <c r="AV114" s="512">
        <f>IF(AU114=35,35,AU114+COUNTIF(AU$98:AU113,AU114)/COUNTIF(AU$98:AU$132,AU114))</f>
        <v>35</v>
      </c>
      <c r="AW114" s="511">
        <f t="shared" si="28"/>
        <v>13</v>
      </c>
      <c r="AX114" s="511" t="s">
        <v>410</v>
      </c>
      <c r="AY114" s="511">
        <f t="shared" si="29"/>
        <v>0</v>
      </c>
      <c r="AZ114" s="511">
        <f t="shared" si="30"/>
        <v>0</v>
      </c>
      <c r="BA114" s="511">
        <f t="shared" si="31"/>
        <v>0</v>
      </c>
      <c r="BB114" s="511">
        <f t="shared" si="32"/>
        <v>0</v>
      </c>
      <c r="BC114" s="511">
        <f t="shared" si="33"/>
        <v>0</v>
      </c>
      <c r="BD114" s="511">
        <f t="shared" si="34"/>
        <v>0</v>
      </c>
      <c r="BE114" s="511">
        <f t="shared" si="35"/>
        <v>0</v>
      </c>
      <c r="BF114" s="511">
        <f t="shared" si="36"/>
        <v>0</v>
      </c>
      <c r="BG114" s="511">
        <f t="shared" si="37"/>
        <v>0</v>
      </c>
      <c r="BH114" s="511">
        <f t="shared" si="38"/>
        <v>0</v>
      </c>
      <c r="BI114" s="511">
        <f>IF(BH114=0,35,_xlfn.RANK.EQ(BH114,BH98:BH132))</f>
        <v>35</v>
      </c>
      <c r="BJ114" s="512">
        <f>IF(BI114=35,35,BI114+COUNTIF(BI$98:BI113,BI114)/COUNTIF(BI$98:BI$132,BI114))</f>
        <v>35</v>
      </c>
      <c r="BK114" s="511">
        <f t="shared" si="39"/>
        <v>13</v>
      </c>
      <c r="BL114" s="511" t="s">
        <v>410</v>
      </c>
      <c r="BM114" s="511">
        <f t="shared" si="40"/>
        <v>0</v>
      </c>
      <c r="BN114" s="511">
        <f t="shared" si="41"/>
        <v>0</v>
      </c>
      <c r="BO114" s="511">
        <f t="shared" si="42"/>
        <v>0</v>
      </c>
      <c r="BP114" s="511">
        <f t="shared" si="43"/>
        <v>0</v>
      </c>
      <c r="BQ114" s="511">
        <f t="shared" si="44"/>
        <v>0</v>
      </c>
      <c r="BR114" s="511">
        <f t="shared" si="45"/>
        <v>0</v>
      </c>
      <c r="BS114" s="511">
        <f t="shared" si="46"/>
        <v>0</v>
      </c>
      <c r="BT114" s="511">
        <f t="shared" si="47"/>
        <v>0</v>
      </c>
      <c r="BU114" s="511">
        <f t="shared" si="48"/>
        <v>0</v>
      </c>
      <c r="BV114" s="511">
        <f t="shared" si="49"/>
        <v>0</v>
      </c>
      <c r="BW114" s="511">
        <f>IF(BV114=0,35,_xlfn.RANK.EQ(BV114,BV98:BV132))</f>
        <v>35</v>
      </c>
      <c r="BX114" s="512">
        <f>IF(BW114=35,35,BW114+COUNTIF(BW$98:BW113,BW114)/COUNTIF(BW$98:BW$132,BW114))</f>
        <v>35</v>
      </c>
      <c r="BY114" s="511">
        <f t="shared" si="50"/>
        <v>13</v>
      </c>
      <c r="BZ114" s="511" t="s">
        <v>410</v>
      </c>
      <c r="CA114" s="511">
        <f t="shared" si="51"/>
        <v>0</v>
      </c>
      <c r="CB114" s="511">
        <f t="shared" si="52"/>
        <v>0</v>
      </c>
      <c r="CC114" s="511">
        <f t="shared" si="53"/>
        <v>0</v>
      </c>
      <c r="CD114" s="511">
        <f t="shared" si="54"/>
        <v>0</v>
      </c>
      <c r="CE114" s="511">
        <f t="shared" si="55"/>
        <v>0</v>
      </c>
      <c r="CF114" s="511">
        <f t="shared" si="56"/>
        <v>0</v>
      </c>
      <c r="CG114" s="511">
        <f t="shared" si="57"/>
        <v>0</v>
      </c>
      <c r="CH114" s="511">
        <f t="shared" si="58"/>
        <v>0</v>
      </c>
      <c r="CI114" s="511">
        <f t="shared" si="59"/>
        <v>0</v>
      </c>
      <c r="CJ114" s="511">
        <f t="shared" si="60"/>
        <v>0</v>
      </c>
      <c r="CK114" s="511">
        <f>IF(CJ114=0,35,_xlfn.RANK.EQ(CJ114,CJ98:CJ132))</f>
        <v>35</v>
      </c>
      <c r="CL114" s="512">
        <f>IF(CK114=35,35,CK114+COUNTIF(CK$98:CK113,CK114)/COUNTIF(CK$98:CK$132,CK114))</f>
        <v>35</v>
      </c>
      <c r="CM114" s="511">
        <f t="shared" si="61"/>
        <v>12</v>
      </c>
      <c r="CN114" s="511" t="s">
        <v>410</v>
      </c>
      <c r="CO114" s="515"/>
      <c r="CP114" s="515"/>
      <c r="CQ114" s="516"/>
    </row>
    <row r="115" spans="21:95" s="473" customFormat="1">
      <c r="U115" s="510">
        <f t="shared" si="7"/>
        <v>18</v>
      </c>
      <c r="V115" s="511" t="s">
        <v>398</v>
      </c>
      <c r="W115" s="511">
        <f t="shared" si="8"/>
        <v>0</v>
      </c>
      <c r="X115" s="511">
        <f t="shared" si="9"/>
        <v>0</v>
      </c>
      <c r="Y115" s="511">
        <f t="shared" si="10"/>
        <v>0</v>
      </c>
      <c r="Z115" s="511">
        <f t="shared" si="11"/>
        <v>0</v>
      </c>
      <c r="AA115" s="511">
        <f t="shared" si="12"/>
        <v>0</v>
      </c>
      <c r="AB115" s="511">
        <f t="shared" si="13"/>
        <v>0</v>
      </c>
      <c r="AC115" s="511">
        <f t="shared" si="14"/>
        <v>0</v>
      </c>
      <c r="AD115" s="511">
        <f t="shared" si="15"/>
        <v>0</v>
      </c>
      <c r="AE115" s="511">
        <f t="shared" si="16"/>
        <v>0</v>
      </c>
      <c r="AF115" s="511">
        <f t="shared" si="6"/>
        <v>0</v>
      </c>
      <c r="AG115" s="511">
        <f>IF(AF115=0,35,_xlfn.RANK.EQ(AF115,AF98:AF132))</f>
        <v>35</v>
      </c>
      <c r="AH115" s="512">
        <f>IF(AG115=35,35,AG115+COUNTIF(AG$98:AG114,AG115)/COUNTIF(AG$98:AG$132,AG115))</f>
        <v>35</v>
      </c>
      <c r="AI115" s="511">
        <f t="shared" si="17"/>
        <v>14</v>
      </c>
      <c r="AJ115" s="511" t="s">
        <v>398</v>
      </c>
      <c r="AK115" s="511">
        <f t="shared" si="18"/>
        <v>0</v>
      </c>
      <c r="AL115" s="511">
        <f t="shared" si="19"/>
        <v>0</v>
      </c>
      <c r="AM115" s="511">
        <f t="shared" si="20"/>
        <v>0</v>
      </c>
      <c r="AN115" s="511">
        <f t="shared" si="21"/>
        <v>0</v>
      </c>
      <c r="AO115" s="511">
        <f t="shared" si="22"/>
        <v>0</v>
      </c>
      <c r="AP115" s="511">
        <f t="shared" si="23"/>
        <v>0</v>
      </c>
      <c r="AQ115" s="511">
        <f t="shared" si="24"/>
        <v>0</v>
      </c>
      <c r="AR115" s="511">
        <f t="shared" si="25"/>
        <v>0</v>
      </c>
      <c r="AS115" s="511">
        <f t="shared" si="26"/>
        <v>0</v>
      </c>
      <c r="AT115" s="511">
        <f t="shared" si="27"/>
        <v>0</v>
      </c>
      <c r="AU115" s="511">
        <f>IF(AT115=0,35,_xlfn.RANK.EQ(AT115,AT98:AT132))</f>
        <v>35</v>
      </c>
      <c r="AV115" s="512">
        <f>IF(AU115=35,35,AU115+COUNTIF(AU$98:AU114,AU115)/COUNTIF(AU$98:AU$132,AU115))</f>
        <v>35</v>
      </c>
      <c r="AW115" s="511">
        <f t="shared" si="28"/>
        <v>13</v>
      </c>
      <c r="AX115" s="511" t="s">
        <v>398</v>
      </c>
      <c r="AY115" s="511">
        <f t="shared" si="29"/>
        <v>0</v>
      </c>
      <c r="AZ115" s="511">
        <f t="shared" si="30"/>
        <v>0</v>
      </c>
      <c r="BA115" s="511">
        <f t="shared" si="31"/>
        <v>0</v>
      </c>
      <c r="BB115" s="511">
        <f t="shared" si="32"/>
        <v>0</v>
      </c>
      <c r="BC115" s="511">
        <f t="shared" si="33"/>
        <v>0</v>
      </c>
      <c r="BD115" s="511">
        <f t="shared" si="34"/>
        <v>0</v>
      </c>
      <c r="BE115" s="511">
        <f t="shared" si="35"/>
        <v>0</v>
      </c>
      <c r="BF115" s="511">
        <f t="shared" si="36"/>
        <v>0</v>
      </c>
      <c r="BG115" s="511">
        <f t="shared" si="37"/>
        <v>0</v>
      </c>
      <c r="BH115" s="511">
        <f t="shared" si="38"/>
        <v>0</v>
      </c>
      <c r="BI115" s="511">
        <f>IF(BH115=0,35,_xlfn.RANK.EQ(BH115,BH98:BH132))</f>
        <v>35</v>
      </c>
      <c r="BJ115" s="512">
        <f>IF(BI115=35,35,BI115+COUNTIF(BI$98:BI114,BI115)/COUNTIF(BI$98:BI$132,BI115))</f>
        <v>35</v>
      </c>
      <c r="BK115" s="511">
        <f t="shared" si="39"/>
        <v>13</v>
      </c>
      <c r="BL115" s="511" t="s">
        <v>398</v>
      </c>
      <c r="BM115" s="511">
        <f t="shared" si="40"/>
        <v>0</v>
      </c>
      <c r="BN115" s="511">
        <f t="shared" si="41"/>
        <v>0</v>
      </c>
      <c r="BO115" s="511">
        <f t="shared" si="42"/>
        <v>0</v>
      </c>
      <c r="BP115" s="511">
        <f t="shared" si="43"/>
        <v>0</v>
      </c>
      <c r="BQ115" s="511">
        <f t="shared" si="44"/>
        <v>0</v>
      </c>
      <c r="BR115" s="511">
        <f t="shared" si="45"/>
        <v>0</v>
      </c>
      <c r="BS115" s="511">
        <f t="shared" si="46"/>
        <v>0</v>
      </c>
      <c r="BT115" s="511">
        <f t="shared" si="47"/>
        <v>0</v>
      </c>
      <c r="BU115" s="511">
        <f t="shared" si="48"/>
        <v>0</v>
      </c>
      <c r="BV115" s="511">
        <f t="shared" si="49"/>
        <v>0</v>
      </c>
      <c r="BW115" s="511">
        <f>IF(BV115=0,35,_xlfn.RANK.EQ(BV115,BV98:BV132))</f>
        <v>35</v>
      </c>
      <c r="BX115" s="512">
        <f>IF(BW115=35,35,BW115+COUNTIF(BW$98:BW114,BW115)/COUNTIF(BW$98:BW$132,BW115))</f>
        <v>35</v>
      </c>
      <c r="BY115" s="511">
        <f t="shared" si="50"/>
        <v>13</v>
      </c>
      <c r="BZ115" s="511" t="s">
        <v>398</v>
      </c>
      <c r="CA115" s="511">
        <f t="shared" si="51"/>
        <v>0</v>
      </c>
      <c r="CB115" s="511">
        <f t="shared" si="52"/>
        <v>0</v>
      </c>
      <c r="CC115" s="511">
        <f t="shared" si="53"/>
        <v>0</v>
      </c>
      <c r="CD115" s="511">
        <f t="shared" si="54"/>
        <v>0</v>
      </c>
      <c r="CE115" s="511">
        <f t="shared" si="55"/>
        <v>0</v>
      </c>
      <c r="CF115" s="511">
        <f t="shared" si="56"/>
        <v>0</v>
      </c>
      <c r="CG115" s="511">
        <f t="shared" si="57"/>
        <v>0</v>
      </c>
      <c r="CH115" s="511">
        <f t="shared" si="58"/>
        <v>0</v>
      </c>
      <c r="CI115" s="511">
        <f t="shared" si="59"/>
        <v>0</v>
      </c>
      <c r="CJ115" s="511">
        <f t="shared" si="60"/>
        <v>0</v>
      </c>
      <c r="CK115" s="511">
        <f>IF(CJ115=0,35,_xlfn.RANK.EQ(CJ115,CJ98:CJ132))</f>
        <v>35</v>
      </c>
      <c r="CL115" s="512">
        <f>IF(CK115=35,35,CK115+COUNTIF(CK$98:CK114,CK115)/COUNTIF(CK$98:CK$132,CK115))</f>
        <v>35</v>
      </c>
      <c r="CM115" s="511">
        <f t="shared" si="61"/>
        <v>12</v>
      </c>
      <c r="CN115" s="511" t="s">
        <v>398</v>
      </c>
      <c r="CO115" s="515"/>
      <c r="CP115" s="515"/>
      <c r="CQ115" s="516"/>
    </row>
    <row r="116" spans="21:95" s="473" customFormat="1">
      <c r="U116" s="510">
        <f t="shared" si="7"/>
        <v>19</v>
      </c>
      <c r="V116" s="511" t="s">
        <v>401</v>
      </c>
      <c r="W116" s="511">
        <f t="shared" si="8"/>
        <v>0</v>
      </c>
      <c r="X116" s="511">
        <f t="shared" si="9"/>
        <v>0</v>
      </c>
      <c r="Y116" s="511">
        <f t="shared" si="10"/>
        <v>0</v>
      </c>
      <c r="Z116" s="511">
        <f t="shared" si="11"/>
        <v>0</v>
      </c>
      <c r="AA116" s="511">
        <f t="shared" si="12"/>
        <v>0</v>
      </c>
      <c r="AB116" s="511">
        <f t="shared" si="13"/>
        <v>0</v>
      </c>
      <c r="AC116" s="511">
        <f t="shared" si="14"/>
        <v>0</v>
      </c>
      <c r="AD116" s="511">
        <f t="shared" si="15"/>
        <v>0</v>
      </c>
      <c r="AE116" s="511">
        <f t="shared" si="16"/>
        <v>0</v>
      </c>
      <c r="AF116" s="511">
        <f t="shared" si="6"/>
        <v>0</v>
      </c>
      <c r="AG116" s="511">
        <f>IF(AF116=0,35,_xlfn.RANK.EQ(AF116,AF98:AF132))</f>
        <v>35</v>
      </c>
      <c r="AH116" s="512">
        <f>IF(AG116=35,35,AG116+COUNTIF(AG$98:AG115,AG116)/COUNTIF(AG$98:AG$132,AG116))</f>
        <v>35</v>
      </c>
      <c r="AI116" s="511">
        <f t="shared" si="17"/>
        <v>14</v>
      </c>
      <c r="AJ116" s="511" t="s">
        <v>401</v>
      </c>
      <c r="AK116" s="511">
        <f t="shared" si="18"/>
        <v>0</v>
      </c>
      <c r="AL116" s="511">
        <f t="shared" si="19"/>
        <v>0</v>
      </c>
      <c r="AM116" s="511">
        <f t="shared" si="20"/>
        <v>0</v>
      </c>
      <c r="AN116" s="511">
        <f t="shared" si="21"/>
        <v>0</v>
      </c>
      <c r="AO116" s="511">
        <f t="shared" si="22"/>
        <v>0</v>
      </c>
      <c r="AP116" s="511">
        <f t="shared" si="23"/>
        <v>0</v>
      </c>
      <c r="AQ116" s="511">
        <f t="shared" si="24"/>
        <v>0</v>
      </c>
      <c r="AR116" s="511">
        <f t="shared" si="25"/>
        <v>0</v>
      </c>
      <c r="AS116" s="511">
        <f t="shared" si="26"/>
        <v>0</v>
      </c>
      <c r="AT116" s="511">
        <f t="shared" si="27"/>
        <v>0</v>
      </c>
      <c r="AU116" s="511">
        <f>IF(AT116=0,35,_xlfn.RANK.EQ(AT116,AT98:AT132))</f>
        <v>35</v>
      </c>
      <c r="AV116" s="512">
        <f>IF(AU116=35,35,AU116+COUNTIF(AU$98:AU115,AU116)/COUNTIF(AU$98:AU$132,AU116))</f>
        <v>35</v>
      </c>
      <c r="AW116" s="511">
        <f t="shared" si="28"/>
        <v>13</v>
      </c>
      <c r="AX116" s="511" t="s">
        <v>401</v>
      </c>
      <c r="AY116" s="511">
        <f t="shared" si="29"/>
        <v>0</v>
      </c>
      <c r="AZ116" s="511">
        <f t="shared" si="30"/>
        <v>0</v>
      </c>
      <c r="BA116" s="511">
        <f t="shared" si="31"/>
        <v>0</v>
      </c>
      <c r="BB116" s="511">
        <f t="shared" si="32"/>
        <v>0</v>
      </c>
      <c r="BC116" s="511">
        <f t="shared" si="33"/>
        <v>0</v>
      </c>
      <c r="BD116" s="511">
        <f t="shared" si="34"/>
        <v>0</v>
      </c>
      <c r="BE116" s="511">
        <f t="shared" si="35"/>
        <v>0</v>
      </c>
      <c r="BF116" s="511">
        <f t="shared" si="36"/>
        <v>0</v>
      </c>
      <c r="BG116" s="511">
        <f t="shared" si="37"/>
        <v>0</v>
      </c>
      <c r="BH116" s="511">
        <f t="shared" si="38"/>
        <v>0</v>
      </c>
      <c r="BI116" s="511">
        <f>IF(BH116=0,35,_xlfn.RANK.EQ(BH116,BH98:BH132))</f>
        <v>35</v>
      </c>
      <c r="BJ116" s="512">
        <f>IF(BI116=35,35,BI116+COUNTIF(BI$98:BI115,BI116)/COUNTIF(BI$98:BI$132,BI116))</f>
        <v>35</v>
      </c>
      <c r="BK116" s="511">
        <f t="shared" si="39"/>
        <v>13</v>
      </c>
      <c r="BL116" s="511" t="s">
        <v>401</v>
      </c>
      <c r="BM116" s="511">
        <f t="shared" si="40"/>
        <v>0</v>
      </c>
      <c r="BN116" s="511">
        <f t="shared" si="41"/>
        <v>0</v>
      </c>
      <c r="BO116" s="511">
        <f t="shared" si="42"/>
        <v>0</v>
      </c>
      <c r="BP116" s="511">
        <f t="shared" si="43"/>
        <v>0</v>
      </c>
      <c r="BQ116" s="511">
        <f t="shared" si="44"/>
        <v>0</v>
      </c>
      <c r="BR116" s="511">
        <f t="shared" si="45"/>
        <v>0</v>
      </c>
      <c r="BS116" s="511">
        <f t="shared" si="46"/>
        <v>0</v>
      </c>
      <c r="BT116" s="511">
        <f t="shared" si="47"/>
        <v>0</v>
      </c>
      <c r="BU116" s="511">
        <f t="shared" si="48"/>
        <v>0</v>
      </c>
      <c r="BV116" s="511">
        <f t="shared" si="49"/>
        <v>0</v>
      </c>
      <c r="BW116" s="511">
        <f>IF(BV116=0,35,_xlfn.RANK.EQ(BV116,BV98:BV132))</f>
        <v>35</v>
      </c>
      <c r="BX116" s="512">
        <f>IF(BW116=35,35,BW116+COUNTIF(BW$98:BW115,BW116)/COUNTIF(BW$98:BW$132,BW116))</f>
        <v>35</v>
      </c>
      <c r="BY116" s="511">
        <f t="shared" si="50"/>
        <v>13</v>
      </c>
      <c r="BZ116" s="511" t="s">
        <v>401</v>
      </c>
      <c r="CA116" s="511">
        <f t="shared" si="51"/>
        <v>0</v>
      </c>
      <c r="CB116" s="511">
        <f t="shared" si="52"/>
        <v>0</v>
      </c>
      <c r="CC116" s="511">
        <f t="shared" si="53"/>
        <v>0</v>
      </c>
      <c r="CD116" s="511">
        <f t="shared" si="54"/>
        <v>0</v>
      </c>
      <c r="CE116" s="511">
        <f t="shared" si="55"/>
        <v>0</v>
      </c>
      <c r="CF116" s="511">
        <f t="shared" si="56"/>
        <v>0</v>
      </c>
      <c r="CG116" s="511">
        <f t="shared" si="57"/>
        <v>0</v>
      </c>
      <c r="CH116" s="511">
        <f t="shared" si="58"/>
        <v>0</v>
      </c>
      <c r="CI116" s="511">
        <f t="shared" si="59"/>
        <v>0</v>
      </c>
      <c r="CJ116" s="511">
        <f t="shared" si="60"/>
        <v>0</v>
      </c>
      <c r="CK116" s="511">
        <f>IF(CJ116=0,35,_xlfn.RANK.EQ(CJ116,CJ98:CJ132))</f>
        <v>35</v>
      </c>
      <c r="CL116" s="512">
        <f>IF(CK116=35,35,CK116+COUNTIF(CK$98:CK115,CK116)/COUNTIF(CK$98:CK$132,CK116))</f>
        <v>35</v>
      </c>
      <c r="CM116" s="511">
        <f t="shared" si="61"/>
        <v>12</v>
      </c>
      <c r="CN116" s="511" t="s">
        <v>401</v>
      </c>
      <c r="CO116" s="515"/>
      <c r="CP116" s="515"/>
      <c r="CQ116" s="516"/>
    </row>
    <row r="117" spans="21:95" s="473" customFormat="1">
      <c r="U117" s="510">
        <f t="shared" si="7"/>
        <v>20</v>
      </c>
      <c r="V117" s="511" t="s">
        <v>402</v>
      </c>
      <c r="W117" s="511">
        <f t="shared" si="8"/>
        <v>0</v>
      </c>
      <c r="X117" s="511">
        <f t="shared" si="9"/>
        <v>0</v>
      </c>
      <c r="Y117" s="511">
        <f t="shared" si="10"/>
        <v>0</v>
      </c>
      <c r="Z117" s="511">
        <f t="shared" si="11"/>
        <v>0</v>
      </c>
      <c r="AA117" s="511">
        <f t="shared" si="12"/>
        <v>0</v>
      </c>
      <c r="AB117" s="511">
        <f t="shared" si="13"/>
        <v>0</v>
      </c>
      <c r="AC117" s="511">
        <f t="shared" si="14"/>
        <v>0</v>
      </c>
      <c r="AD117" s="511">
        <f t="shared" si="15"/>
        <v>0</v>
      </c>
      <c r="AE117" s="511">
        <f t="shared" si="16"/>
        <v>0</v>
      </c>
      <c r="AF117" s="511">
        <f t="shared" si="6"/>
        <v>0</v>
      </c>
      <c r="AG117" s="511">
        <f>IF(AF117=0,35,_xlfn.RANK.EQ(AF117,AF98:AF132))</f>
        <v>35</v>
      </c>
      <c r="AH117" s="512">
        <f>IF(AG117=35,35,AG117+COUNTIF(AG$98:AG116,AG117)/COUNTIF(AG$98:AG$132,AG117))</f>
        <v>35</v>
      </c>
      <c r="AI117" s="511">
        <f t="shared" si="17"/>
        <v>14</v>
      </c>
      <c r="AJ117" s="511" t="s">
        <v>402</v>
      </c>
      <c r="AK117" s="511">
        <f t="shared" si="18"/>
        <v>0</v>
      </c>
      <c r="AL117" s="511">
        <f t="shared" si="19"/>
        <v>0</v>
      </c>
      <c r="AM117" s="511">
        <f t="shared" si="20"/>
        <v>0</v>
      </c>
      <c r="AN117" s="511">
        <f t="shared" si="21"/>
        <v>0</v>
      </c>
      <c r="AO117" s="511">
        <f t="shared" si="22"/>
        <v>0</v>
      </c>
      <c r="AP117" s="511">
        <f t="shared" si="23"/>
        <v>0</v>
      </c>
      <c r="AQ117" s="511">
        <f t="shared" si="24"/>
        <v>0</v>
      </c>
      <c r="AR117" s="511">
        <f t="shared" si="25"/>
        <v>0</v>
      </c>
      <c r="AS117" s="511">
        <f t="shared" si="26"/>
        <v>0</v>
      </c>
      <c r="AT117" s="511">
        <f t="shared" si="27"/>
        <v>0</v>
      </c>
      <c r="AU117" s="511">
        <f>IF(AT117=0,35,_xlfn.RANK.EQ(AT117,AT98:AT132))</f>
        <v>35</v>
      </c>
      <c r="AV117" s="512">
        <f>IF(AU117=35,35,AU117+COUNTIF(AU$98:AU116,AU117)/COUNTIF(AU$98:AU$132,AU117))</f>
        <v>35</v>
      </c>
      <c r="AW117" s="511">
        <f t="shared" si="28"/>
        <v>13</v>
      </c>
      <c r="AX117" s="511" t="s">
        <v>402</v>
      </c>
      <c r="AY117" s="511">
        <f t="shared" si="29"/>
        <v>0</v>
      </c>
      <c r="AZ117" s="511">
        <f t="shared" si="30"/>
        <v>0</v>
      </c>
      <c r="BA117" s="511">
        <f t="shared" si="31"/>
        <v>0</v>
      </c>
      <c r="BB117" s="511">
        <f t="shared" si="32"/>
        <v>0</v>
      </c>
      <c r="BC117" s="511">
        <f t="shared" si="33"/>
        <v>0</v>
      </c>
      <c r="BD117" s="511">
        <f t="shared" si="34"/>
        <v>0</v>
      </c>
      <c r="BE117" s="511">
        <f t="shared" si="35"/>
        <v>0</v>
      </c>
      <c r="BF117" s="511">
        <f t="shared" si="36"/>
        <v>0</v>
      </c>
      <c r="BG117" s="511">
        <f t="shared" si="37"/>
        <v>0</v>
      </c>
      <c r="BH117" s="511">
        <f t="shared" si="38"/>
        <v>0</v>
      </c>
      <c r="BI117" s="511">
        <f>IF(BH117=0,35,_xlfn.RANK.EQ(BH117,BH98:BH132))</f>
        <v>35</v>
      </c>
      <c r="BJ117" s="512">
        <f>IF(BI117=35,35,BI117+COUNTIF(BI$98:BI116,BI117)/COUNTIF(BI$98:BI$132,BI117))</f>
        <v>35</v>
      </c>
      <c r="BK117" s="511">
        <f t="shared" si="39"/>
        <v>13</v>
      </c>
      <c r="BL117" s="511" t="s">
        <v>402</v>
      </c>
      <c r="BM117" s="511">
        <f t="shared" si="40"/>
        <v>7</v>
      </c>
      <c r="BN117" s="511">
        <f t="shared" si="41"/>
        <v>7</v>
      </c>
      <c r="BO117" s="511">
        <f t="shared" si="42"/>
        <v>7</v>
      </c>
      <c r="BP117" s="511">
        <f t="shared" si="43"/>
        <v>9</v>
      </c>
      <c r="BQ117" s="511">
        <f t="shared" si="44"/>
        <v>9</v>
      </c>
      <c r="BR117" s="511">
        <f t="shared" si="45"/>
        <v>10</v>
      </c>
      <c r="BS117" s="511">
        <f t="shared" si="46"/>
        <v>8</v>
      </c>
      <c r="BT117" s="511">
        <f t="shared" si="47"/>
        <v>0</v>
      </c>
      <c r="BU117" s="511">
        <f t="shared" si="48"/>
        <v>0</v>
      </c>
      <c r="BV117" s="511">
        <f t="shared" si="49"/>
        <v>57</v>
      </c>
      <c r="BW117" s="511">
        <f>IF(BV117=0,35,_xlfn.RANK.EQ(BV117,BV98:BV132))</f>
        <v>2</v>
      </c>
      <c r="BX117" s="512">
        <f>IF(BW117=35,35,BW117+COUNTIF(BW$98:BW116,BW117)/COUNTIF(BW$98:BW$132,BW117))</f>
        <v>2</v>
      </c>
      <c r="BY117" s="511">
        <f t="shared" si="50"/>
        <v>2</v>
      </c>
      <c r="BZ117" s="511" t="s">
        <v>402</v>
      </c>
      <c r="CA117" s="511">
        <f t="shared" si="51"/>
        <v>0</v>
      </c>
      <c r="CB117" s="511">
        <f t="shared" si="52"/>
        <v>0</v>
      </c>
      <c r="CC117" s="511">
        <f t="shared" si="53"/>
        <v>0</v>
      </c>
      <c r="CD117" s="511">
        <f t="shared" si="54"/>
        <v>0</v>
      </c>
      <c r="CE117" s="511">
        <f t="shared" si="55"/>
        <v>0</v>
      </c>
      <c r="CF117" s="511">
        <f t="shared" si="56"/>
        <v>0</v>
      </c>
      <c r="CG117" s="511">
        <f t="shared" si="57"/>
        <v>0</v>
      </c>
      <c r="CH117" s="511">
        <f t="shared" si="58"/>
        <v>0</v>
      </c>
      <c r="CI117" s="511">
        <f t="shared" si="59"/>
        <v>0</v>
      </c>
      <c r="CJ117" s="511">
        <f t="shared" si="60"/>
        <v>0</v>
      </c>
      <c r="CK117" s="511">
        <f>IF(CJ117=0,35,_xlfn.RANK.EQ(CJ117,CJ98:CJ132))</f>
        <v>35</v>
      </c>
      <c r="CL117" s="512">
        <f>IF(CK117=35,35,CK117+COUNTIF(CK$98:CK116,CK117)/COUNTIF(CK$98:CK$132,CK117))</f>
        <v>35</v>
      </c>
      <c r="CM117" s="511">
        <f t="shared" si="61"/>
        <v>12</v>
      </c>
      <c r="CN117" s="511" t="s">
        <v>402</v>
      </c>
      <c r="CO117" s="515"/>
      <c r="CP117" s="515"/>
      <c r="CQ117" s="516"/>
    </row>
    <row r="118" spans="21:95" s="473" customFormat="1">
      <c r="U118" s="510">
        <f t="shared" si="7"/>
        <v>21</v>
      </c>
      <c r="V118" s="511" t="s">
        <v>411</v>
      </c>
      <c r="W118" s="511">
        <f t="shared" si="8"/>
        <v>0</v>
      </c>
      <c r="X118" s="511">
        <f t="shared" si="9"/>
        <v>0</v>
      </c>
      <c r="Y118" s="511">
        <f t="shared" si="10"/>
        <v>0</v>
      </c>
      <c r="Z118" s="511">
        <f t="shared" si="11"/>
        <v>0</v>
      </c>
      <c r="AA118" s="511">
        <f t="shared" si="12"/>
        <v>0</v>
      </c>
      <c r="AB118" s="511">
        <f t="shared" si="13"/>
        <v>0</v>
      </c>
      <c r="AC118" s="511">
        <f t="shared" si="14"/>
        <v>0</v>
      </c>
      <c r="AD118" s="511">
        <f t="shared" si="15"/>
        <v>0</v>
      </c>
      <c r="AE118" s="511">
        <f t="shared" si="16"/>
        <v>0</v>
      </c>
      <c r="AF118" s="511">
        <f t="shared" si="6"/>
        <v>0</v>
      </c>
      <c r="AG118" s="511">
        <f>IF(AF118=0,35,_xlfn.RANK.EQ(AF118,AF98:AF132))</f>
        <v>35</v>
      </c>
      <c r="AH118" s="512">
        <f>IF(AG118=35,35,AG118+COUNTIF(AG$98:AG117,AG118)/COUNTIF(AG$98:AG$132,AG118))</f>
        <v>35</v>
      </c>
      <c r="AI118" s="511">
        <f t="shared" si="17"/>
        <v>14</v>
      </c>
      <c r="AJ118" s="511" t="s">
        <v>411</v>
      </c>
      <c r="AK118" s="511">
        <f t="shared" si="18"/>
        <v>0</v>
      </c>
      <c r="AL118" s="511">
        <f t="shared" si="19"/>
        <v>0</v>
      </c>
      <c r="AM118" s="511">
        <f t="shared" si="20"/>
        <v>0</v>
      </c>
      <c r="AN118" s="511">
        <f t="shared" si="21"/>
        <v>0</v>
      </c>
      <c r="AO118" s="511">
        <f t="shared" si="22"/>
        <v>0</v>
      </c>
      <c r="AP118" s="511">
        <f t="shared" si="23"/>
        <v>0</v>
      </c>
      <c r="AQ118" s="511">
        <f t="shared" si="24"/>
        <v>0</v>
      </c>
      <c r="AR118" s="511">
        <f t="shared" si="25"/>
        <v>0</v>
      </c>
      <c r="AS118" s="511">
        <f t="shared" si="26"/>
        <v>0</v>
      </c>
      <c r="AT118" s="511">
        <f t="shared" si="27"/>
        <v>0</v>
      </c>
      <c r="AU118" s="511">
        <f>IF(AT118=0,35,_xlfn.RANK.EQ(AT118,AT98:AT132))</f>
        <v>35</v>
      </c>
      <c r="AV118" s="512">
        <f>IF(AU118=35,35,AU118+COUNTIF(AU$98:AU117,AU118)/COUNTIF(AU$98:AU$132,AU118))</f>
        <v>35</v>
      </c>
      <c r="AW118" s="511">
        <f t="shared" si="28"/>
        <v>13</v>
      </c>
      <c r="AX118" s="511" t="s">
        <v>411</v>
      </c>
      <c r="AY118" s="511">
        <f t="shared" si="29"/>
        <v>0</v>
      </c>
      <c r="AZ118" s="511">
        <f t="shared" si="30"/>
        <v>0</v>
      </c>
      <c r="BA118" s="511">
        <f t="shared" si="31"/>
        <v>0</v>
      </c>
      <c r="BB118" s="511">
        <f t="shared" si="32"/>
        <v>0</v>
      </c>
      <c r="BC118" s="511">
        <f t="shared" si="33"/>
        <v>0</v>
      </c>
      <c r="BD118" s="511">
        <f t="shared" si="34"/>
        <v>0</v>
      </c>
      <c r="BE118" s="511">
        <f t="shared" si="35"/>
        <v>0</v>
      </c>
      <c r="BF118" s="511">
        <f t="shared" si="36"/>
        <v>0</v>
      </c>
      <c r="BG118" s="511">
        <f t="shared" si="37"/>
        <v>0</v>
      </c>
      <c r="BH118" s="511">
        <f t="shared" si="38"/>
        <v>0</v>
      </c>
      <c r="BI118" s="511">
        <f>IF(BH118=0,35,_xlfn.RANK.EQ(BH118,BH98:BH132))</f>
        <v>35</v>
      </c>
      <c r="BJ118" s="512">
        <f>IF(BI118=35,35,BI118+COUNTIF(BI$98:BI117,BI118)/COUNTIF(BI$98:BI$132,BI118))</f>
        <v>35</v>
      </c>
      <c r="BK118" s="511">
        <f t="shared" si="39"/>
        <v>13</v>
      </c>
      <c r="BL118" s="511" t="s">
        <v>411</v>
      </c>
      <c r="BM118" s="511">
        <f t="shared" si="40"/>
        <v>0</v>
      </c>
      <c r="BN118" s="511">
        <f t="shared" si="41"/>
        <v>0</v>
      </c>
      <c r="BO118" s="511">
        <f t="shared" si="42"/>
        <v>0</v>
      </c>
      <c r="BP118" s="511">
        <f t="shared" si="43"/>
        <v>0</v>
      </c>
      <c r="BQ118" s="511">
        <f t="shared" si="44"/>
        <v>0</v>
      </c>
      <c r="BR118" s="511">
        <f t="shared" si="45"/>
        <v>0</v>
      </c>
      <c r="BS118" s="511">
        <f t="shared" si="46"/>
        <v>0</v>
      </c>
      <c r="BT118" s="511">
        <f t="shared" si="47"/>
        <v>0</v>
      </c>
      <c r="BU118" s="511">
        <f t="shared" si="48"/>
        <v>0</v>
      </c>
      <c r="BV118" s="511">
        <f t="shared" si="49"/>
        <v>0</v>
      </c>
      <c r="BW118" s="511">
        <f>IF(BV118=0,35,_xlfn.RANK.EQ(BV118,BV98:BV132))</f>
        <v>35</v>
      </c>
      <c r="BX118" s="512">
        <f>IF(BW118=35,35,BW118+COUNTIF(BW$98:BW117,BW118)/COUNTIF(BW$98:BW$132,BW118))</f>
        <v>35</v>
      </c>
      <c r="BY118" s="511">
        <f t="shared" si="50"/>
        <v>13</v>
      </c>
      <c r="BZ118" s="511" t="s">
        <v>411</v>
      </c>
      <c r="CA118" s="511">
        <f t="shared" si="51"/>
        <v>0</v>
      </c>
      <c r="CB118" s="511">
        <f t="shared" si="52"/>
        <v>0</v>
      </c>
      <c r="CC118" s="511">
        <f t="shared" si="53"/>
        <v>0</v>
      </c>
      <c r="CD118" s="511">
        <f t="shared" si="54"/>
        <v>0</v>
      </c>
      <c r="CE118" s="511">
        <f t="shared" si="55"/>
        <v>0</v>
      </c>
      <c r="CF118" s="511">
        <f t="shared" si="56"/>
        <v>0</v>
      </c>
      <c r="CG118" s="511">
        <f t="shared" si="57"/>
        <v>0</v>
      </c>
      <c r="CH118" s="511">
        <f t="shared" si="58"/>
        <v>0</v>
      </c>
      <c r="CI118" s="511">
        <f t="shared" si="59"/>
        <v>0</v>
      </c>
      <c r="CJ118" s="511">
        <f t="shared" si="60"/>
        <v>0</v>
      </c>
      <c r="CK118" s="511">
        <f>IF(CJ118=0,35,_xlfn.RANK.EQ(CJ118,CJ98:CJ132))</f>
        <v>35</v>
      </c>
      <c r="CL118" s="512">
        <f>IF(CK118=35,35,CK118+COUNTIF(CK$98:CK117,CK118)/COUNTIF(CK$98:CK$132,CK118))</f>
        <v>35</v>
      </c>
      <c r="CM118" s="511">
        <f t="shared" si="61"/>
        <v>12</v>
      </c>
      <c r="CN118" s="511" t="s">
        <v>411</v>
      </c>
      <c r="CO118" s="515"/>
      <c r="CP118" s="515"/>
      <c r="CQ118" s="516"/>
    </row>
    <row r="119" spans="21:95" s="473" customFormat="1">
      <c r="U119" s="510">
        <f t="shared" si="7"/>
        <v>22</v>
      </c>
      <c r="V119" s="511" t="s">
        <v>412</v>
      </c>
      <c r="W119" s="511">
        <f t="shared" si="8"/>
        <v>0</v>
      </c>
      <c r="X119" s="511">
        <f t="shared" si="9"/>
        <v>0</v>
      </c>
      <c r="Y119" s="511">
        <f t="shared" si="10"/>
        <v>0</v>
      </c>
      <c r="Z119" s="511">
        <f t="shared" si="11"/>
        <v>0</v>
      </c>
      <c r="AA119" s="511">
        <f t="shared" si="12"/>
        <v>0</v>
      </c>
      <c r="AB119" s="511">
        <f t="shared" si="13"/>
        <v>0</v>
      </c>
      <c r="AC119" s="511">
        <f t="shared" si="14"/>
        <v>0</v>
      </c>
      <c r="AD119" s="511">
        <f t="shared" si="15"/>
        <v>0</v>
      </c>
      <c r="AE119" s="511">
        <f t="shared" si="16"/>
        <v>0</v>
      </c>
      <c r="AF119" s="511">
        <f t="shared" si="6"/>
        <v>0</v>
      </c>
      <c r="AG119" s="511">
        <f>IF(AF119=0,35,_xlfn.RANK.EQ(AF119,AF98:AF132))</f>
        <v>35</v>
      </c>
      <c r="AH119" s="512">
        <f>IF(AG119=35,35,AG119+COUNTIF(AG$98:AG118,AG119)/COUNTIF(AG$98:AG$132,AG119))</f>
        <v>35</v>
      </c>
      <c r="AI119" s="511">
        <f t="shared" si="17"/>
        <v>14</v>
      </c>
      <c r="AJ119" s="511" t="s">
        <v>412</v>
      </c>
      <c r="AK119" s="511">
        <f t="shared" si="18"/>
        <v>0</v>
      </c>
      <c r="AL119" s="511">
        <f t="shared" si="19"/>
        <v>0</v>
      </c>
      <c r="AM119" s="511">
        <f t="shared" si="20"/>
        <v>0</v>
      </c>
      <c r="AN119" s="511">
        <f t="shared" si="21"/>
        <v>0</v>
      </c>
      <c r="AO119" s="511">
        <f t="shared" si="22"/>
        <v>0</v>
      </c>
      <c r="AP119" s="511">
        <f t="shared" si="23"/>
        <v>0</v>
      </c>
      <c r="AQ119" s="511">
        <f t="shared" si="24"/>
        <v>0</v>
      </c>
      <c r="AR119" s="511">
        <f t="shared" si="25"/>
        <v>0</v>
      </c>
      <c r="AS119" s="511">
        <f t="shared" si="26"/>
        <v>0</v>
      </c>
      <c r="AT119" s="511">
        <f t="shared" si="27"/>
        <v>0</v>
      </c>
      <c r="AU119" s="511">
        <f>IF(AT119=0,35,_xlfn.RANK.EQ(AT119,AT98:AT132))</f>
        <v>35</v>
      </c>
      <c r="AV119" s="512">
        <f>IF(AU119=35,35,AU119+COUNTIF(AU$98:AU118,AU119)/COUNTIF(AU$98:AU$132,AU119))</f>
        <v>35</v>
      </c>
      <c r="AW119" s="511">
        <f t="shared" si="28"/>
        <v>13</v>
      </c>
      <c r="AX119" s="511" t="s">
        <v>412</v>
      </c>
      <c r="AY119" s="511">
        <f t="shared" si="29"/>
        <v>0</v>
      </c>
      <c r="AZ119" s="511">
        <f t="shared" si="30"/>
        <v>0</v>
      </c>
      <c r="BA119" s="511">
        <f t="shared" si="31"/>
        <v>0</v>
      </c>
      <c r="BB119" s="511">
        <f t="shared" si="32"/>
        <v>0</v>
      </c>
      <c r="BC119" s="511">
        <f t="shared" si="33"/>
        <v>0</v>
      </c>
      <c r="BD119" s="511">
        <f t="shared" si="34"/>
        <v>0</v>
      </c>
      <c r="BE119" s="511">
        <f t="shared" si="35"/>
        <v>0</v>
      </c>
      <c r="BF119" s="511">
        <f t="shared" si="36"/>
        <v>0</v>
      </c>
      <c r="BG119" s="511">
        <f t="shared" si="37"/>
        <v>0</v>
      </c>
      <c r="BH119" s="511">
        <f t="shared" si="38"/>
        <v>0</v>
      </c>
      <c r="BI119" s="511">
        <f>IF(BH119=0,35,_xlfn.RANK.EQ(BH119,BH98:BH132))</f>
        <v>35</v>
      </c>
      <c r="BJ119" s="512">
        <f>IF(BI119=35,35,BI119+COUNTIF(BI$98:BI118,BI119)/COUNTIF(BI$98:BI$132,BI119))</f>
        <v>35</v>
      </c>
      <c r="BK119" s="511">
        <f t="shared" si="39"/>
        <v>13</v>
      </c>
      <c r="BL119" s="511" t="s">
        <v>412</v>
      </c>
      <c r="BM119" s="511">
        <f t="shared" si="40"/>
        <v>0</v>
      </c>
      <c r="BN119" s="511">
        <f t="shared" si="41"/>
        <v>0</v>
      </c>
      <c r="BO119" s="511">
        <f t="shared" si="42"/>
        <v>0</v>
      </c>
      <c r="BP119" s="511">
        <f t="shared" si="43"/>
        <v>0</v>
      </c>
      <c r="BQ119" s="511">
        <f t="shared" si="44"/>
        <v>0</v>
      </c>
      <c r="BR119" s="511">
        <f t="shared" si="45"/>
        <v>0</v>
      </c>
      <c r="BS119" s="511">
        <f t="shared" si="46"/>
        <v>0</v>
      </c>
      <c r="BT119" s="511">
        <f t="shared" si="47"/>
        <v>0</v>
      </c>
      <c r="BU119" s="511">
        <f t="shared" si="48"/>
        <v>0</v>
      </c>
      <c r="BV119" s="511">
        <f t="shared" si="49"/>
        <v>0</v>
      </c>
      <c r="BW119" s="511">
        <f>IF(BV119=0,35,_xlfn.RANK.EQ(BV119,BV98:BV132))</f>
        <v>35</v>
      </c>
      <c r="BX119" s="512">
        <f>IF(BW119=35,35,BW119+COUNTIF(BW$98:BW118,BW119)/COUNTIF(BW$98:BW$132,BW119))</f>
        <v>35</v>
      </c>
      <c r="BY119" s="511">
        <f t="shared" si="50"/>
        <v>13</v>
      </c>
      <c r="BZ119" s="511" t="s">
        <v>412</v>
      </c>
      <c r="CA119" s="511">
        <f t="shared" si="51"/>
        <v>0</v>
      </c>
      <c r="CB119" s="511">
        <f t="shared" si="52"/>
        <v>0</v>
      </c>
      <c r="CC119" s="511">
        <f t="shared" si="53"/>
        <v>0</v>
      </c>
      <c r="CD119" s="511">
        <f t="shared" si="54"/>
        <v>0</v>
      </c>
      <c r="CE119" s="511">
        <f t="shared" si="55"/>
        <v>0</v>
      </c>
      <c r="CF119" s="511">
        <f t="shared" si="56"/>
        <v>0</v>
      </c>
      <c r="CG119" s="511">
        <f t="shared" si="57"/>
        <v>0</v>
      </c>
      <c r="CH119" s="511">
        <f t="shared" si="58"/>
        <v>0</v>
      </c>
      <c r="CI119" s="511">
        <f t="shared" si="59"/>
        <v>0</v>
      </c>
      <c r="CJ119" s="511">
        <f t="shared" si="60"/>
        <v>0</v>
      </c>
      <c r="CK119" s="511">
        <f>IF(CJ119=0,35,_xlfn.RANK.EQ(CJ119,CJ98:CJ132))</f>
        <v>35</v>
      </c>
      <c r="CL119" s="512">
        <f>IF(CK119=35,35,CK119+COUNTIF(CK$98:CK118,CK119)/COUNTIF(CK$98:CK$132,CK119))</f>
        <v>35</v>
      </c>
      <c r="CM119" s="511">
        <f t="shared" si="61"/>
        <v>12</v>
      </c>
      <c r="CN119" s="511" t="s">
        <v>412</v>
      </c>
      <c r="CO119" s="515"/>
      <c r="CP119" s="515"/>
      <c r="CQ119" s="516"/>
    </row>
    <row r="120" spans="21:95" s="473" customFormat="1">
      <c r="U120" s="510">
        <f t="shared" si="7"/>
        <v>23</v>
      </c>
      <c r="V120" s="511" t="s">
        <v>403</v>
      </c>
      <c r="W120" s="511">
        <f t="shared" si="8"/>
        <v>0</v>
      </c>
      <c r="X120" s="511">
        <f t="shared" si="9"/>
        <v>0</v>
      </c>
      <c r="Y120" s="511">
        <f t="shared" si="10"/>
        <v>0</v>
      </c>
      <c r="Z120" s="511">
        <f t="shared" si="11"/>
        <v>0</v>
      </c>
      <c r="AA120" s="511">
        <f t="shared" si="12"/>
        <v>0</v>
      </c>
      <c r="AB120" s="511">
        <f t="shared" si="13"/>
        <v>0</v>
      </c>
      <c r="AC120" s="511">
        <f t="shared" si="14"/>
        <v>0</v>
      </c>
      <c r="AD120" s="511">
        <f t="shared" si="15"/>
        <v>0</v>
      </c>
      <c r="AE120" s="511">
        <f t="shared" si="16"/>
        <v>0</v>
      </c>
      <c r="AF120" s="511">
        <f t="shared" si="6"/>
        <v>0</v>
      </c>
      <c r="AG120" s="511">
        <f>IF(AF120=0,35,_xlfn.RANK.EQ(AF120,AF98:AF132))</f>
        <v>35</v>
      </c>
      <c r="AH120" s="512">
        <f>IF(AG120=35,35,AG120+COUNTIF(AG$98:AG119,AG120)/COUNTIF(AG$98:AG$132,AG120))</f>
        <v>35</v>
      </c>
      <c r="AI120" s="511">
        <f t="shared" si="17"/>
        <v>14</v>
      </c>
      <c r="AJ120" s="511" t="s">
        <v>403</v>
      </c>
      <c r="AK120" s="511">
        <f t="shared" si="18"/>
        <v>0</v>
      </c>
      <c r="AL120" s="511">
        <f t="shared" si="19"/>
        <v>0</v>
      </c>
      <c r="AM120" s="511">
        <f t="shared" si="20"/>
        <v>0</v>
      </c>
      <c r="AN120" s="511">
        <f t="shared" si="21"/>
        <v>0</v>
      </c>
      <c r="AO120" s="511">
        <f t="shared" si="22"/>
        <v>0</v>
      </c>
      <c r="AP120" s="511">
        <f t="shared" si="23"/>
        <v>0</v>
      </c>
      <c r="AQ120" s="511">
        <f t="shared" si="24"/>
        <v>0</v>
      </c>
      <c r="AR120" s="511">
        <f t="shared" si="25"/>
        <v>0</v>
      </c>
      <c r="AS120" s="511">
        <f t="shared" si="26"/>
        <v>0</v>
      </c>
      <c r="AT120" s="511">
        <f t="shared" si="27"/>
        <v>0</v>
      </c>
      <c r="AU120" s="511">
        <f>IF(AT120=0,35,_xlfn.RANK.EQ(AT120,AT98:AT132))</f>
        <v>35</v>
      </c>
      <c r="AV120" s="512">
        <f>IF(AU120=35,35,AU120+COUNTIF(AU$98:AU119,AU120)/COUNTIF(AU$98:AU$132,AU120))</f>
        <v>35</v>
      </c>
      <c r="AW120" s="511">
        <f t="shared" si="28"/>
        <v>13</v>
      </c>
      <c r="AX120" s="511" t="s">
        <v>403</v>
      </c>
      <c r="AY120" s="511">
        <f t="shared" si="29"/>
        <v>0</v>
      </c>
      <c r="AZ120" s="511">
        <f t="shared" si="30"/>
        <v>0</v>
      </c>
      <c r="BA120" s="511">
        <f t="shared" si="31"/>
        <v>0</v>
      </c>
      <c r="BB120" s="511">
        <f t="shared" si="32"/>
        <v>0</v>
      </c>
      <c r="BC120" s="511">
        <f t="shared" si="33"/>
        <v>0</v>
      </c>
      <c r="BD120" s="511">
        <f t="shared" si="34"/>
        <v>0</v>
      </c>
      <c r="BE120" s="511">
        <f t="shared" si="35"/>
        <v>0</v>
      </c>
      <c r="BF120" s="511">
        <f t="shared" si="36"/>
        <v>0</v>
      </c>
      <c r="BG120" s="511">
        <f t="shared" si="37"/>
        <v>0</v>
      </c>
      <c r="BH120" s="511">
        <f t="shared" si="38"/>
        <v>0</v>
      </c>
      <c r="BI120" s="511">
        <f>IF(BH120=0,35,_xlfn.RANK.EQ(BH120,BH98:BH132))</f>
        <v>35</v>
      </c>
      <c r="BJ120" s="512">
        <f>IF(BI120=35,35,BI120+COUNTIF(BI$98:BI119,BI120)/COUNTIF(BI$98:BI$132,BI120))</f>
        <v>35</v>
      </c>
      <c r="BK120" s="511">
        <f t="shared" si="39"/>
        <v>13</v>
      </c>
      <c r="BL120" s="511" t="s">
        <v>403</v>
      </c>
      <c r="BM120" s="511">
        <f t="shared" si="40"/>
        <v>0</v>
      </c>
      <c r="BN120" s="511">
        <f t="shared" si="41"/>
        <v>0</v>
      </c>
      <c r="BO120" s="511">
        <f t="shared" si="42"/>
        <v>9</v>
      </c>
      <c r="BP120" s="511">
        <f t="shared" si="43"/>
        <v>10</v>
      </c>
      <c r="BQ120" s="511">
        <f t="shared" si="44"/>
        <v>8</v>
      </c>
      <c r="BR120" s="511">
        <f t="shared" si="45"/>
        <v>8</v>
      </c>
      <c r="BS120" s="511">
        <f t="shared" si="46"/>
        <v>6</v>
      </c>
      <c r="BT120" s="511">
        <f t="shared" si="47"/>
        <v>6</v>
      </c>
      <c r="BU120" s="511">
        <f t="shared" si="48"/>
        <v>8</v>
      </c>
      <c r="BV120" s="511">
        <f t="shared" si="49"/>
        <v>47</v>
      </c>
      <c r="BW120" s="511">
        <f>IF(BV120=0,35,_xlfn.RANK.EQ(BV120,BV98:BV132))</f>
        <v>5</v>
      </c>
      <c r="BX120" s="512">
        <f>IF(BW120=35,35,BW120+COUNTIF(BW$98:BW119,BW120)/COUNTIF(BW$98:BW$132,BW120))</f>
        <v>5</v>
      </c>
      <c r="BY120" s="511">
        <f t="shared" si="50"/>
        <v>5</v>
      </c>
      <c r="BZ120" s="511" t="s">
        <v>403</v>
      </c>
      <c r="CA120" s="511">
        <f t="shared" si="51"/>
        <v>0</v>
      </c>
      <c r="CB120" s="511">
        <f t="shared" si="52"/>
        <v>0</v>
      </c>
      <c r="CC120" s="511">
        <f t="shared" si="53"/>
        <v>0</v>
      </c>
      <c r="CD120" s="511">
        <f t="shared" si="54"/>
        <v>0</v>
      </c>
      <c r="CE120" s="511">
        <f t="shared" si="55"/>
        <v>0</v>
      </c>
      <c r="CF120" s="511">
        <f t="shared" si="56"/>
        <v>0</v>
      </c>
      <c r="CG120" s="511">
        <f t="shared" si="57"/>
        <v>0</v>
      </c>
      <c r="CH120" s="511">
        <f t="shared" si="58"/>
        <v>0</v>
      </c>
      <c r="CI120" s="511">
        <f t="shared" si="59"/>
        <v>0</v>
      </c>
      <c r="CJ120" s="511">
        <f t="shared" si="60"/>
        <v>0</v>
      </c>
      <c r="CK120" s="511">
        <f>IF(CJ120=0,35,_xlfn.RANK.EQ(CJ120,CJ98:CJ132))</f>
        <v>35</v>
      </c>
      <c r="CL120" s="512">
        <f>IF(CK120=35,35,CK120+COUNTIF(CK$98:CK119,CK120)/COUNTIF(CK$98:CK$132,CK120))</f>
        <v>35</v>
      </c>
      <c r="CM120" s="511">
        <f t="shared" si="61"/>
        <v>12</v>
      </c>
      <c r="CN120" s="511" t="s">
        <v>403</v>
      </c>
      <c r="CO120" s="515"/>
      <c r="CP120" s="515"/>
      <c r="CQ120" s="516"/>
    </row>
    <row r="121" spans="21:95" s="473" customFormat="1">
      <c r="U121" s="510">
        <f t="shared" si="7"/>
        <v>24</v>
      </c>
      <c r="V121" s="511" t="s">
        <v>413</v>
      </c>
      <c r="W121" s="511">
        <f t="shared" si="8"/>
        <v>0</v>
      </c>
      <c r="X121" s="511">
        <f t="shared" si="9"/>
        <v>0</v>
      </c>
      <c r="Y121" s="511">
        <f t="shared" si="10"/>
        <v>0</v>
      </c>
      <c r="Z121" s="511">
        <f t="shared" si="11"/>
        <v>0</v>
      </c>
      <c r="AA121" s="511">
        <f t="shared" si="12"/>
        <v>0</v>
      </c>
      <c r="AB121" s="511">
        <f t="shared" si="13"/>
        <v>0</v>
      </c>
      <c r="AC121" s="511">
        <f t="shared" si="14"/>
        <v>0</v>
      </c>
      <c r="AD121" s="511">
        <f t="shared" si="15"/>
        <v>0</v>
      </c>
      <c r="AE121" s="511">
        <f t="shared" si="16"/>
        <v>0</v>
      </c>
      <c r="AF121" s="511">
        <f t="shared" si="6"/>
        <v>0</v>
      </c>
      <c r="AG121" s="511">
        <f>IF(AF121=0,35,_xlfn.RANK.EQ(AF121,AF98:AF132))</f>
        <v>35</v>
      </c>
      <c r="AH121" s="512">
        <f>IF(AG121=35,35,AG121+COUNTIF(AG$98:AG120,AG121)/COUNTIF(AG$98:AG$132,AG121))</f>
        <v>35</v>
      </c>
      <c r="AI121" s="511">
        <f t="shared" si="17"/>
        <v>14</v>
      </c>
      <c r="AJ121" s="511" t="s">
        <v>413</v>
      </c>
      <c r="AK121" s="511">
        <f t="shared" si="18"/>
        <v>0</v>
      </c>
      <c r="AL121" s="511">
        <f t="shared" si="19"/>
        <v>0</v>
      </c>
      <c r="AM121" s="511">
        <f t="shared" si="20"/>
        <v>0</v>
      </c>
      <c r="AN121" s="511">
        <f t="shared" si="21"/>
        <v>0</v>
      </c>
      <c r="AO121" s="511">
        <f t="shared" si="22"/>
        <v>0</v>
      </c>
      <c r="AP121" s="511">
        <f t="shared" si="23"/>
        <v>0</v>
      </c>
      <c r="AQ121" s="511">
        <f t="shared" si="24"/>
        <v>0</v>
      </c>
      <c r="AR121" s="511">
        <f t="shared" si="25"/>
        <v>0</v>
      </c>
      <c r="AS121" s="511">
        <f t="shared" si="26"/>
        <v>0</v>
      </c>
      <c r="AT121" s="511">
        <f t="shared" si="27"/>
        <v>0</v>
      </c>
      <c r="AU121" s="511">
        <f>IF(AT121=0,35,_xlfn.RANK.EQ(AT121,AT98:AT132))</f>
        <v>35</v>
      </c>
      <c r="AV121" s="512">
        <f>IF(AU121=35,35,AU121+COUNTIF(AU$98:AU120,AU121)/COUNTIF(AU$98:AU$132,AU121))</f>
        <v>35</v>
      </c>
      <c r="AW121" s="511">
        <f t="shared" si="28"/>
        <v>13</v>
      </c>
      <c r="AX121" s="511" t="s">
        <v>413</v>
      </c>
      <c r="AY121" s="511">
        <f t="shared" si="29"/>
        <v>0</v>
      </c>
      <c r="AZ121" s="511">
        <f t="shared" si="30"/>
        <v>0</v>
      </c>
      <c r="BA121" s="511">
        <f t="shared" si="31"/>
        <v>0</v>
      </c>
      <c r="BB121" s="511">
        <f t="shared" si="32"/>
        <v>0</v>
      </c>
      <c r="BC121" s="511">
        <f t="shared" si="33"/>
        <v>0</v>
      </c>
      <c r="BD121" s="511">
        <f t="shared" si="34"/>
        <v>0</v>
      </c>
      <c r="BE121" s="511">
        <f t="shared" si="35"/>
        <v>0</v>
      </c>
      <c r="BF121" s="511">
        <f t="shared" si="36"/>
        <v>0</v>
      </c>
      <c r="BG121" s="511">
        <f t="shared" si="37"/>
        <v>0</v>
      </c>
      <c r="BH121" s="511">
        <f t="shared" si="38"/>
        <v>0</v>
      </c>
      <c r="BI121" s="511">
        <f>IF(BH121=0,35,_xlfn.RANK.EQ(BH121,BH98:BH132))</f>
        <v>35</v>
      </c>
      <c r="BJ121" s="512">
        <f>IF(BI121=35,35,BI121+COUNTIF(BI$98:BI120,BI121)/COUNTIF(BI$98:BI$132,BI121))</f>
        <v>35</v>
      </c>
      <c r="BK121" s="511">
        <f t="shared" si="39"/>
        <v>13</v>
      </c>
      <c r="BL121" s="511" t="s">
        <v>413</v>
      </c>
      <c r="BM121" s="511">
        <f t="shared" si="40"/>
        <v>0</v>
      </c>
      <c r="BN121" s="511">
        <f t="shared" si="41"/>
        <v>0</v>
      </c>
      <c r="BO121" s="511">
        <f t="shared" si="42"/>
        <v>0</v>
      </c>
      <c r="BP121" s="511">
        <f t="shared" si="43"/>
        <v>0</v>
      </c>
      <c r="BQ121" s="511">
        <f t="shared" si="44"/>
        <v>0</v>
      </c>
      <c r="BR121" s="511">
        <f t="shared" si="45"/>
        <v>0</v>
      </c>
      <c r="BS121" s="511">
        <f t="shared" si="46"/>
        <v>0</v>
      </c>
      <c r="BT121" s="511">
        <f t="shared" si="47"/>
        <v>0</v>
      </c>
      <c r="BU121" s="511">
        <f t="shared" si="48"/>
        <v>0</v>
      </c>
      <c r="BV121" s="511">
        <f t="shared" si="49"/>
        <v>0</v>
      </c>
      <c r="BW121" s="511">
        <f>IF(BV121=0,35,_xlfn.RANK.EQ(BV121,BV98:BV132))</f>
        <v>35</v>
      </c>
      <c r="BX121" s="512">
        <f>IF(BW121=35,35,BW121+COUNTIF(BW$98:BW120,BW121)/COUNTIF(BW$98:BW$132,BW121))</f>
        <v>35</v>
      </c>
      <c r="BY121" s="511">
        <f t="shared" si="50"/>
        <v>13</v>
      </c>
      <c r="BZ121" s="511" t="s">
        <v>413</v>
      </c>
      <c r="CA121" s="511">
        <f t="shared" si="51"/>
        <v>0</v>
      </c>
      <c r="CB121" s="511">
        <f t="shared" si="52"/>
        <v>0</v>
      </c>
      <c r="CC121" s="511">
        <f t="shared" si="53"/>
        <v>0</v>
      </c>
      <c r="CD121" s="511">
        <f t="shared" si="54"/>
        <v>0</v>
      </c>
      <c r="CE121" s="511">
        <f t="shared" si="55"/>
        <v>0</v>
      </c>
      <c r="CF121" s="511">
        <f t="shared" si="56"/>
        <v>0</v>
      </c>
      <c r="CG121" s="511">
        <f t="shared" si="57"/>
        <v>0</v>
      </c>
      <c r="CH121" s="511">
        <f t="shared" si="58"/>
        <v>0</v>
      </c>
      <c r="CI121" s="511">
        <f t="shared" si="59"/>
        <v>0</v>
      </c>
      <c r="CJ121" s="511">
        <f t="shared" si="60"/>
        <v>0</v>
      </c>
      <c r="CK121" s="511">
        <f>IF(CJ121=0,35,_xlfn.RANK.EQ(CJ121,CJ98:CJ132))</f>
        <v>35</v>
      </c>
      <c r="CL121" s="512">
        <f>IF(CK121=35,35,CK121+COUNTIF(CK$98:CK120,CK121)/COUNTIF(CK$98:CK$132,CK121))</f>
        <v>35</v>
      </c>
      <c r="CM121" s="511">
        <f t="shared" si="61"/>
        <v>12</v>
      </c>
      <c r="CN121" s="511" t="s">
        <v>413</v>
      </c>
      <c r="CO121" s="515"/>
      <c r="CP121" s="515"/>
      <c r="CQ121" s="516"/>
    </row>
    <row r="122" spans="21:95" s="473" customFormat="1">
      <c r="U122" s="510">
        <f t="shared" si="7"/>
        <v>25</v>
      </c>
      <c r="V122" s="511" t="s">
        <v>395</v>
      </c>
      <c r="W122" s="511">
        <f t="shared" si="8"/>
        <v>0</v>
      </c>
      <c r="X122" s="511">
        <f t="shared" si="9"/>
        <v>0</v>
      </c>
      <c r="Y122" s="511">
        <f t="shared" si="10"/>
        <v>0</v>
      </c>
      <c r="Z122" s="511">
        <f t="shared" si="11"/>
        <v>0</v>
      </c>
      <c r="AA122" s="511">
        <f t="shared" si="12"/>
        <v>0</v>
      </c>
      <c r="AB122" s="511">
        <f t="shared" si="13"/>
        <v>0</v>
      </c>
      <c r="AC122" s="511">
        <f t="shared" si="14"/>
        <v>0</v>
      </c>
      <c r="AD122" s="511">
        <f t="shared" si="15"/>
        <v>10</v>
      </c>
      <c r="AE122" s="511">
        <f t="shared" si="16"/>
        <v>0</v>
      </c>
      <c r="AF122" s="511">
        <f t="shared" si="6"/>
        <v>10</v>
      </c>
      <c r="AG122" s="511">
        <f>IF(AF122=0,35,_xlfn.RANK.EQ(AF122,AF98:AF132))</f>
        <v>13</v>
      </c>
      <c r="AH122" s="512">
        <f>IF(AG122=35,35,AG122+COUNTIF(AG$98:AG121,AG122)/COUNTIF(AG$98:AG$132,AG122))</f>
        <v>13</v>
      </c>
      <c r="AI122" s="511">
        <f t="shared" si="17"/>
        <v>13</v>
      </c>
      <c r="AJ122" s="511" t="s">
        <v>395</v>
      </c>
      <c r="AK122" s="511">
        <f t="shared" si="18"/>
        <v>0</v>
      </c>
      <c r="AL122" s="511">
        <f t="shared" si="19"/>
        <v>0</v>
      </c>
      <c r="AM122" s="511">
        <f t="shared" si="20"/>
        <v>0</v>
      </c>
      <c r="AN122" s="511">
        <f t="shared" si="21"/>
        <v>0</v>
      </c>
      <c r="AO122" s="511">
        <f t="shared" si="22"/>
        <v>10</v>
      </c>
      <c r="AP122" s="511">
        <f t="shared" si="23"/>
        <v>9</v>
      </c>
      <c r="AQ122" s="511">
        <f t="shared" si="24"/>
        <v>0</v>
      </c>
      <c r="AR122" s="511">
        <f t="shared" si="25"/>
        <v>9</v>
      </c>
      <c r="AS122" s="511">
        <f t="shared" si="26"/>
        <v>0</v>
      </c>
      <c r="AT122" s="511">
        <f t="shared" si="27"/>
        <v>28</v>
      </c>
      <c r="AU122" s="511">
        <f>IF(AT122=0,35,_xlfn.RANK.EQ(AT122,AT98:AT132))</f>
        <v>8</v>
      </c>
      <c r="AV122" s="512">
        <f>IF(AU122=35,35,AU122+COUNTIF(AU$98:AU121,AU122)/COUNTIF(AU$98:AU$132,AU122))</f>
        <v>8</v>
      </c>
      <c r="AW122" s="511">
        <f t="shared" si="28"/>
        <v>8</v>
      </c>
      <c r="AX122" s="511" t="s">
        <v>395</v>
      </c>
      <c r="AY122" s="511">
        <f t="shared" si="29"/>
        <v>0</v>
      </c>
      <c r="AZ122" s="511">
        <f t="shared" si="30"/>
        <v>0</v>
      </c>
      <c r="BA122" s="511">
        <f t="shared" si="31"/>
        <v>0</v>
      </c>
      <c r="BB122" s="511">
        <f t="shared" si="32"/>
        <v>0</v>
      </c>
      <c r="BC122" s="511">
        <f t="shared" si="33"/>
        <v>0</v>
      </c>
      <c r="BD122" s="511">
        <f t="shared" si="34"/>
        <v>0</v>
      </c>
      <c r="BE122" s="511">
        <f t="shared" si="35"/>
        <v>0</v>
      </c>
      <c r="BF122" s="511">
        <f t="shared" si="36"/>
        <v>0</v>
      </c>
      <c r="BG122" s="511">
        <f t="shared" si="37"/>
        <v>0</v>
      </c>
      <c r="BH122" s="511">
        <f t="shared" si="38"/>
        <v>0</v>
      </c>
      <c r="BI122" s="511">
        <f>IF(BH122=0,35,_xlfn.RANK.EQ(BH122,BH98:BH132))</f>
        <v>35</v>
      </c>
      <c r="BJ122" s="512">
        <f>IF(BI122=35,35,BI122+COUNTIF(BI$98:BI121,BI122)/COUNTIF(BI$98:BI$132,BI122))</f>
        <v>35</v>
      </c>
      <c r="BK122" s="511">
        <f t="shared" si="39"/>
        <v>13</v>
      </c>
      <c r="BL122" s="511" t="s">
        <v>395</v>
      </c>
      <c r="BM122" s="511">
        <f t="shared" si="40"/>
        <v>10</v>
      </c>
      <c r="BN122" s="511">
        <f t="shared" si="41"/>
        <v>10</v>
      </c>
      <c r="BO122" s="511">
        <f t="shared" si="42"/>
        <v>10</v>
      </c>
      <c r="BP122" s="511">
        <f t="shared" si="43"/>
        <v>0</v>
      </c>
      <c r="BQ122" s="511">
        <f t="shared" si="44"/>
        <v>0</v>
      </c>
      <c r="BR122" s="511">
        <f t="shared" si="45"/>
        <v>0</v>
      </c>
      <c r="BS122" s="511">
        <f t="shared" si="46"/>
        <v>0</v>
      </c>
      <c r="BT122" s="511">
        <f t="shared" si="47"/>
        <v>10</v>
      </c>
      <c r="BU122" s="511">
        <f t="shared" si="48"/>
        <v>7</v>
      </c>
      <c r="BV122" s="511">
        <f t="shared" si="49"/>
        <v>40</v>
      </c>
      <c r="BW122" s="511">
        <f>IF(BV122=0,35,_xlfn.RANK.EQ(BV122,BV98:BV132))</f>
        <v>6</v>
      </c>
      <c r="BX122" s="512">
        <f>IF(BW122=35,35,BW122+COUNTIF(BW$98:BW121,BW122)/COUNTIF(BW$98:BW$132,BW122))</f>
        <v>6</v>
      </c>
      <c r="BY122" s="511">
        <f t="shared" si="50"/>
        <v>6</v>
      </c>
      <c r="BZ122" s="511" t="s">
        <v>395</v>
      </c>
      <c r="CA122" s="511">
        <f t="shared" si="51"/>
        <v>0</v>
      </c>
      <c r="CB122" s="511">
        <f t="shared" si="52"/>
        <v>0</v>
      </c>
      <c r="CC122" s="511">
        <f t="shared" si="53"/>
        <v>0</v>
      </c>
      <c r="CD122" s="511">
        <f t="shared" si="54"/>
        <v>0</v>
      </c>
      <c r="CE122" s="511">
        <f t="shared" si="55"/>
        <v>0</v>
      </c>
      <c r="CF122" s="511">
        <f t="shared" si="56"/>
        <v>0</v>
      </c>
      <c r="CG122" s="511">
        <f t="shared" si="57"/>
        <v>0</v>
      </c>
      <c r="CH122" s="511">
        <f t="shared" si="58"/>
        <v>0</v>
      </c>
      <c r="CI122" s="511">
        <f t="shared" si="59"/>
        <v>0</v>
      </c>
      <c r="CJ122" s="511">
        <f t="shared" si="60"/>
        <v>0</v>
      </c>
      <c r="CK122" s="511">
        <f>IF(CJ122=0,35,_xlfn.RANK.EQ(CJ122,CJ98:CJ132))</f>
        <v>35</v>
      </c>
      <c r="CL122" s="512">
        <f>IF(CK122=35,35,CK122+COUNTIF(CK$98:CK121,CK122)/COUNTIF(CK$98:CK$132,CK122))</f>
        <v>35</v>
      </c>
      <c r="CM122" s="511">
        <f t="shared" si="61"/>
        <v>12</v>
      </c>
      <c r="CN122" s="511" t="s">
        <v>395</v>
      </c>
      <c r="CO122" s="515"/>
      <c r="CP122" s="515"/>
      <c r="CQ122" s="516"/>
    </row>
    <row r="123" spans="21:95" s="473" customFormat="1">
      <c r="U123" s="510">
        <f t="shared" si="7"/>
        <v>26</v>
      </c>
      <c r="V123" s="511" t="s">
        <v>399</v>
      </c>
      <c r="W123" s="511">
        <f t="shared" si="8"/>
        <v>0</v>
      </c>
      <c r="X123" s="511">
        <f t="shared" si="9"/>
        <v>0</v>
      </c>
      <c r="Y123" s="511">
        <f t="shared" si="10"/>
        <v>0</v>
      </c>
      <c r="Z123" s="511">
        <f t="shared" si="11"/>
        <v>0</v>
      </c>
      <c r="AA123" s="511">
        <f t="shared" si="12"/>
        <v>0</v>
      </c>
      <c r="AB123" s="511">
        <f t="shared" si="13"/>
        <v>0</v>
      </c>
      <c r="AC123" s="511">
        <f t="shared" si="14"/>
        <v>0</v>
      </c>
      <c r="AD123" s="511">
        <f t="shared" si="15"/>
        <v>0</v>
      </c>
      <c r="AE123" s="511">
        <f t="shared" si="16"/>
        <v>0</v>
      </c>
      <c r="AF123" s="511">
        <f t="shared" si="6"/>
        <v>0</v>
      </c>
      <c r="AG123" s="511">
        <f>IF(AF123=0,35,_xlfn.RANK.EQ(AF123,AF98:AF132))</f>
        <v>35</v>
      </c>
      <c r="AH123" s="512">
        <f>IF(AG123=35,35,AG123+COUNTIF(AG$98:AG122,AG123)/COUNTIF(AG$98:AG$132,AG123))</f>
        <v>35</v>
      </c>
      <c r="AI123" s="511">
        <f t="shared" si="17"/>
        <v>14</v>
      </c>
      <c r="AJ123" s="511" t="s">
        <v>399</v>
      </c>
      <c r="AK123" s="511">
        <f t="shared" si="18"/>
        <v>0</v>
      </c>
      <c r="AL123" s="511">
        <f t="shared" si="19"/>
        <v>0</v>
      </c>
      <c r="AM123" s="511">
        <f t="shared" si="20"/>
        <v>0</v>
      </c>
      <c r="AN123" s="511">
        <f t="shared" si="21"/>
        <v>0</v>
      </c>
      <c r="AO123" s="511">
        <f t="shared" si="22"/>
        <v>0</v>
      </c>
      <c r="AP123" s="511">
        <f t="shared" si="23"/>
        <v>0</v>
      </c>
      <c r="AQ123" s="511">
        <f t="shared" si="24"/>
        <v>0</v>
      </c>
      <c r="AR123" s="511">
        <f t="shared" si="25"/>
        <v>0</v>
      </c>
      <c r="AS123" s="511">
        <f t="shared" si="26"/>
        <v>0</v>
      </c>
      <c r="AT123" s="511">
        <f t="shared" si="27"/>
        <v>0</v>
      </c>
      <c r="AU123" s="511">
        <f>IF(AT123=0,35,_xlfn.RANK.EQ(AT123,AT98:AT132))</f>
        <v>35</v>
      </c>
      <c r="AV123" s="512">
        <f>IF(AU123=35,35,AU123+COUNTIF(AU$98:AU122,AU123)/COUNTIF(AU$98:AU$132,AU123))</f>
        <v>35</v>
      </c>
      <c r="AW123" s="511">
        <f t="shared" si="28"/>
        <v>13</v>
      </c>
      <c r="AX123" s="511" t="s">
        <v>399</v>
      </c>
      <c r="AY123" s="511">
        <f t="shared" si="29"/>
        <v>0</v>
      </c>
      <c r="AZ123" s="511">
        <f t="shared" si="30"/>
        <v>0</v>
      </c>
      <c r="BA123" s="511">
        <f t="shared" si="31"/>
        <v>0</v>
      </c>
      <c r="BB123" s="511">
        <f t="shared" si="32"/>
        <v>0</v>
      </c>
      <c r="BC123" s="511">
        <f t="shared" si="33"/>
        <v>0</v>
      </c>
      <c r="BD123" s="511">
        <f t="shared" si="34"/>
        <v>0</v>
      </c>
      <c r="BE123" s="511">
        <f t="shared" si="35"/>
        <v>0</v>
      </c>
      <c r="BF123" s="511">
        <f t="shared" si="36"/>
        <v>0</v>
      </c>
      <c r="BG123" s="511">
        <f t="shared" si="37"/>
        <v>0</v>
      </c>
      <c r="BH123" s="511">
        <f t="shared" si="38"/>
        <v>0</v>
      </c>
      <c r="BI123" s="511">
        <f>IF(BH123=0,35,_xlfn.RANK.EQ(BH123,BH98:BH132))</f>
        <v>35</v>
      </c>
      <c r="BJ123" s="512">
        <f>IF(BI123=35,35,BI123+COUNTIF(BI$98:BI122,BI123)/COUNTIF(BI$98:BI$132,BI123))</f>
        <v>35</v>
      </c>
      <c r="BK123" s="511">
        <f t="shared" si="39"/>
        <v>13</v>
      </c>
      <c r="BL123" s="511" t="s">
        <v>399</v>
      </c>
      <c r="BM123" s="511">
        <f t="shared" si="40"/>
        <v>4</v>
      </c>
      <c r="BN123" s="511">
        <f t="shared" si="41"/>
        <v>4</v>
      </c>
      <c r="BO123" s="511">
        <f t="shared" si="42"/>
        <v>5</v>
      </c>
      <c r="BP123" s="511">
        <f t="shared" si="43"/>
        <v>5</v>
      </c>
      <c r="BQ123" s="511">
        <f t="shared" si="44"/>
        <v>5</v>
      </c>
      <c r="BR123" s="511">
        <f t="shared" si="45"/>
        <v>5</v>
      </c>
      <c r="BS123" s="511">
        <f t="shared" si="46"/>
        <v>5</v>
      </c>
      <c r="BT123" s="511">
        <f t="shared" si="47"/>
        <v>5</v>
      </c>
      <c r="BU123" s="511">
        <f t="shared" si="48"/>
        <v>5</v>
      </c>
      <c r="BV123" s="511">
        <f t="shared" si="49"/>
        <v>38</v>
      </c>
      <c r="BW123" s="511">
        <f>IF(BV123=0,35,_xlfn.RANK.EQ(BV123,BV98:BV132))</f>
        <v>7</v>
      </c>
      <c r="BX123" s="512">
        <f>IF(BW123=35,35,BW123+COUNTIF(BW$98:BW122,BW123)/COUNTIF(BW$98:BW$132,BW123))</f>
        <v>7</v>
      </c>
      <c r="BY123" s="511">
        <f t="shared" si="50"/>
        <v>7</v>
      </c>
      <c r="BZ123" s="511" t="s">
        <v>399</v>
      </c>
      <c r="CA123" s="511">
        <f t="shared" si="51"/>
        <v>0</v>
      </c>
      <c r="CB123" s="511">
        <f t="shared" si="52"/>
        <v>0</v>
      </c>
      <c r="CC123" s="511">
        <f t="shared" si="53"/>
        <v>0</v>
      </c>
      <c r="CD123" s="511">
        <f t="shared" si="54"/>
        <v>0</v>
      </c>
      <c r="CE123" s="511">
        <f t="shared" si="55"/>
        <v>0</v>
      </c>
      <c r="CF123" s="511">
        <f t="shared" si="56"/>
        <v>0</v>
      </c>
      <c r="CG123" s="511">
        <f t="shared" si="57"/>
        <v>0</v>
      </c>
      <c r="CH123" s="511">
        <f t="shared" si="58"/>
        <v>0</v>
      </c>
      <c r="CI123" s="511">
        <f t="shared" si="59"/>
        <v>0</v>
      </c>
      <c r="CJ123" s="511">
        <f t="shared" si="60"/>
        <v>0</v>
      </c>
      <c r="CK123" s="511">
        <f>IF(CJ123=0,35,_xlfn.RANK.EQ(CJ123,CJ98:CJ132))</f>
        <v>35</v>
      </c>
      <c r="CL123" s="512">
        <f>IF(CK123=35,35,CK123+COUNTIF(CK$98:CK122,CK123)/COUNTIF(CK$98:CK$132,CK123))</f>
        <v>35</v>
      </c>
      <c r="CM123" s="511">
        <f t="shared" si="61"/>
        <v>12</v>
      </c>
      <c r="CN123" s="511" t="s">
        <v>399</v>
      </c>
      <c r="CO123" s="515"/>
      <c r="CP123" s="515"/>
      <c r="CQ123" s="516"/>
    </row>
    <row r="124" spans="21:95" s="473" customFormat="1">
      <c r="U124" s="510">
        <f t="shared" si="7"/>
        <v>27</v>
      </c>
      <c r="V124" s="511" t="s">
        <v>386</v>
      </c>
      <c r="W124" s="511">
        <f t="shared" si="8"/>
        <v>7</v>
      </c>
      <c r="X124" s="511">
        <f t="shared" si="9"/>
        <v>7</v>
      </c>
      <c r="Y124" s="511">
        <f t="shared" si="10"/>
        <v>7</v>
      </c>
      <c r="Z124" s="511">
        <f t="shared" si="11"/>
        <v>7</v>
      </c>
      <c r="AA124" s="511">
        <f t="shared" si="12"/>
        <v>7</v>
      </c>
      <c r="AB124" s="511">
        <f t="shared" si="13"/>
        <v>7</v>
      </c>
      <c r="AC124" s="511">
        <f t="shared" si="14"/>
        <v>8</v>
      </c>
      <c r="AD124" s="511">
        <f t="shared" si="15"/>
        <v>9</v>
      </c>
      <c r="AE124" s="511">
        <f t="shared" si="16"/>
        <v>8</v>
      </c>
      <c r="AF124" s="511">
        <f t="shared" si="6"/>
        <v>59</v>
      </c>
      <c r="AG124" s="511">
        <f>IF(AF124=0,35,_xlfn.RANK.EQ(AF124,AF98:AF132))</f>
        <v>2</v>
      </c>
      <c r="AH124" s="512">
        <f>IF(AG124=35,35,AG124+COUNTIF(AG$98:AG123,AG124)/COUNTIF(AG$98:AG$132,AG124))</f>
        <v>2</v>
      </c>
      <c r="AI124" s="511">
        <f t="shared" si="17"/>
        <v>2</v>
      </c>
      <c r="AJ124" s="511" t="s">
        <v>386</v>
      </c>
      <c r="AK124" s="511">
        <f t="shared" si="18"/>
        <v>0</v>
      </c>
      <c r="AL124" s="511">
        <f t="shared" si="19"/>
        <v>0</v>
      </c>
      <c r="AM124" s="511">
        <f t="shared" si="20"/>
        <v>0</v>
      </c>
      <c r="AN124" s="511">
        <f t="shared" si="21"/>
        <v>0</v>
      </c>
      <c r="AO124" s="511">
        <f t="shared" si="22"/>
        <v>0</v>
      </c>
      <c r="AP124" s="511">
        <f t="shared" si="23"/>
        <v>0</v>
      </c>
      <c r="AQ124" s="511">
        <f t="shared" si="24"/>
        <v>0</v>
      </c>
      <c r="AR124" s="511">
        <f t="shared" si="25"/>
        <v>0</v>
      </c>
      <c r="AS124" s="511">
        <f t="shared" si="26"/>
        <v>0</v>
      </c>
      <c r="AT124" s="511">
        <f t="shared" si="27"/>
        <v>0</v>
      </c>
      <c r="AU124" s="511">
        <f>IF(AT124=0,35,_xlfn.RANK.EQ(AT124,AT98:AT132))</f>
        <v>35</v>
      </c>
      <c r="AV124" s="512">
        <f>IF(AU124=35,35,AU124+COUNTIF(AU$98:AU123,AU124)/COUNTIF(AU$98:AU$132,AU124))</f>
        <v>35</v>
      </c>
      <c r="AW124" s="511">
        <f t="shared" si="28"/>
        <v>13</v>
      </c>
      <c r="AX124" s="511" t="s">
        <v>386</v>
      </c>
      <c r="AY124" s="511">
        <f t="shared" si="29"/>
        <v>0</v>
      </c>
      <c r="AZ124" s="511">
        <f t="shared" si="30"/>
        <v>0</v>
      </c>
      <c r="BA124" s="511">
        <f t="shared" si="31"/>
        <v>0</v>
      </c>
      <c r="BB124" s="511">
        <f t="shared" si="32"/>
        <v>0</v>
      </c>
      <c r="BC124" s="511">
        <f t="shared" si="33"/>
        <v>0</v>
      </c>
      <c r="BD124" s="511">
        <f t="shared" si="34"/>
        <v>0</v>
      </c>
      <c r="BE124" s="511">
        <f t="shared" si="35"/>
        <v>0</v>
      </c>
      <c r="BF124" s="511">
        <f t="shared" si="36"/>
        <v>0</v>
      </c>
      <c r="BG124" s="511">
        <f t="shared" si="37"/>
        <v>0</v>
      </c>
      <c r="BH124" s="511">
        <f t="shared" si="38"/>
        <v>0</v>
      </c>
      <c r="BI124" s="511">
        <f>IF(BH124=0,35,_xlfn.RANK.EQ(BH124,BH98:BH132))</f>
        <v>35</v>
      </c>
      <c r="BJ124" s="512">
        <f>IF(BI124=35,35,BI124+COUNTIF(BI$98:BI123,BI124)/COUNTIF(BI$98:BI$132,BI124))</f>
        <v>35</v>
      </c>
      <c r="BK124" s="511">
        <f t="shared" si="39"/>
        <v>13</v>
      </c>
      <c r="BL124" s="511" t="s">
        <v>386</v>
      </c>
      <c r="BM124" s="511">
        <f t="shared" si="40"/>
        <v>0</v>
      </c>
      <c r="BN124" s="511">
        <f t="shared" si="41"/>
        <v>0</v>
      </c>
      <c r="BO124" s="511">
        <f t="shared" si="42"/>
        <v>0</v>
      </c>
      <c r="BP124" s="511">
        <f t="shared" si="43"/>
        <v>0</v>
      </c>
      <c r="BQ124" s="511">
        <f t="shared" si="44"/>
        <v>0</v>
      </c>
      <c r="BR124" s="511">
        <f t="shared" si="45"/>
        <v>0</v>
      </c>
      <c r="BS124" s="511">
        <f t="shared" si="46"/>
        <v>0</v>
      </c>
      <c r="BT124" s="511">
        <f t="shared" si="47"/>
        <v>0</v>
      </c>
      <c r="BU124" s="511">
        <f t="shared" si="48"/>
        <v>0</v>
      </c>
      <c r="BV124" s="511">
        <f t="shared" si="49"/>
        <v>0</v>
      </c>
      <c r="BW124" s="511">
        <f>IF(BV124=0,35,_xlfn.RANK.EQ(BV124,BV98:BV132))</f>
        <v>35</v>
      </c>
      <c r="BX124" s="512">
        <f>IF(BW124=35,35,BW124+COUNTIF(BW$98:BW123,BW124)/COUNTIF(BW$98:BW$132,BW124))</f>
        <v>35</v>
      </c>
      <c r="BY124" s="511">
        <f t="shared" si="50"/>
        <v>13</v>
      </c>
      <c r="BZ124" s="511" t="s">
        <v>386</v>
      </c>
      <c r="CA124" s="511">
        <f t="shared" si="51"/>
        <v>0</v>
      </c>
      <c r="CB124" s="511">
        <f t="shared" si="52"/>
        <v>0</v>
      </c>
      <c r="CC124" s="511">
        <f t="shared" si="53"/>
        <v>0</v>
      </c>
      <c r="CD124" s="511">
        <f t="shared" si="54"/>
        <v>0</v>
      </c>
      <c r="CE124" s="511">
        <f t="shared" si="55"/>
        <v>0</v>
      </c>
      <c r="CF124" s="511">
        <f t="shared" si="56"/>
        <v>0</v>
      </c>
      <c r="CG124" s="511">
        <f t="shared" si="57"/>
        <v>0</v>
      </c>
      <c r="CH124" s="511">
        <f t="shared" si="58"/>
        <v>0</v>
      </c>
      <c r="CI124" s="511">
        <f t="shared" si="59"/>
        <v>0</v>
      </c>
      <c r="CJ124" s="511">
        <f t="shared" si="60"/>
        <v>0</v>
      </c>
      <c r="CK124" s="511">
        <f>IF(CJ124=0,35,_xlfn.RANK.EQ(CJ124,CJ98:CJ132))</f>
        <v>35</v>
      </c>
      <c r="CL124" s="512">
        <f>IF(CK124=35,35,CK124+COUNTIF(CK$98:CK123,CK124)/COUNTIF(CK$98:CK$132,CK124))</f>
        <v>35</v>
      </c>
      <c r="CM124" s="511">
        <f t="shared" si="61"/>
        <v>12</v>
      </c>
      <c r="CN124" s="511" t="s">
        <v>386</v>
      </c>
      <c r="CO124" s="515"/>
      <c r="CP124" s="515"/>
      <c r="CQ124" s="516"/>
    </row>
    <row r="125" spans="21:95" s="473" customFormat="1">
      <c r="U125" s="510">
        <f t="shared" si="7"/>
        <v>28</v>
      </c>
      <c r="V125" s="511" t="s">
        <v>414</v>
      </c>
      <c r="W125" s="511">
        <f t="shared" si="8"/>
        <v>0</v>
      </c>
      <c r="X125" s="511">
        <f t="shared" si="9"/>
        <v>0</v>
      </c>
      <c r="Y125" s="511">
        <f t="shared" si="10"/>
        <v>0</v>
      </c>
      <c r="Z125" s="511">
        <f t="shared" si="11"/>
        <v>0</v>
      </c>
      <c r="AA125" s="511">
        <f t="shared" si="12"/>
        <v>0</v>
      </c>
      <c r="AB125" s="511">
        <f t="shared" si="13"/>
        <v>0</v>
      </c>
      <c r="AC125" s="511">
        <f t="shared" si="14"/>
        <v>0</v>
      </c>
      <c r="AD125" s="511">
        <f t="shared" si="15"/>
        <v>0</v>
      </c>
      <c r="AE125" s="511">
        <f t="shared" si="16"/>
        <v>0</v>
      </c>
      <c r="AF125" s="511">
        <f t="shared" si="6"/>
        <v>0</v>
      </c>
      <c r="AG125" s="511">
        <f>IF(AF125=0,35,_xlfn.RANK.EQ(AF125,AF98:AF132))</f>
        <v>35</v>
      </c>
      <c r="AH125" s="512">
        <f>IF(AG125=35,35,AG125+COUNTIF(AG$98:AG124,AG125)/COUNTIF(AG$98:AG$132,AG125))</f>
        <v>35</v>
      </c>
      <c r="AI125" s="511">
        <f t="shared" si="17"/>
        <v>14</v>
      </c>
      <c r="AJ125" s="511" t="s">
        <v>414</v>
      </c>
      <c r="AK125" s="511">
        <f t="shared" si="18"/>
        <v>0</v>
      </c>
      <c r="AL125" s="511">
        <f t="shared" si="19"/>
        <v>0</v>
      </c>
      <c r="AM125" s="511">
        <f t="shared" si="20"/>
        <v>0</v>
      </c>
      <c r="AN125" s="511">
        <f t="shared" si="21"/>
        <v>0</v>
      </c>
      <c r="AO125" s="511">
        <f t="shared" si="22"/>
        <v>0</v>
      </c>
      <c r="AP125" s="511">
        <f t="shared" si="23"/>
        <v>0</v>
      </c>
      <c r="AQ125" s="511">
        <f t="shared" si="24"/>
        <v>0</v>
      </c>
      <c r="AR125" s="511">
        <f t="shared" si="25"/>
        <v>0</v>
      </c>
      <c r="AS125" s="511">
        <f t="shared" si="26"/>
        <v>0</v>
      </c>
      <c r="AT125" s="511">
        <f t="shared" si="27"/>
        <v>0</v>
      </c>
      <c r="AU125" s="511">
        <f>IF(AT125=0,35,_xlfn.RANK.EQ(AT125,AT98:AT132))</f>
        <v>35</v>
      </c>
      <c r="AV125" s="512">
        <f>IF(AU125=35,35,AU125+COUNTIF(AU$98:AU124,AU125)/COUNTIF(AU$98:AU$132,AU125))</f>
        <v>35</v>
      </c>
      <c r="AW125" s="511">
        <f t="shared" si="28"/>
        <v>13</v>
      </c>
      <c r="AX125" s="511" t="s">
        <v>414</v>
      </c>
      <c r="AY125" s="511">
        <f t="shared" si="29"/>
        <v>0</v>
      </c>
      <c r="AZ125" s="511">
        <f t="shared" si="30"/>
        <v>0</v>
      </c>
      <c r="BA125" s="511">
        <f t="shared" si="31"/>
        <v>0</v>
      </c>
      <c r="BB125" s="511">
        <f t="shared" si="32"/>
        <v>0</v>
      </c>
      <c r="BC125" s="511">
        <f t="shared" si="33"/>
        <v>0</v>
      </c>
      <c r="BD125" s="511">
        <f t="shared" si="34"/>
        <v>0</v>
      </c>
      <c r="BE125" s="511">
        <f t="shared" si="35"/>
        <v>0</v>
      </c>
      <c r="BF125" s="511">
        <f t="shared" si="36"/>
        <v>0</v>
      </c>
      <c r="BG125" s="511">
        <f t="shared" si="37"/>
        <v>0</v>
      </c>
      <c r="BH125" s="511">
        <f t="shared" si="38"/>
        <v>0</v>
      </c>
      <c r="BI125" s="511">
        <f>IF(BH125=0,35,_xlfn.RANK.EQ(BH125,BH98:BH132))</f>
        <v>35</v>
      </c>
      <c r="BJ125" s="512">
        <f>IF(BI125=35,35,BI125+COUNTIF(BI$98:BI124,BI125)/COUNTIF(BI$98:BI$132,BI125))</f>
        <v>35</v>
      </c>
      <c r="BK125" s="511">
        <f t="shared" si="39"/>
        <v>13</v>
      </c>
      <c r="BL125" s="511" t="s">
        <v>414</v>
      </c>
      <c r="BM125" s="511">
        <f t="shared" si="40"/>
        <v>0</v>
      </c>
      <c r="BN125" s="511">
        <f t="shared" si="41"/>
        <v>0</v>
      </c>
      <c r="BO125" s="511">
        <f t="shared" si="42"/>
        <v>0</v>
      </c>
      <c r="BP125" s="511">
        <f t="shared" si="43"/>
        <v>0</v>
      </c>
      <c r="BQ125" s="511">
        <f t="shared" si="44"/>
        <v>0</v>
      </c>
      <c r="BR125" s="511">
        <f t="shared" si="45"/>
        <v>0</v>
      </c>
      <c r="BS125" s="511">
        <f t="shared" si="46"/>
        <v>0</v>
      </c>
      <c r="BT125" s="511">
        <f t="shared" si="47"/>
        <v>0</v>
      </c>
      <c r="BU125" s="511">
        <f t="shared" si="48"/>
        <v>0</v>
      </c>
      <c r="BV125" s="511">
        <f t="shared" si="49"/>
        <v>0</v>
      </c>
      <c r="BW125" s="511">
        <f>IF(BV125=0,35,_xlfn.RANK.EQ(BV125,BV98:BV132))</f>
        <v>35</v>
      </c>
      <c r="BX125" s="512">
        <f>IF(BW125=35,35,BW125+COUNTIF(BW$98:BW124,BW125)/COUNTIF(BW$98:BW$132,BW125))</f>
        <v>35</v>
      </c>
      <c r="BY125" s="511">
        <f t="shared" si="50"/>
        <v>13</v>
      </c>
      <c r="BZ125" s="511" t="s">
        <v>414</v>
      </c>
      <c r="CA125" s="511">
        <f t="shared" si="51"/>
        <v>0</v>
      </c>
      <c r="CB125" s="511">
        <f t="shared" si="52"/>
        <v>0</v>
      </c>
      <c r="CC125" s="511">
        <f t="shared" si="53"/>
        <v>0</v>
      </c>
      <c r="CD125" s="511">
        <f t="shared" si="54"/>
        <v>0</v>
      </c>
      <c r="CE125" s="511">
        <f t="shared" si="55"/>
        <v>0</v>
      </c>
      <c r="CF125" s="511">
        <f t="shared" si="56"/>
        <v>0</v>
      </c>
      <c r="CG125" s="511">
        <f t="shared" si="57"/>
        <v>0</v>
      </c>
      <c r="CH125" s="511">
        <f t="shared" si="58"/>
        <v>0</v>
      </c>
      <c r="CI125" s="511">
        <f t="shared" si="59"/>
        <v>0</v>
      </c>
      <c r="CJ125" s="511">
        <f t="shared" si="60"/>
        <v>0</v>
      </c>
      <c r="CK125" s="511">
        <f>IF(CJ125=0,35,_xlfn.RANK.EQ(CJ125,CJ98:CJ132))</f>
        <v>35</v>
      </c>
      <c r="CL125" s="512">
        <f>IF(CK125=35,35,CK125+COUNTIF(CK$98:CK124,CK125)/COUNTIF(CK$98:CK$132,CK125))</f>
        <v>35</v>
      </c>
      <c r="CM125" s="511">
        <f t="shared" si="61"/>
        <v>12</v>
      </c>
      <c r="CN125" s="511" t="s">
        <v>414</v>
      </c>
      <c r="CO125" s="515"/>
      <c r="CP125" s="515"/>
      <c r="CQ125" s="516"/>
    </row>
    <row r="126" spans="21:95" s="473" customFormat="1">
      <c r="U126" s="510">
        <f t="shared" si="7"/>
        <v>29</v>
      </c>
      <c r="V126" s="511" t="s">
        <v>388</v>
      </c>
      <c r="W126" s="511">
        <f t="shared" si="8"/>
        <v>10</v>
      </c>
      <c r="X126" s="511">
        <f t="shared" si="9"/>
        <v>10</v>
      </c>
      <c r="Y126" s="511">
        <f t="shared" si="10"/>
        <v>8</v>
      </c>
      <c r="Z126" s="511">
        <f t="shared" si="11"/>
        <v>8</v>
      </c>
      <c r="AA126" s="511">
        <f t="shared" si="12"/>
        <v>8</v>
      </c>
      <c r="AB126" s="511">
        <f t="shared" si="13"/>
        <v>8</v>
      </c>
      <c r="AC126" s="511">
        <f t="shared" si="14"/>
        <v>7</v>
      </c>
      <c r="AD126" s="511">
        <f t="shared" si="15"/>
        <v>7</v>
      </c>
      <c r="AE126" s="511">
        <f t="shared" si="16"/>
        <v>7</v>
      </c>
      <c r="AF126" s="511">
        <f t="shared" si="6"/>
        <v>66</v>
      </c>
      <c r="AG126" s="511">
        <f>IF(AF126=0,35,_xlfn.RANK.EQ(AF126,AF98:AF132))</f>
        <v>1</v>
      </c>
      <c r="AH126" s="512">
        <f>IF(AG126=35,35,AG126+COUNTIF(AG$98:AG125,AG126)/COUNTIF(AG$98:AG$132,AG126))</f>
        <v>1</v>
      </c>
      <c r="AI126" s="511">
        <f t="shared" si="17"/>
        <v>1</v>
      </c>
      <c r="AJ126" s="511" t="s">
        <v>388</v>
      </c>
      <c r="AK126" s="511">
        <f t="shared" si="18"/>
        <v>0</v>
      </c>
      <c r="AL126" s="511">
        <f t="shared" si="19"/>
        <v>0</v>
      </c>
      <c r="AM126" s="511">
        <f t="shared" si="20"/>
        <v>0</v>
      </c>
      <c r="AN126" s="511">
        <f t="shared" si="21"/>
        <v>0</v>
      </c>
      <c r="AO126" s="511">
        <f t="shared" si="22"/>
        <v>0</v>
      </c>
      <c r="AP126" s="511">
        <f t="shared" si="23"/>
        <v>0</v>
      </c>
      <c r="AQ126" s="511">
        <f t="shared" si="24"/>
        <v>0</v>
      </c>
      <c r="AR126" s="511">
        <f t="shared" si="25"/>
        <v>0</v>
      </c>
      <c r="AS126" s="511">
        <f t="shared" si="26"/>
        <v>0</v>
      </c>
      <c r="AT126" s="511">
        <f t="shared" si="27"/>
        <v>0</v>
      </c>
      <c r="AU126" s="511">
        <f>IF(AT126=0,35,_xlfn.RANK.EQ(AT126,AT98:AT132))</f>
        <v>35</v>
      </c>
      <c r="AV126" s="512">
        <f>IF(AU126=35,35,AU126+COUNTIF(AU$98:AU125,AU126)/COUNTIF(AU$98:AU$132,AU126))</f>
        <v>35</v>
      </c>
      <c r="AW126" s="511">
        <f t="shared" si="28"/>
        <v>13</v>
      </c>
      <c r="AX126" s="511" t="s">
        <v>388</v>
      </c>
      <c r="AY126" s="511">
        <f t="shared" si="29"/>
        <v>10</v>
      </c>
      <c r="AZ126" s="511">
        <f t="shared" si="30"/>
        <v>10</v>
      </c>
      <c r="BA126" s="511">
        <f t="shared" si="31"/>
        <v>7</v>
      </c>
      <c r="BB126" s="511">
        <f t="shared" si="32"/>
        <v>8</v>
      </c>
      <c r="BC126" s="511">
        <f t="shared" si="33"/>
        <v>9</v>
      </c>
      <c r="BD126" s="511">
        <f t="shared" si="34"/>
        <v>10</v>
      </c>
      <c r="BE126" s="511">
        <f t="shared" si="35"/>
        <v>0</v>
      </c>
      <c r="BF126" s="511">
        <f t="shared" si="36"/>
        <v>0</v>
      </c>
      <c r="BG126" s="511">
        <f t="shared" si="37"/>
        <v>0</v>
      </c>
      <c r="BH126" s="511">
        <f t="shared" si="38"/>
        <v>54</v>
      </c>
      <c r="BI126" s="511">
        <f>IF(BH126=0,35,_xlfn.RANK.EQ(BH126,BH98:BH132))</f>
        <v>4</v>
      </c>
      <c r="BJ126" s="512">
        <f>IF(BI126=35,35,BI126+COUNTIF(BI$98:BI125,BI126)/COUNTIF(BI$98:BI$132,BI126))</f>
        <v>4.5</v>
      </c>
      <c r="BK126" s="511">
        <f t="shared" si="39"/>
        <v>5</v>
      </c>
      <c r="BL126" s="511" t="s">
        <v>388</v>
      </c>
      <c r="BM126" s="511">
        <f t="shared" si="40"/>
        <v>9</v>
      </c>
      <c r="BN126" s="511">
        <f t="shared" si="41"/>
        <v>9</v>
      </c>
      <c r="BO126" s="511">
        <f t="shared" si="42"/>
        <v>0</v>
      </c>
      <c r="BP126" s="511">
        <f t="shared" si="43"/>
        <v>0</v>
      </c>
      <c r="BQ126" s="511">
        <f t="shared" si="44"/>
        <v>10</v>
      </c>
      <c r="BR126" s="511">
        <f t="shared" si="45"/>
        <v>7</v>
      </c>
      <c r="BS126" s="511">
        <f t="shared" si="46"/>
        <v>9</v>
      </c>
      <c r="BT126" s="511">
        <f t="shared" si="47"/>
        <v>9</v>
      </c>
      <c r="BU126" s="511">
        <f t="shared" si="48"/>
        <v>0</v>
      </c>
      <c r="BV126" s="511">
        <f t="shared" si="49"/>
        <v>53</v>
      </c>
      <c r="BW126" s="511">
        <f>IF(BV126=0,35,_xlfn.RANK.EQ(BV126,BV98:BV132))</f>
        <v>3</v>
      </c>
      <c r="BX126" s="512">
        <f>IF(BW126=35,35,BW126+COUNTIF(BW$98:BW125,BW126)/COUNTIF(BW$98:BW$132,BW126))</f>
        <v>3</v>
      </c>
      <c r="BY126" s="511">
        <f t="shared" si="50"/>
        <v>3</v>
      </c>
      <c r="BZ126" s="511" t="s">
        <v>388</v>
      </c>
      <c r="CA126" s="511">
        <f t="shared" si="51"/>
        <v>0</v>
      </c>
      <c r="CB126" s="511">
        <f t="shared" si="52"/>
        <v>0</v>
      </c>
      <c r="CC126" s="511">
        <f t="shared" si="53"/>
        <v>0</v>
      </c>
      <c r="CD126" s="511">
        <f t="shared" si="54"/>
        <v>0</v>
      </c>
      <c r="CE126" s="511">
        <f t="shared" si="55"/>
        <v>0</v>
      </c>
      <c r="CF126" s="511">
        <f t="shared" si="56"/>
        <v>0</v>
      </c>
      <c r="CG126" s="511">
        <f t="shared" si="57"/>
        <v>0</v>
      </c>
      <c r="CH126" s="511">
        <f t="shared" si="58"/>
        <v>0</v>
      </c>
      <c r="CI126" s="511">
        <f t="shared" si="59"/>
        <v>0</v>
      </c>
      <c r="CJ126" s="511">
        <f t="shared" si="60"/>
        <v>0</v>
      </c>
      <c r="CK126" s="511">
        <f>IF(CJ126=0,35,_xlfn.RANK.EQ(CJ126,CJ98:CJ132))</f>
        <v>35</v>
      </c>
      <c r="CL126" s="512">
        <f>IF(CK126=35,35,CK126+COUNTIF(CK$98:CK125,CK126)/COUNTIF(CK$98:CK$132,CK126))</f>
        <v>35</v>
      </c>
      <c r="CM126" s="511">
        <f t="shared" si="61"/>
        <v>12</v>
      </c>
      <c r="CN126" s="511" t="s">
        <v>388</v>
      </c>
      <c r="CO126" s="515"/>
      <c r="CP126" s="515"/>
      <c r="CQ126" s="516"/>
    </row>
    <row r="127" spans="21:95" s="473" customFormat="1">
      <c r="U127" s="510">
        <f t="shared" si="7"/>
        <v>30</v>
      </c>
      <c r="V127" s="511" t="s">
        <v>415</v>
      </c>
      <c r="W127" s="511">
        <f t="shared" si="8"/>
        <v>0</v>
      </c>
      <c r="X127" s="511">
        <f t="shared" si="9"/>
        <v>0</v>
      </c>
      <c r="Y127" s="511">
        <f t="shared" si="10"/>
        <v>0</v>
      </c>
      <c r="Z127" s="511">
        <f t="shared" si="11"/>
        <v>0</v>
      </c>
      <c r="AA127" s="511">
        <f t="shared" si="12"/>
        <v>0</v>
      </c>
      <c r="AB127" s="511">
        <f t="shared" si="13"/>
        <v>0</v>
      </c>
      <c r="AC127" s="511">
        <f t="shared" si="14"/>
        <v>0</v>
      </c>
      <c r="AD127" s="511">
        <f t="shared" si="15"/>
        <v>0</v>
      </c>
      <c r="AE127" s="511">
        <f t="shared" si="16"/>
        <v>0</v>
      </c>
      <c r="AF127" s="511">
        <f t="shared" si="6"/>
        <v>0</v>
      </c>
      <c r="AG127" s="511">
        <f>IF(AF127=0,35,_xlfn.RANK.EQ(AF127,AF98:AF132))</f>
        <v>35</v>
      </c>
      <c r="AH127" s="512">
        <f>IF(AG127=35,35,AG127+COUNTIF(AG$98:AG126,AG127)/COUNTIF(AG$98:AG$132,AG127))</f>
        <v>35</v>
      </c>
      <c r="AI127" s="511">
        <f t="shared" si="17"/>
        <v>14</v>
      </c>
      <c r="AJ127" s="511" t="s">
        <v>415</v>
      </c>
      <c r="AK127" s="511">
        <f t="shared" si="18"/>
        <v>0</v>
      </c>
      <c r="AL127" s="511">
        <f t="shared" si="19"/>
        <v>0</v>
      </c>
      <c r="AM127" s="511">
        <f t="shared" si="20"/>
        <v>0</v>
      </c>
      <c r="AN127" s="511">
        <f t="shared" si="21"/>
        <v>0</v>
      </c>
      <c r="AO127" s="511">
        <f t="shared" si="22"/>
        <v>0</v>
      </c>
      <c r="AP127" s="511">
        <f t="shared" si="23"/>
        <v>0</v>
      </c>
      <c r="AQ127" s="511">
        <f t="shared" si="24"/>
        <v>0</v>
      </c>
      <c r="AR127" s="511">
        <f t="shared" si="25"/>
        <v>0</v>
      </c>
      <c r="AS127" s="511">
        <f t="shared" si="26"/>
        <v>0</v>
      </c>
      <c r="AT127" s="511">
        <f t="shared" si="27"/>
        <v>0</v>
      </c>
      <c r="AU127" s="511">
        <f>IF(AT127=0,35,_xlfn.RANK.EQ(AT127,AT98:AT132))</f>
        <v>35</v>
      </c>
      <c r="AV127" s="512">
        <f>IF(AU127=35,35,AU127+COUNTIF(AU$98:AU126,AU127)/COUNTIF(AU$98:AU$132,AU127))</f>
        <v>35</v>
      </c>
      <c r="AW127" s="511">
        <f t="shared" si="28"/>
        <v>13</v>
      </c>
      <c r="AX127" s="511" t="s">
        <v>415</v>
      </c>
      <c r="AY127" s="511">
        <f t="shared" si="29"/>
        <v>0</v>
      </c>
      <c r="AZ127" s="511">
        <f t="shared" si="30"/>
        <v>0</v>
      </c>
      <c r="BA127" s="511">
        <f t="shared" si="31"/>
        <v>0</v>
      </c>
      <c r="BB127" s="511">
        <f t="shared" si="32"/>
        <v>0</v>
      </c>
      <c r="BC127" s="511">
        <f t="shared" si="33"/>
        <v>0</v>
      </c>
      <c r="BD127" s="511">
        <f t="shared" si="34"/>
        <v>0</v>
      </c>
      <c r="BE127" s="511">
        <f t="shared" si="35"/>
        <v>0</v>
      </c>
      <c r="BF127" s="511">
        <f t="shared" si="36"/>
        <v>0</v>
      </c>
      <c r="BG127" s="511">
        <f t="shared" si="37"/>
        <v>0</v>
      </c>
      <c r="BH127" s="511">
        <f t="shared" si="38"/>
        <v>0</v>
      </c>
      <c r="BI127" s="511">
        <f>IF(BH127=0,35,_xlfn.RANK.EQ(BH127,BH98:BH132))</f>
        <v>35</v>
      </c>
      <c r="BJ127" s="512">
        <f>IF(BI127=35,35,BI127+COUNTIF(BI$98:BI126,BI127)/COUNTIF(BI$98:BI$132,BI127))</f>
        <v>35</v>
      </c>
      <c r="BK127" s="511">
        <f t="shared" si="39"/>
        <v>13</v>
      </c>
      <c r="BL127" s="511" t="s">
        <v>415</v>
      </c>
      <c r="BM127" s="511">
        <f t="shared" si="40"/>
        <v>0</v>
      </c>
      <c r="BN127" s="511">
        <f t="shared" si="41"/>
        <v>0</v>
      </c>
      <c r="BO127" s="511">
        <f t="shared" si="42"/>
        <v>0</v>
      </c>
      <c r="BP127" s="511">
        <f t="shared" si="43"/>
        <v>0</v>
      </c>
      <c r="BQ127" s="511">
        <f t="shared" si="44"/>
        <v>0</v>
      </c>
      <c r="BR127" s="511">
        <f t="shared" si="45"/>
        <v>0</v>
      </c>
      <c r="BS127" s="511">
        <f t="shared" si="46"/>
        <v>0</v>
      </c>
      <c r="BT127" s="511">
        <f t="shared" si="47"/>
        <v>0</v>
      </c>
      <c r="BU127" s="511">
        <f t="shared" si="48"/>
        <v>0</v>
      </c>
      <c r="BV127" s="511">
        <f t="shared" si="49"/>
        <v>0</v>
      </c>
      <c r="BW127" s="511">
        <f>IF(BV127=0,35,_xlfn.RANK.EQ(BV127,BV98:BV132))</f>
        <v>35</v>
      </c>
      <c r="BX127" s="512">
        <f>IF(BW127=35,35,BW127+COUNTIF(BW$98:BW126,BW127)/COUNTIF(BW$98:BW$132,BW127))</f>
        <v>35</v>
      </c>
      <c r="BY127" s="511">
        <f t="shared" si="50"/>
        <v>13</v>
      </c>
      <c r="BZ127" s="511" t="s">
        <v>415</v>
      </c>
      <c r="CA127" s="511">
        <f t="shared" si="51"/>
        <v>0</v>
      </c>
      <c r="CB127" s="511">
        <f t="shared" si="52"/>
        <v>0</v>
      </c>
      <c r="CC127" s="511">
        <f t="shared" si="53"/>
        <v>0</v>
      </c>
      <c r="CD127" s="511">
        <f t="shared" si="54"/>
        <v>0</v>
      </c>
      <c r="CE127" s="511">
        <f t="shared" si="55"/>
        <v>0</v>
      </c>
      <c r="CF127" s="511">
        <f t="shared" si="56"/>
        <v>0</v>
      </c>
      <c r="CG127" s="511">
        <f t="shared" si="57"/>
        <v>0</v>
      </c>
      <c r="CH127" s="511">
        <f t="shared" si="58"/>
        <v>0</v>
      </c>
      <c r="CI127" s="511">
        <f t="shared" si="59"/>
        <v>0</v>
      </c>
      <c r="CJ127" s="511">
        <f t="shared" si="60"/>
        <v>0</v>
      </c>
      <c r="CK127" s="511">
        <f>IF(CJ127=0,35,_xlfn.RANK.EQ(CJ127,CJ98:CJ132))</f>
        <v>35</v>
      </c>
      <c r="CL127" s="512">
        <f>IF(CK127=35,35,CK127+COUNTIF(CK$98:CK126,CK127)/COUNTIF(CK$98:CK$132,CK127))</f>
        <v>35</v>
      </c>
      <c r="CM127" s="511">
        <f t="shared" si="61"/>
        <v>12</v>
      </c>
      <c r="CN127" s="511" t="s">
        <v>415</v>
      </c>
      <c r="CO127" s="515"/>
      <c r="CP127" s="515"/>
      <c r="CQ127" s="516"/>
    </row>
    <row r="128" spans="21:95" s="473" customFormat="1">
      <c r="U128" s="510">
        <f t="shared" si="7"/>
        <v>31</v>
      </c>
      <c r="V128" s="511" t="s">
        <v>416</v>
      </c>
      <c r="W128" s="511">
        <f t="shared" si="8"/>
        <v>0</v>
      </c>
      <c r="X128" s="511">
        <f t="shared" si="9"/>
        <v>0</v>
      </c>
      <c r="Y128" s="511">
        <f t="shared" si="10"/>
        <v>0</v>
      </c>
      <c r="Z128" s="511">
        <f t="shared" si="11"/>
        <v>0</v>
      </c>
      <c r="AA128" s="511">
        <f t="shared" si="12"/>
        <v>10</v>
      </c>
      <c r="AB128" s="511">
        <f t="shared" si="13"/>
        <v>0</v>
      </c>
      <c r="AC128" s="511">
        <f t="shared" si="14"/>
        <v>10</v>
      </c>
      <c r="AD128" s="511">
        <f t="shared" si="15"/>
        <v>0</v>
      </c>
      <c r="AE128" s="511">
        <f t="shared" si="16"/>
        <v>0</v>
      </c>
      <c r="AF128" s="511">
        <f t="shared" si="6"/>
        <v>20</v>
      </c>
      <c r="AG128" s="511">
        <f>IF(AF128=0,35,_xlfn.RANK.EQ(AF128,AF98:AF132))</f>
        <v>9</v>
      </c>
      <c r="AH128" s="512">
        <f>IF(AG128=35,35,AG128+COUNTIF(AG$98:AG127,AG128)/COUNTIF(AG$98:AG$132,AG128))</f>
        <v>9</v>
      </c>
      <c r="AI128" s="511">
        <f t="shared" si="17"/>
        <v>9</v>
      </c>
      <c r="AJ128" s="511" t="s">
        <v>416</v>
      </c>
      <c r="AK128" s="511">
        <f t="shared" si="18"/>
        <v>0</v>
      </c>
      <c r="AL128" s="511">
        <f t="shared" si="19"/>
        <v>0</v>
      </c>
      <c r="AM128" s="511">
        <f t="shared" si="20"/>
        <v>0</v>
      </c>
      <c r="AN128" s="511">
        <f t="shared" si="21"/>
        <v>0</v>
      </c>
      <c r="AO128" s="511">
        <f t="shared" si="22"/>
        <v>0</v>
      </c>
      <c r="AP128" s="511">
        <f t="shared" si="23"/>
        <v>0</v>
      </c>
      <c r="AQ128" s="511">
        <f t="shared" si="24"/>
        <v>0</v>
      </c>
      <c r="AR128" s="511">
        <f t="shared" si="25"/>
        <v>0</v>
      </c>
      <c r="AS128" s="511">
        <f t="shared" si="26"/>
        <v>0</v>
      </c>
      <c r="AT128" s="511">
        <f t="shared" si="27"/>
        <v>0</v>
      </c>
      <c r="AU128" s="511">
        <f>IF(AT128=0,35,_xlfn.RANK.EQ(AT128,AT98:AT132))</f>
        <v>35</v>
      </c>
      <c r="AV128" s="512">
        <f>IF(AU128=35,35,AU128+COUNTIF(AU$98:AU127,AU128)/COUNTIF(AU$98:AU$132,AU128))</f>
        <v>35</v>
      </c>
      <c r="AW128" s="511">
        <f t="shared" si="28"/>
        <v>13</v>
      </c>
      <c r="AX128" s="511" t="s">
        <v>416</v>
      </c>
      <c r="AY128" s="511">
        <f t="shared" si="29"/>
        <v>0</v>
      </c>
      <c r="AZ128" s="511">
        <f t="shared" si="30"/>
        <v>0</v>
      </c>
      <c r="BA128" s="511">
        <f t="shared" si="31"/>
        <v>0</v>
      </c>
      <c r="BB128" s="511">
        <f t="shared" si="32"/>
        <v>0</v>
      </c>
      <c r="BC128" s="511">
        <f t="shared" si="33"/>
        <v>0</v>
      </c>
      <c r="BD128" s="511">
        <f t="shared" si="34"/>
        <v>0</v>
      </c>
      <c r="BE128" s="511">
        <f t="shared" si="35"/>
        <v>0</v>
      </c>
      <c r="BF128" s="511">
        <f t="shared" si="36"/>
        <v>0</v>
      </c>
      <c r="BG128" s="511">
        <f t="shared" si="37"/>
        <v>0</v>
      </c>
      <c r="BH128" s="511">
        <f t="shared" si="38"/>
        <v>0</v>
      </c>
      <c r="BI128" s="511">
        <f>IF(BH128=0,35,_xlfn.RANK.EQ(BH128,BH98:BH132))</f>
        <v>35</v>
      </c>
      <c r="BJ128" s="512">
        <f>IF(BI128=35,35,BI128+COUNTIF(BI$98:BI127,BI128)/COUNTIF(BI$98:BI$132,BI128))</f>
        <v>35</v>
      </c>
      <c r="BK128" s="511">
        <f t="shared" si="39"/>
        <v>13</v>
      </c>
      <c r="BL128" s="511" t="s">
        <v>416</v>
      </c>
      <c r="BM128" s="511">
        <f t="shared" si="40"/>
        <v>0</v>
      </c>
      <c r="BN128" s="511">
        <f t="shared" si="41"/>
        <v>0</v>
      </c>
      <c r="BO128" s="511">
        <f t="shared" si="42"/>
        <v>0</v>
      </c>
      <c r="BP128" s="511">
        <f t="shared" si="43"/>
        <v>0</v>
      </c>
      <c r="BQ128" s="511">
        <f t="shared" si="44"/>
        <v>0</v>
      </c>
      <c r="BR128" s="511">
        <f t="shared" si="45"/>
        <v>0</v>
      </c>
      <c r="BS128" s="511">
        <f t="shared" si="46"/>
        <v>0</v>
      </c>
      <c r="BT128" s="511">
        <f t="shared" si="47"/>
        <v>0</v>
      </c>
      <c r="BU128" s="511">
        <f t="shared" si="48"/>
        <v>0</v>
      </c>
      <c r="BV128" s="511">
        <f t="shared" si="49"/>
        <v>0</v>
      </c>
      <c r="BW128" s="511">
        <f>IF(BV128=0,35,_xlfn.RANK.EQ(BV128,BV98:BV132))</f>
        <v>35</v>
      </c>
      <c r="BX128" s="512">
        <f>IF(BW128=35,35,BW128+COUNTIF(BW$98:BW127,BW128)/COUNTIF(BW$98:BW$132,BW128))</f>
        <v>35</v>
      </c>
      <c r="BY128" s="511">
        <f t="shared" si="50"/>
        <v>13</v>
      </c>
      <c r="BZ128" s="511" t="s">
        <v>416</v>
      </c>
      <c r="CA128" s="511">
        <f t="shared" si="51"/>
        <v>0</v>
      </c>
      <c r="CB128" s="511">
        <f t="shared" si="52"/>
        <v>0</v>
      </c>
      <c r="CC128" s="511">
        <f t="shared" si="53"/>
        <v>0</v>
      </c>
      <c r="CD128" s="511">
        <f t="shared" si="54"/>
        <v>0</v>
      </c>
      <c r="CE128" s="511">
        <f t="shared" si="55"/>
        <v>0</v>
      </c>
      <c r="CF128" s="511">
        <f t="shared" si="56"/>
        <v>0</v>
      </c>
      <c r="CG128" s="511">
        <f t="shared" si="57"/>
        <v>0</v>
      </c>
      <c r="CH128" s="511">
        <f t="shared" si="58"/>
        <v>0</v>
      </c>
      <c r="CI128" s="511">
        <f t="shared" si="59"/>
        <v>0</v>
      </c>
      <c r="CJ128" s="511">
        <f t="shared" si="60"/>
        <v>0</v>
      </c>
      <c r="CK128" s="511">
        <f>IF(CJ128=0,35,_xlfn.RANK.EQ(CJ128,CJ98:CJ132))</f>
        <v>35</v>
      </c>
      <c r="CL128" s="512">
        <f>IF(CK128=35,35,CK128+COUNTIF(CK$98:CK127,CK128)/COUNTIF(CK$98:CK$132,CK128))</f>
        <v>35</v>
      </c>
      <c r="CM128" s="511">
        <f t="shared" si="61"/>
        <v>12</v>
      </c>
      <c r="CN128" s="511" t="s">
        <v>416</v>
      </c>
      <c r="CO128" s="515"/>
      <c r="CP128" s="515"/>
      <c r="CQ128" s="516"/>
    </row>
    <row r="129" spans="21:95" s="473" customFormat="1">
      <c r="U129" s="510">
        <f t="shared" si="7"/>
        <v>32</v>
      </c>
      <c r="V129" s="511" t="s">
        <v>382</v>
      </c>
      <c r="W129" s="511">
        <f t="shared" si="8"/>
        <v>4</v>
      </c>
      <c r="X129" s="511">
        <f t="shared" si="9"/>
        <v>4</v>
      </c>
      <c r="Y129" s="511">
        <f t="shared" si="10"/>
        <v>4</v>
      </c>
      <c r="Z129" s="511">
        <f t="shared" si="11"/>
        <v>4</v>
      </c>
      <c r="AA129" s="511">
        <f t="shared" si="12"/>
        <v>4</v>
      </c>
      <c r="AB129" s="511">
        <f t="shared" si="13"/>
        <v>3</v>
      </c>
      <c r="AC129" s="511">
        <f t="shared" si="14"/>
        <v>3</v>
      </c>
      <c r="AD129" s="511">
        <f t="shared" si="15"/>
        <v>4</v>
      </c>
      <c r="AE129" s="511">
        <f t="shared" si="16"/>
        <v>5</v>
      </c>
      <c r="AF129" s="511">
        <f t="shared" si="6"/>
        <v>30</v>
      </c>
      <c r="AG129" s="511">
        <f>IF(AF129=0,35,_xlfn.RANK.EQ(AF129,AF98:AF132))</f>
        <v>7</v>
      </c>
      <c r="AH129" s="512">
        <f>IF(AG129=35,35,AG129+COUNTIF(AG$98:AG128,AG129)/COUNTIF(AG$98:AG$132,AG129))</f>
        <v>7</v>
      </c>
      <c r="AI129" s="511">
        <f t="shared" si="17"/>
        <v>7</v>
      </c>
      <c r="AJ129" s="511" t="s">
        <v>382</v>
      </c>
      <c r="AK129" s="511">
        <f t="shared" si="18"/>
        <v>5</v>
      </c>
      <c r="AL129" s="511">
        <f t="shared" si="19"/>
        <v>5</v>
      </c>
      <c r="AM129" s="511">
        <f t="shared" si="20"/>
        <v>5</v>
      </c>
      <c r="AN129" s="511">
        <f t="shared" si="21"/>
        <v>4</v>
      </c>
      <c r="AO129" s="511">
        <f t="shared" si="22"/>
        <v>6</v>
      </c>
      <c r="AP129" s="511">
        <f t="shared" si="23"/>
        <v>6</v>
      </c>
      <c r="AQ129" s="511">
        <f t="shared" si="24"/>
        <v>8</v>
      </c>
      <c r="AR129" s="511">
        <f t="shared" si="25"/>
        <v>6</v>
      </c>
      <c r="AS129" s="511">
        <f t="shared" si="26"/>
        <v>6</v>
      </c>
      <c r="AT129" s="511">
        <f t="shared" si="27"/>
        <v>45</v>
      </c>
      <c r="AU129" s="511">
        <f>IF(AT129=0,35,_xlfn.RANK.EQ(AT129,AT98:AT132))</f>
        <v>5</v>
      </c>
      <c r="AV129" s="512">
        <f>IF(AU129=35,35,AU129+COUNTIF(AU$98:AU128,AU129)/COUNTIF(AU$98:AU$132,AU129))</f>
        <v>5</v>
      </c>
      <c r="AW129" s="511">
        <f t="shared" si="28"/>
        <v>5</v>
      </c>
      <c r="AX129" s="511" t="s">
        <v>382</v>
      </c>
      <c r="AY129" s="511">
        <f t="shared" si="29"/>
        <v>2</v>
      </c>
      <c r="AZ129" s="511">
        <f t="shared" si="30"/>
        <v>2</v>
      </c>
      <c r="BA129" s="511">
        <f t="shared" si="31"/>
        <v>4</v>
      </c>
      <c r="BB129" s="511">
        <f t="shared" si="32"/>
        <v>4</v>
      </c>
      <c r="BC129" s="511">
        <f t="shared" si="33"/>
        <v>5</v>
      </c>
      <c r="BD129" s="511">
        <f t="shared" si="34"/>
        <v>6</v>
      </c>
      <c r="BE129" s="511">
        <f t="shared" si="35"/>
        <v>5</v>
      </c>
      <c r="BF129" s="511">
        <f t="shared" si="36"/>
        <v>5</v>
      </c>
      <c r="BG129" s="511">
        <f t="shared" si="37"/>
        <v>4</v>
      </c>
      <c r="BH129" s="511">
        <f t="shared" si="38"/>
        <v>33</v>
      </c>
      <c r="BI129" s="511">
        <f>IF(BH129=0,35,_xlfn.RANK.EQ(BH129,BH98:BH132))</f>
        <v>7</v>
      </c>
      <c r="BJ129" s="512">
        <f>IF(BI129=35,35,BI129+COUNTIF(BI$98:BI128,BI129)/COUNTIF(BI$98:BI$132,BI129))</f>
        <v>7</v>
      </c>
      <c r="BK129" s="511">
        <f t="shared" si="39"/>
        <v>7</v>
      </c>
      <c r="BL129" s="511" t="s">
        <v>382</v>
      </c>
      <c r="BM129" s="511">
        <f t="shared" si="40"/>
        <v>8</v>
      </c>
      <c r="BN129" s="511">
        <f t="shared" si="41"/>
        <v>8</v>
      </c>
      <c r="BO129" s="511">
        <f t="shared" si="42"/>
        <v>8</v>
      </c>
      <c r="BP129" s="511">
        <f t="shared" si="43"/>
        <v>7</v>
      </c>
      <c r="BQ129" s="511">
        <f t="shared" si="44"/>
        <v>7</v>
      </c>
      <c r="BR129" s="511">
        <f t="shared" si="45"/>
        <v>9</v>
      </c>
      <c r="BS129" s="511">
        <f t="shared" si="46"/>
        <v>7</v>
      </c>
      <c r="BT129" s="511">
        <f t="shared" si="47"/>
        <v>8</v>
      </c>
      <c r="BU129" s="511">
        <f t="shared" si="48"/>
        <v>10</v>
      </c>
      <c r="BV129" s="511">
        <f t="shared" si="49"/>
        <v>62</v>
      </c>
      <c r="BW129" s="511">
        <f>IF(BV129=0,35,_xlfn.RANK.EQ(BV129,BV98:BV132))</f>
        <v>1</v>
      </c>
      <c r="BX129" s="512">
        <f>IF(BW129=35,35,BW129+COUNTIF(BW$98:BW128,BW129)/COUNTIF(BW$98:BW$132,BW129))</f>
        <v>1</v>
      </c>
      <c r="BY129" s="511">
        <f t="shared" si="50"/>
        <v>1</v>
      </c>
      <c r="BZ129" s="511" t="s">
        <v>382</v>
      </c>
      <c r="CA129" s="511">
        <f t="shared" si="51"/>
        <v>8</v>
      </c>
      <c r="CB129" s="511">
        <f t="shared" si="52"/>
        <v>8</v>
      </c>
      <c r="CC129" s="511">
        <f t="shared" si="53"/>
        <v>8</v>
      </c>
      <c r="CD129" s="511">
        <f t="shared" si="54"/>
        <v>8</v>
      </c>
      <c r="CE129" s="511">
        <f t="shared" si="55"/>
        <v>8</v>
      </c>
      <c r="CF129" s="511">
        <f t="shared" si="56"/>
        <v>8</v>
      </c>
      <c r="CG129" s="511">
        <f t="shared" si="57"/>
        <v>7</v>
      </c>
      <c r="CH129" s="511">
        <f t="shared" si="58"/>
        <v>6</v>
      </c>
      <c r="CI129" s="511">
        <f t="shared" si="59"/>
        <v>6</v>
      </c>
      <c r="CJ129" s="511">
        <f t="shared" si="60"/>
        <v>61</v>
      </c>
      <c r="CK129" s="511">
        <f>IF(CJ129=0,35,_xlfn.RANK.EQ(CJ129,CJ98:CJ132))</f>
        <v>3</v>
      </c>
      <c r="CL129" s="512">
        <f>IF(CK129=35,35,CK129+COUNTIF(CK$98:CK128,CK129)/COUNTIF(CK$98:CK$132,CK129))</f>
        <v>3</v>
      </c>
      <c r="CM129" s="511">
        <f t="shared" si="61"/>
        <v>3</v>
      </c>
      <c r="CN129" s="511" t="s">
        <v>382</v>
      </c>
      <c r="CO129" s="515"/>
      <c r="CP129" s="515"/>
      <c r="CQ129" s="516"/>
    </row>
    <row r="130" spans="21:95" s="473" customFormat="1">
      <c r="U130" s="510">
        <f t="shared" si="7"/>
        <v>33</v>
      </c>
      <c r="V130" s="511" t="s">
        <v>390</v>
      </c>
      <c r="W130" s="511">
        <f t="shared" si="8"/>
        <v>0</v>
      </c>
      <c r="X130" s="511">
        <f t="shared" si="9"/>
        <v>0</v>
      </c>
      <c r="Y130" s="511">
        <f t="shared" si="10"/>
        <v>0</v>
      </c>
      <c r="Z130" s="511">
        <f t="shared" si="11"/>
        <v>0</v>
      </c>
      <c r="AA130" s="511">
        <f t="shared" si="12"/>
        <v>0</v>
      </c>
      <c r="AB130" s="511">
        <f t="shared" si="13"/>
        <v>0</v>
      </c>
      <c r="AC130" s="511">
        <f t="shared" si="14"/>
        <v>0</v>
      </c>
      <c r="AD130" s="511">
        <f t="shared" si="15"/>
        <v>0</v>
      </c>
      <c r="AE130" s="511">
        <f t="shared" si="16"/>
        <v>0</v>
      </c>
      <c r="AF130" s="511">
        <f t="shared" si="6"/>
        <v>0</v>
      </c>
      <c r="AG130" s="511">
        <f>IF(AF130=0,35,_xlfn.RANK.EQ(AF130,AF98:AF132))</f>
        <v>35</v>
      </c>
      <c r="AH130" s="512">
        <f>IF(AG130=35,35,AG130+COUNTIF(AG$98:AG129,AG130)/COUNTIF(AG$98:AG$132,AG130))</f>
        <v>35</v>
      </c>
      <c r="AI130" s="511">
        <f t="shared" si="17"/>
        <v>14</v>
      </c>
      <c r="AJ130" s="511" t="s">
        <v>390</v>
      </c>
      <c r="AK130" s="511">
        <f t="shared" si="18"/>
        <v>3</v>
      </c>
      <c r="AL130" s="511">
        <f t="shared" si="19"/>
        <v>3</v>
      </c>
      <c r="AM130" s="511">
        <f t="shared" si="20"/>
        <v>3</v>
      </c>
      <c r="AN130" s="511">
        <f t="shared" si="21"/>
        <v>3</v>
      </c>
      <c r="AO130" s="511">
        <f t="shared" si="22"/>
        <v>2</v>
      </c>
      <c r="AP130" s="511">
        <f t="shared" si="23"/>
        <v>2</v>
      </c>
      <c r="AQ130" s="511">
        <f t="shared" si="24"/>
        <v>4</v>
      </c>
      <c r="AR130" s="511">
        <f t="shared" si="25"/>
        <v>2</v>
      </c>
      <c r="AS130" s="511">
        <f t="shared" si="26"/>
        <v>3</v>
      </c>
      <c r="AT130" s="511">
        <f t="shared" si="27"/>
        <v>22</v>
      </c>
      <c r="AU130" s="511">
        <f>IF(AT130=0,35,_xlfn.RANK.EQ(AT130,AT98:AT132))</f>
        <v>9</v>
      </c>
      <c r="AV130" s="512">
        <f>IF(AU130=35,35,AU130+COUNTIF(AU$98:AU129,AU130)/COUNTIF(AU$98:AU$132,AU130))</f>
        <v>9.5</v>
      </c>
      <c r="AW130" s="511">
        <f t="shared" si="28"/>
        <v>10</v>
      </c>
      <c r="AX130" s="511" t="s">
        <v>390</v>
      </c>
      <c r="AY130" s="511">
        <f t="shared" si="29"/>
        <v>0</v>
      </c>
      <c r="AZ130" s="511">
        <f t="shared" si="30"/>
        <v>0</v>
      </c>
      <c r="BA130" s="511">
        <f t="shared" si="31"/>
        <v>0</v>
      </c>
      <c r="BB130" s="511">
        <f t="shared" si="32"/>
        <v>0</v>
      </c>
      <c r="BC130" s="511">
        <f t="shared" si="33"/>
        <v>0</v>
      </c>
      <c r="BD130" s="511">
        <f t="shared" si="34"/>
        <v>0</v>
      </c>
      <c r="BE130" s="511">
        <f t="shared" si="35"/>
        <v>0</v>
      </c>
      <c r="BF130" s="511">
        <f t="shared" si="36"/>
        <v>0</v>
      </c>
      <c r="BG130" s="511">
        <f t="shared" si="37"/>
        <v>0</v>
      </c>
      <c r="BH130" s="511">
        <f t="shared" si="38"/>
        <v>0</v>
      </c>
      <c r="BI130" s="511">
        <f>IF(BH130=0,35,_xlfn.RANK.EQ(BH130,BH98:BH132))</f>
        <v>35</v>
      </c>
      <c r="BJ130" s="512">
        <f>IF(BI130=35,35,BI130+COUNTIF(BI$98:BI129,BI130)/COUNTIF(BI$98:BI$132,BI130))</f>
        <v>35</v>
      </c>
      <c r="BK130" s="511">
        <f t="shared" si="39"/>
        <v>13</v>
      </c>
      <c r="BL130" s="511" t="s">
        <v>390</v>
      </c>
      <c r="BM130" s="511">
        <f t="shared" si="40"/>
        <v>0</v>
      </c>
      <c r="BN130" s="511">
        <f t="shared" si="41"/>
        <v>0</v>
      </c>
      <c r="BO130" s="511">
        <f t="shared" si="42"/>
        <v>0</v>
      </c>
      <c r="BP130" s="511">
        <f t="shared" si="43"/>
        <v>0</v>
      </c>
      <c r="BQ130" s="511">
        <f t="shared" si="44"/>
        <v>0</v>
      </c>
      <c r="BR130" s="511">
        <f t="shared" si="45"/>
        <v>0</v>
      </c>
      <c r="BS130" s="511">
        <f t="shared" si="46"/>
        <v>0</v>
      </c>
      <c r="BT130" s="511">
        <f t="shared" si="47"/>
        <v>0</v>
      </c>
      <c r="BU130" s="511">
        <f t="shared" si="48"/>
        <v>0</v>
      </c>
      <c r="BV130" s="511">
        <f t="shared" si="49"/>
        <v>0</v>
      </c>
      <c r="BW130" s="511">
        <f>IF(BV130=0,35,_xlfn.RANK.EQ(BV130,BV98:BV132))</f>
        <v>35</v>
      </c>
      <c r="BX130" s="512">
        <f>IF(BW130=35,35,BW130+COUNTIF(BW$98:BW129,BW130)/COUNTIF(BW$98:BW$132,BW130))</f>
        <v>35</v>
      </c>
      <c r="BY130" s="511">
        <f t="shared" si="50"/>
        <v>13</v>
      </c>
      <c r="BZ130" s="511" t="s">
        <v>390</v>
      </c>
      <c r="CA130" s="511">
        <f t="shared" si="51"/>
        <v>0</v>
      </c>
      <c r="CB130" s="511">
        <f t="shared" si="52"/>
        <v>0</v>
      </c>
      <c r="CC130" s="511">
        <f t="shared" si="53"/>
        <v>0</v>
      </c>
      <c r="CD130" s="511">
        <f t="shared" si="54"/>
        <v>0</v>
      </c>
      <c r="CE130" s="511">
        <f t="shared" si="55"/>
        <v>0</v>
      </c>
      <c r="CF130" s="511">
        <f t="shared" si="56"/>
        <v>0</v>
      </c>
      <c r="CG130" s="511">
        <f t="shared" si="57"/>
        <v>0</v>
      </c>
      <c r="CH130" s="511">
        <f t="shared" si="58"/>
        <v>0</v>
      </c>
      <c r="CI130" s="511">
        <f t="shared" si="59"/>
        <v>0</v>
      </c>
      <c r="CJ130" s="511">
        <f t="shared" si="60"/>
        <v>0</v>
      </c>
      <c r="CK130" s="511">
        <f>IF(CJ130=0,35,_xlfn.RANK.EQ(CJ130,CJ98:CJ132))</f>
        <v>35</v>
      </c>
      <c r="CL130" s="512">
        <f>IF(CK130=35,35,CK130+COUNTIF(CK$98:CK129,CK130)/COUNTIF(CK$98:CK$132,CK130))</f>
        <v>35</v>
      </c>
      <c r="CM130" s="511">
        <f t="shared" si="61"/>
        <v>12</v>
      </c>
      <c r="CN130" s="511" t="s">
        <v>390</v>
      </c>
      <c r="CO130" s="515"/>
      <c r="CP130" s="515"/>
      <c r="CQ130" s="516"/>
    </row>
    <row r="131" spans="21:95" s="473" customFormat="1">
      <c r="U131" s="510">
        <f t="shared" si="7"/>
        <v>34</v>
      </c>
      <c r="V131" s="511" t="s">
        <v>400</v>
      </c>
      <c r="W131" s="511">
        <f t="shared" si="8"/>
        <v>0</v>
      </c>
      <c r="X131" s="511">
        <f t="shared" si="9"/>
        <v>0</v>
      </c>
      <c r="Y131" s="511">
        <f t="shared" si="10"/>
        <v>0</v>
      </c>
      <c r="Z131" s="511">
        <f t="shared" si="11"/>
        <v>0</v>
      </c>
      <c r="AA131" s="511">
        <f t="shared" si="12"/>
        <v>0</v>
      </c>
      <c r="AB131" s="511">
        <f t="shared" si="13"/>
        <v>0</v>
      </c>
      <c r="AC131" s="511">
        <f t="shared" si="14"/>
        <v>0</v>
      </c>
      <c r="AD131" s="511">
        <f t="shared" si="15"/>
        <v>0</v>
      </c>
      <c r="AE131" s="511">
        <f t="shared" si="16"/>
        <v>10</v>
      </c>
      <c r="AF131" s="511">
        <f t="shared" si="6"/>
        <v>0</v>
      </c>
      <c r="AG131" s="511">
        <f>IF(AF131=0,35,_xlfn.RANK.EQ(AF131,AF98:AF132))</f>
        <v>35</v>
      </c>
      <c r="AH131" s="512">
        <f>IF(AG131=35,35,AG131+COUNTIF(AG$98:AG130,AG131)/COUNTIF(AG$98:AG$132,AG131))</f>
        <v>35</v>
      </c>
      <c r="AI131" s="511">
        <f t="shared" si="17"/>
        <v>14</v>
      </c>
      <c r="AJ131" s="511" t="s">
        <v>400</v>
      </c>
      <c r="AK131" s="511">
        <f t="shared" si="18"/>
        <v>0</v>
      </c>
      <c r="AL131" s="511">
        <f t="shared" si="19"/>
        <v>0</v>
      </c>
      <c r="AM131" s="511">
        <f t="shared" si="20"/>
        <v>0</v>
      </c>
      <c r="AN131" s="511">
        <f t="shared" si="21"/>
        <v>0</v>
      </c>
      <c r="AO131" s="511">
        <f t="shared" si="22"/>
        <v>0</v>
      </c>
      <c r="AP131" s="511">
        <f t="shared" si="23"/>
        <v>0</v>
      </c>
      <c r="AQ131" s="511">
        <f t="shared" si="24"/>
        <v>0</v>
      </c>
      <c r="AR131" s="511">
        <f t="shared" si="25"/>
        <v>0</v>
      </c>
      <c r="AS131" s="511">
        <f t="shared" si="26"/>
        <v>0</v>
      </c>
      <c r="AT131" s="511">
        <f t="shared" si="27"/>
        <v>0</v>
      </c>
      <c r="AU131" s="511">
        <f>IF(AT131=0,35,_xlfn.RANK.EQ(AT131,AT98:AT132))</f>
        <v>35</v>
      </c>
      <c r="AV131" s="512">
        <f>IF(AU131=35,35,AU131+COUNTIF(AU$98:AU130,AU131)/COUNTIF(AU$98:AU$132,AU131))</f>
        <v>35</v>
      </c>
      <c r="AW131" s="511">
        <f t="shared" si="28"/>
        <v>13</v>
      </c>
      <c r="AX131" s="511" t="s">
        <v>400</v>
      </c>
      <c r="AY131" s="511">
        <f t="shared" si="29"/>
        <v>0</v>
      </c>
      <c r="AZ131" s="511">
        <f t="shared" si="30"/>
        <v>0</v>
      </c>
      <c r="BA131" s="511">
        <f t="shared" si="31"/>
        <v>0</v>
      </c>
      <c r="BB131" s="511">
        <f t="shared" si="32"/>
        <v>0</v>
      </c>
      <c r="BC131" s="511">
        <f t="shared" si="33"/>
        <v>0</v>
      </c>
      <c r="BD131" s="511">
        <f t="shared" si="34"/>
        <v>0</v>
      </c>
      <c r="BE131" s="511">
        <f t="shared" si="35"/>
        <v>0</v>
      </c>
      <c r="BF131" s="511">
        <f t="shared" si="36"/>
        <v>0</v>
      </c>
      <c r="BG131" s="511">
        <f t="shared" si="37"/>
        <v>0</v>
      </c>
      <c r="BH131" s="511">
        <f t="shared" si="38"/>
        <v>0</v>
      </c>
      <c r="BI131" s="511">
        <f>IF(BH131=0,35,_xlfn.RANK.EQ(BH131,BH98:BH132))</f>
        <v>35</v>
      </c>
      <c r="BJ131" s="512">
        <f>IF(BI131=35,35,BI131+COUNTIF(BI$98:BI130,BI131)/COUNTIF(BI$98:BI$132,BI131))</f>
        <v>35</v>
      </c>
      <c r="BK131" s="511">
        <f t="shared" si="39"/>
        <v>13</v>
      </c>
      <c r="BL131" s="511" t="s">
        <v>400</v>
      </c>
      <c r="BM131" s="511">
        <f t="shared" si="40"/>
        <v>0</v>
      </c>
      <c r="BN131" s="511">
        <f t="shared" si="41"/>
        <v>0</v>
      </c>
      <c r="BO131" s="511">
        <f t="shared" si="42"/>
        <v>0</v>
      </c>
      <c r="BP131" s="511">
        <f t="shared" si="43"/>
        <v>0</v>
      </c>
      <c r="BQ131" s="511">
        <f t="shared" si="44"/>
        <v>0</v>
      </c>
      <c r="BR131" s="511">
        <f t="shared" si="45"/>
        <v>0</v>
      </c>
      <c r="BS131" s="511">
        <f t="shared" si="46"/>
        <v>0</v>
      </c>
      <c r="BT131" s="511">
        <f t="shared" si="47"/>
        <v>0</v>
      </c>
      <c r="BU131" s="511">
        <f t="shared" si="48"/>
        <v>0</v>
      </c>
      <c r="BV131" s="511">
        <f t="shared" si="49"/>
        <v>0</v>
      </c>
      <c r="BW131" s="511">
        <f>IF(BV131=0,35,_xlfn.RANK.EQ(BV131,BV98:BV132))</f>
        <v>35</v>
      </c>
      <c r="BX131" s="512">
        <f>IF(BW131=35,35,BW131+COUNTIF(BW$98:BW130,BW131)/COUNTIF(BW$98:BW$132,BW131))</f>
        <v>35</v>
      </c>
      <c r="BY131" s="511">
        <f t="shared" si="50"/>
        <v>13</v>
      </c>
      <c r="BZ131" s="511" t="s">
        <v>400</v>
      </c>
      <c r="CA131" s="511">
        <f t="shared" si="51"/>
        <v>0</v>
      </c>
      <c r="CB131" s="511">
        <f t="shared" si="52"/>
        <v>0</v>
      </c>
      <c r="CC131" s="511">
        <f t="shared" si="53"/>
        <v>0</v>
      </c>
      <c r="CD131" s="511">
        <f t="shared" si="54"/>
        <v>0</v>
      </c>
      <c r="CE131" s="511">
        <f t="shared" si="55"/>
        <v>0</v>
      </c>
      <c r="CF131" s="511">
        <f t="shared" si="56"/>
        <v>0</v>
      </c>
      <c r="CG131" s="511">
        <f t="shared" si="57"/>
        <v>0</v>
      </c>
      <c r="CH131" s="511">
        <f t="shared" si="58"/>
        <v>0</v>
      </c>
      <c r="CI131" s="511">
        <f t="shared" si="59"/>
        <v>0</v>
      </c>
      <c r="CJ131" s="511">
        <f t="shared" si="60"/>
        <v>0</v>
      </c>
      <c r="CK131" s="511">
        <f>IF(CJ131=0,35,_xlfn.RANK.EQ(CJ131,CJ98:CJ132))</f>
        <v>35</v>
      </c>
      <c r="CL131" s="512">
        <f>IF(CK131=35,35,CK131+COUNTIF(CK$98:CK130,CK131)/COUNTIF(CK$98:CK$132,CK131))</f>
        <v>35</v>
      </c>
      <c r="CM131" s="511">
        <f t="shared" si="61"/>
        <v>12</v>
      </c>
      <c r="CN131" s="511" t="s">
        <v>400</v>
      </c>
      <c r="CO131" s="515"/>
      <c r="CP131" s="515"/>
      <c r="CQ131" s="516"/>
    </row>
    <row r="132" spans="21:95" s="473" customFormat="1">
      <c r="U132" s="510">
        <f t="shared" si="7"/>
        <v>35</v>
      </c>
      <c r="V132" s="511" t="s">
        <v>396</v>
      </c>
      <c r="W132" s="511">
        <f t="shared" si="8"/>
        <v>9</v>
      </c>
      <c r="X132" s="511">
        <f t="shared" si="9"/>
        <v>9</v>
      </c>
      <c r="Y132" s="511">
        <f t="shared" si="10"/>
        <v>0</v>
      </c>
      <c r="Z132" s="511">
        <f t="shared" si="11"/>
        <v>10</v>
      </c>
      <c r="AA132" s="511">
        <f t="shared" si="12"/>
        <v>9</v>
      </c>
      <c r="AB132" s="511">
        <f t="shared" si="13"/>
        <v>0</v>
      </c>
      <c r="AC132" s="511">
        <f t="shared" si="14"/>
        <v>9</v>
      </c>
      <c r="AD132" s="511">
        <f t="shared" si="15"/>
        <v>8</v>
      </c>
      <c r="AE132" s="511">
        <f t="shared" si="16"/>
        <v>9</v>
      </c>
      <c r="AF132" s="511">
        <f t="shared" si="6"/>
        <v>54</v>
      </c>
      <c r="AG132" s="511">
        <f>IF(AF132=0,35,_xlfn.RANK.EQ(AF132,AF98:AF132))</f>
        <v>3</v>
      </c>
      <c r="AH132" s="512">
        <f>IF(AG132=35,35,AG132+COUNTIF(AG$98:AG131,AG132)/COUNTIF(AG$98:AG$132,AG132))</f>
        <v>3</v>
      </c>
      <c r="AI132" s="511">
        <f t="shared" si="17"/>
        <v>3</v>
      </c>
      <c r="AJ132" s="511" t="s">
        <v>396</v>
      </c>
      <c r="AK132" s="511">
        <f t="shared" si="18"/>
        <v>10</v>
      </c>
      <c r="AL132" s="511">
        <f t="shared" si="19"/>
        <v>10</v>
      </c>
      <c r="AM132" s="511">
        <f t="shared" si="20"/>
        <v>10</v>
      </c>
      <c r="AN132" s="511">
        <f t="shared" si="21"/>
        <v>10</v>
      </c>
      <c r="AO132" s="511">
        <f t="shared" si="22"/>
        <v>0</v>
      </c>
      <c r="AP132" s="511">
        <f t="shared" si="23"/>
        <v>8</v>
      </c>
      <c r="AQ132" s="511">
        <f t="shared" si="24"/>
        <v>0</v>
      </c>
      <c r="AR132" s="511">
        <f t="shared" si="25"/>
        <v>10</v>
      </c>
      <c r="AS132" s="511">
        <f t="shared" si="26"/>
        <v>0</v>
      </c>
      <c r="AT132" s="511">
        <f t="shared" si="27"/>
        <v>58</v>
      </c>
      <c r="AU132" s="511">
        <f>IF(AT132=0,35,_xlfn.RANK.EQ(AT132,AT98:AT132))</f>
        <v>2</v>
      </c>
      <c r="AV132" s="512">
        <f>IF(AU132=35,35,AU132+COUNTIF(AU$98:AU131,AU132)/COUNTIF(AU$98:AU$132,AU132))</f>
        <v>2</v>
      </c>
      <c r="AW132" s="511">
        <f t="shared" si="28"/>
        <v>2</v>
      </c>
      <c r="AX132" s="511" t="s">
        <v>396</v>
      </c>
      <c r="AY132" s="511">
        <f t="shared" si="29"/>
        <v>4</v>
      </c>
      <c r="AZ132" s="511">
        <f t="shared" si="30"/>
        <v>4</v>
      </c>
      <c r="BA132" s="511">
        <f t="shared" si="31"/>
        <v>5</v>
      </c>
      <c r="BB132" s="511">
        <f t="shared" si="32"/>
        <v>5</v>
      </c>
      <c r="BC132" s="511">
        <f t="shared" si="33"/>
        <v>4</v>
      </c>
      <c r="BD132" s="511">
        <f t="shared" si="34"/>
        <v>5</v>
      </c>
      <c r="BE132" s="511">
        <f t="shared" si="35"/>
        <v>8</v>
      </c>
      <c r="BF132" s="511">
        <f t="shared" si="36"/>
        <v>8</v>
      </c>
      <c r="BG132" s="511">
        <f t="shared" si="37"/>
        <v>8</v>
      </c>
      <c r="BH132" s="511">
        <f t="shared" si="38"/>
        <v>43</v>
      </c>
      <c r="BI132" s="511">
        <f>IF(BH132=0,35,_xlfn.RANK.EQ(BH132,BH98:BH132))</f>
        <v>6</v>
      </c>
      <c r="BJ132" s="512">
        <f>IF(BI132=35,35,BI132+COUNTIF(BI$98:BI131,BI132)/COUNTIF(BI$98:BI$132,BI132))</f>
        <v>6</v>
      </c>
      <c r="BK132" s="511">
        <f t="shared" si="39"/>
        <v>6</v>
      </c>
      <c r="BL132" s="511" t="s">
        <v>396</v>
      </c>
      <c r="BM132" s="511">
        <f t="shared" si="40"/>
        <v>6</v>
      </c>
      <c r="BN132" s="511">
        <f t="shared" si="41"/>
        <v>6</v>
      </c>
      <c r="BO132" s="511">
        <f t="shared" si="42"/>
        <v>6</v>
      </c>
      <c r="BP132" s="511">
        <f t="shared" si="43"/>
        <v>6</v>
      </c>
      <c r="BQ132" s="511">
        <f t="shared" si="44"/>
        <v>6</v>
      </c>
      <c r="BR132" s="511">
        <f t="shared" si="45"/>
        <v>6</v>
      </c>
      <c r="BS132" s="511">
        <f t="shared" si="46"/>
        <v>10</v>
      </c>
      <c r="BT132" s="511">
        <f t="shared" si="47"/>
        <v>7</v>
      </c>
      <c r="BU132" s="511">
        <f t="shared" si="48"/>
        <v>6</v>
      </c>
      <c r="BV132" s="511">
        <f t="shared" si="49"/>
        <v>53</v>
      </c>
      <c r="BW132" s="511">
        <f>IF(BV132=0,35,_xlfn.RANK.EQ(BV132,BV98:BV132))</f>
        <v>3</v>
      </c>
      <c r="BX132" s="512">
        <f>IF(BW132=35,35,BW132+COUNTIF(BW$98:BW131,BW132)/COUNTIF(BW$98:BW$132,BW132))</f>
        <v>3.5</v>
      </c>
      <c r="BY132" s="511">
        <f t="shared" si="50"/>
        <v>4</v>
      </c>
      <c r="BZ132" s="511" t="s">
        <v>396</v>
      </c>
      <c r="CA132" s="511">
        <f t="shared" si="51"/>
        <v>0</v>
      </c>
      <c r="CB132" s="511">
        <f t="shared" si="52"/>
        <v>0</v>
      </c>
      <c r="CC132" s="511">
        <f t="shared" si="53"/>
        <v>0</v>
      </c>
      <c r="CD132" s="511">
        <f t="shared" si="54"/>
        <v>0</v>
      </c>
      <c r="CE132" s="511">
        <f t="shared" si="55"/>
        <v>0</v>
      </c>
      <c r="CF132" s="511">
        <f t="shared" si="56"/>
        <v>0</v>
      </c>
      <c r="CG132" s="511">
        <f t="shared" si="57"/>
        <v>0</v>
      </c>
      <c r="CH132" s="511">
        <f t="shared" si="58"/>
        <v>0</v>
      </c>
      <c r="CI132" s="511">
        <f t="shared" si="59"/>
        <v>10</v>
      </c>
      <c r="CJ132" s="511">
        <f t="shared" si="60"/>
        <v>0</v>
      </c>
      <c r="CK132" s="511">
        <f>IF(CJ132=0,35,_xlfn.RANK.EQ(CJ132,CJ98:CJ132))</f>
        <v>35</v>
      </c>
      <c r="CL132" s="512">
        <f>IF(CK132=35,35,CK132+COUNTIF(CK$98:CK131,CK132)/COUNTIF(CK$98:CK$132,CK132))</f>
        <v>35</v>
      </c>
      <c r="CM132" s="511">
        <f t="shared" si="61"/>
        <v>12</v>
      </c>
      <c r="CN132" s="511" t="s">
        <v>396</v>
      </c>
      <c r="CO132" s="515"/>
      <c r="CP132" s="515"/>
      <c r="CQ132" s="516"/>
    </row>
    <row r="133" spans="21:95" s="473" customFormat="1">
      <c r="U133" s="510">
        <f t="shared" si="7"/>
        <v>36</v>
      </c>
      <c r="V133" s="511"/>
      <c r="W133" s="511"/>
      <c r="X133" s="511"/>
      <c r="Y133" s="511"/>
      <c r="Z133" s="511"/>
      <c r="AA133" s="511"/>
      <c r="AB133" s="511"/>
      <c r="AC133" s="511"/>
      <c r="AD133" s="511"/>
      <c r="AE133" s="511"/>
      <c r="AF133" s="511"/>
      <c r="AG133" s="511">
        <f t="array" ref="AG133">MAX(IF(AG$98:AG$132&lt;35,AG$98:AG$132))</f>
        <v>13</v>
      </c>
      <c r="AH133" s="511"/>
      <c r="AI133" s="511">
        <f t="array" ref="AI133">MAX(IF(AI$98:AI$132&lt;35,AI$98:AI$132))</f>
        <v>14</v>
      </c>
      <c r="AJ133" s="511"/>
      <c r="AK133" s="511"/>
      <c r="AL133" s="511"/>
      <c r="AM133" s="511"/>
      <c r="AN133" s="511"/>
      <c r="AO133" s="511"/>
      <c r="AP133" s="511"/>
      <c r="AQ133" s="511"/>
      <c r="AR133" s="511"/>
      <c r="AS133" s="511"/>
      <c r="AT133" s="511"/>
      <c r="AU133" s="511">
        <f t="array" ref="AU133">MAX(IF(AU$98:AU$132&lt;35,AU$98:AU$132))</f>
        <v>12</v>
      </c>
      <c r="AV133" s="511"/>
      <c r="AW133" s="511">
        <f t="array" ref="AW133">MAX(IF(AW$98:AW$132&lt;35,AW$98:AW$132))</f>
        <v>13</v>
      </c>
      <c r="AX133" s="511"/>
      <c r="AY133" s="511"/>
      <c r="AZ133" s="511"/>
      <c r="BA133" s="511"/>
      <c r="BB133" s="511"/>
      <c r="BC133" s="511"/>
      <c r="BD133" s="511"/>
      <c r="BE133" s="511"/>
      <c r="BF133" s="511"/>
      <c r="BG133" s="511"/>
      <c r="BH133" s="511"/>
      <c r="BI133" s="511">
        <f t="array" ref="BI133">MAX(IF(BI$98:BI$132&lt;35,BI$98:BI$132))</f>
        <v>12</v>
      </c>
      <c r="BJ133" s="511"/>
      <c r="BK133" s="511">
        <f t="array" ref="BK133">MAX(IF(BK$98:BK$132&lt;35,BK$98:BK$132))</f>
        <v>13</v>
      </c>
      <c r="BL133" s="511"/>
      <c r="BM133" s="511"/>
      <c r="BN133" s="511"/>
      <c r="BO133" s="511"/>
      <c r="BP133" s="511"/>
      <c r="BQ133" s="511"/>
      <c r="BR133" s="511"/>
      <c r="BS133" s="511"/>
      <c r="BT133" s="511"/>
      <c r="BU133" s="511"/>
      <c r="BV133" s="511"/>
      <c r="BW133" s="511">
        <f t="array" ref="BW133">MAX(IF(BW$98:BW$132&lt;35,BW$98:BW$132))</f>
        <v>12</v>
      </c>
      <c r="BX133" s="511"/>
      <c r="BY133" s="511">
        <f t="array" ref="BY133">MAX(IF(BY$98:BY$132&lt;35,BY$98:BY$132))</f>
        <v>13</v>
      </c>
      <c r="BZ133" s="511"/>
      <c r="CA133" s="511"/>
      <c r="CB133" s="511"/>
      <c r="CC133" s="511"/>
      <c r="CD133" s="511"/>
      <c r="CE133" s="511"/>
      <c r="CF133" s="511"/>
      <c r="CG133" s="511"/>
      <c r="CH133" s="511"/>
      <c r="CI133" s="511"/>
      <c r="CJ133" s="511"/>
      <c r="CK133" s="511">
        <f t="array" ref="CK133">MAX(IF(CK$98:CK$132&lt;35,CK$98:CK$132))</f>
        <v>11</v>
      </c>
      <c r="CL133" s="511"/>
      <c r="CM133" s="511">
        <f t="array" ref="CM133">MAX(IF(CM$98:CM$132&lt;35,CM$98:CM$132))</f>
        <v>12</v>
      </c>
      <c r="CN133" s="515"/>
      <c r="CO133" s="515"/>
      <c r="CP133" s="515"/>
      <c r="CQ133" s="516"/>
    </row>
    <row r="134" spans="21:95" s="473" customFormat="1">
      <c r="U134" s="510">
        <f t="shared" si="7"/>
        <v>37</v>
      </c>
      <c r="V134" s="511"/>
      <c r="W134" s="511"/>
      <c r="X134" s="511"/>
      <c r="Y134" s="511"/>
      <c r="Z134" s="511"/>
      <c r="AA134" s="511"/>
      <c r="AB134" s="511"/>
      <c r="AC134" s="511"/>
      <c r="AD134" s="511"/>
      <c r="AE134" s="511"/>
      <c r="AF134" s="511"/>
      <c r="AG134" s="511"/>
      <c r="AH134" s="511"/>
      <c r="AI134" s="511"/>
      <c r="AJ134" s="511"/>
      <c r="AK134" s="511"/>
      <c r="AL134" s="511"/>
      <c r="AM134" s="511"/>
      <c r="AN134" s="511"/>
      <c r="AO134" s="511"/>
      <c r="AP134" s="511"/>
      <c r="AQ134" s="511"/>
      <c r="AR134" s="511"/>
      <c r="AS134" s="511"/>
      <c r="AT134" s="511"/>
      <c r="AU134" s="511"/>
      <c r="AV134" s="511"/>
      <c r="AW134" s="511"/>
      <c r="AX134" s="511"/>
      <c r="AY134" s="511"/>
      <c r="AZ134" s="511"/>
      <c r="BA134" s="511"/>
      <c r="BB134" s="511"/>
      <c r="BC134" s="511"/>
      <c r="BD134" s="511"/>
      <c r="BE134" s="511"/>
      <c r="BF134" s="511"/>
      <c r="BG134" s="511"/>
      <c r="BH134" s="511"/>
      <c r="BI134" s="511"/>
      <c r="BJ134" s="511"/>
      <c r="BK134" s="511"/>
      <c r="BL134" s="511"/>
      <c r="BM134" s="511"/>
      <c r="BN134" s="511"/>
      <c r="BO134" s="511"/>
      <c r="BP134" s="511"/>
      <c r="BQ134" s="511"/>
      <c r="BR134" s="511"/>
      <c r="BS134" s="511"/>
      <c r="BT134" s="511"/>
      <c r="BU134" s="511"/>
      <c r="BV134" s="511"/>
      <c r="BW134" s="511">
        <v>11</v>
      </c>
      <c r="BX134" s="511"/>
      <c r="BY134" s="511"/>
      <c r="BZ134" s="511"/>
      <c r="CA134" s="511"/>
      <c r="CB134" s="511"/>
      <c r="CC134" s="511"/>
      <c r="CD134" s="511"/>
      <c r="CE134" s="511"/>
      <c r="CF134" s="511"/>
      <c r="CG134" s="511"/>
      <c r="CH134" s="511"/>
      <c r="CI134" s="511"/>
      <c r="CJ134" s="511"/>
      <c r="CK134" s="511"/>
      <c r="CL134" s="511"/>
      <c r="CM134" s="515"/>
      <c r="CN134" s="515"/>
      <c r="CO134" s="515"/>
      <c r="CP134" s="515"/>
      <c r="CQ134" s="516"/>
    </row>
    <row r="135" spans="21:95" s="473" customFormat="1">
      <c r="U135" s="510">
        <f t="shared" si="7"/>
        <v>38</v>
      </c>
      <c r="V135" s="511"/>
      <c r="W135" s="511"/>
      <c r="X135" s="511"/>
      <c r="Y135" s="511"/>
      <c r="Z135" s="511"/>
      <c r="AA135" s="511"/>
      <c r="AB135" s="511"/>
      <c r="AC135" s="511"/>
      <c r="AD135" s="511"/>
      <c r="AE135" s="511"/>
      <c r="AF135" s="511"/>
      <c r="AG135" s="511"/>
      <c r="AH135" s="511"/>
      <c r="AI135" s="511"/>
      <c r="AJ135" s="511"/>
      <c r="AK135" s="511"/>
      <c r="AL135" s="511"/>
      <c r="AM135" s="511"/>
      <c r="AN135" s="511"/>
      <c r="AO135" s="511"/>
      <c r="AP135" s="511"/>
      <c r="AQ135" s="511"/>
      <c r="AR135" s="511"/>
      <c r="AS135" s="511"/>
      <c r="AT135" s="511"/>
      <c r="AU135" s="511"/>
      <c r="AV135" s="511"/>
      <c r="AW135" s="511"/>
      <c r="AX135" s="511"/>
      <c r="AY135" s="511"/>
      <c r="AZ135" s="511"/>
      <c r="BA135" s="511"/>
      <c r="BB135" s="511"/>
      <c r="BC135" s="511"/>
      <c r="BD135" s="511"/>
      <c r="BE135" s="511"/>
      <c r="BF135" s="511"/>
      <c r="BG135" s="511"/>
      <c r="BH135" s="511"/>
      <c r="BI135" s="511"/>
      <c r="BJ135" s="511"/>
      <c r="BK135" s="511"/>
      <c r="BL135" s="511"/>
      <c r="BM135" s="511"/>
      <c r="BN135" s="511"/>
      <c r="BO135" s="511"/>
      <c r="BP135" s="511"/>
      <c r="BQ135" s="511"/>
      <c r="BR135" s="511"/>
      <c r="BS135" s="511"/>
      <c r="BT135" s="511"/>
      <c r="BU135" s="511"/>
      <c r="BV135" s="511"/>
      <c r="BW135" s="511"/>
      <c r="BX135" s="511"/>
      <c r="BY135" s="511"/>
      <c r="BZ135" s="511"/>
      <c r="CA135" s="511"/>
      <c r="CB135" s="511"/>
      <c r="CC135" s="511"/>
      <c r="CD135" s="511"/>
      <c r="CE135" s="511"/>
      <c r="CF135" s="511"/>
      <c r="CG135" s="511"/>
      <c r="CH135" s="511"/>
      <c r="CI135" s="511"/>
      <c r="CJ135" s="511"/>
      <c r="CK135" s="511"/>
      <c r="CL135" s="511"/>
      <c r="CM135" s="515"/>
      <c r="CN135" s="515"/>
      <c r="CO135" s="515"/>
      <c r="CP135" s="515"/>
      <c r="CQ135" s="516"/>
    </row>
    <row r="136" spans="21:95" s="473" customFormat="1">
      <c r="U136" s="510">
        <f t="shared" si="7"/>
        <v>39</v>
      </c>
      <c r="V136" s="511"/>
      <c r="W136" s="511"/>
      <c r="X136" s="511"/>
      <c r="Y136" s="511"/>
      <c r="Z136" s="511"/>
      <c r="AA136" s="511"/>
      <c r="AB136" s="511"/>
      <c r="AC136" s="511"/>
      <c r="AD136" s="511"/>
      <c r="AE136" s="511"/>
      <c r="AF136" s="511"/>
      <c r="AG136" s="511"/>
      <c r="AH136" s="511"/>
      <c r="AI136" s="511"/>
      <c r="AJ136" s="511"/>
      <c r="AK136" s="511"/>
      <c r="AL136" s="511"/>
      <c r="AM136" s="511"/>
      <c r="AN136" s="511"/>
      <c r="AO136" s="511"/>
      <c r="AP136" s="511"/>
      <c r="AQ136" s="511"/>
      <c r="AR136" s="511"/>
      <c r="AS136" s="511"/>
      <c r="AT136" s="511"/>
      <c r="AU136" s="511"/>
      <c r="AV136" s="511"/>
      <c r="AW136" s="511"/>
      <c r="AX136" s="511"/>
      <c r="AY136" s="511"/>
      <c r="AZ136" s="511"/>
      <c r="BA136" s="511"/>
      <c r="BB136" s="511"/>
      <c r="BC136" s="511"/>
      <c r="BD136" s="511"/>
      <c r="BE136" s="511"/>
      <c r="BF136" s="511"/>
      <c r="BG136" s="511"/>
      <c r="BH136" s="511"/>
      <c r="BI136" s="511"/>
      <c r="BJ136" s="511"/>
      <c r="BK136" s="511"/>
      <c r="BL136" s="511"/>
      <c r="BM136" s="511"/>
      <c r="BN136" s="511"/>
      <c r="BO136" s="511"/>
      <c r="BP136" s="511"/>
      <c r="BQ136" s="511"/>
      <c r="BR136" s="511"/>
      <c r="BS136" s="511"/>
      <c r="BT136" s="511"/>
      <c r="BU136" s="511"/>
      <c r="BV136" s="511"/>
      <c r="BW136" s="511"/>
      <c r="BX136" s="511"/>
      <c r="BY136" s="511"/>
      <c r="BZ136" s="511"/>
      <c r="CA136" s="511"/>
      <c r="CB136" s="511"/>
      <c r="CC136" s="511"/>
      <c r="CD136" s="511"/>
      <c r="CE136" s="511"/>
      <c r="CF136" s="511"/>
      <c r="CG136" s="511"/>
      <c r="CH136" s="511"/>
      <c r="CI136" s="511"/>
      <c r="CJ136" s="511"/>
      <c r="CK136" s="511"/>
      <c r="CL136" s="511"/>
      <c r="CM136" s="515"/>
      <c r="CN136" s="515"/>
      <c r="CO136" s="515"/>
      <c r="CP136" s="515"/>
      <c r="CQ136" s="516"/>
    </row>
    <row r="137" spans="21:95" s="473" customFormat="1">
      <c r="U137" s="510">
        <f t="shared" si="7"/>
        <v>40</v>
      </c>
      <c r="V137" s="511"/>
      <c r="W137" s="511"/>
      <c r="X137" s="511"/>
      <c r="Y137" s="511"/>
      <c r="Z137" s="511"/>
      <c r="AA137" s="511"/>
      <c r="AB137" s="511"/>
      <c r="AC137" s="511"/>
      <c r="AD137" s="511"/>
      <c r="AE137" s="511"/>
      <c r="AF137" s="511"/>
      <c r="AG137" s="511"/>
      <c r="AH137" s="511"/>
      <c r="AI137" s="511"/>
      <c r="AJ137" s="511"/>
      <c r="AK137" s="511"/>
      <c r="AL137" s="511"/>
      <c r="AM137" s="511"/>
      <c r="AN137" s="511"/>
      <c r="AO137" s="511"/>
      <c r="AP137" s="511"/>
      <c r="AQ137" s="511"/>
      <c r="AR137" s="511"/>
      <c r="AS137" s="511"/>
      <c r="AT137" s="511"/>
      <c r="AU137" s="511"/>
      <c r="AV137" s="511"/>
      <c r="AW137" s="511"/>
      <c r="AX137" s="511"/>
      <c r="AY137" s="511"/>
      <c r="AZ137" s="511"/>
      <c r="BA137" s="511"/>
      <c r="BB137" s="511"/>
      <c r="BC137" s="511"/>
      <c r="BD137" s="511"/>
      <c r="BE137" s="511"/>
      <c r="BF137" s="511"/>
      <c r="BG137" s="511"/>
      <c r="BH137" s="511"/>
      <c r="BI137" s="511"/>
      <c r="BJ137" s="511"/>
      <c r="BK137" s="511"/>
      <c r="BL137" s="511"/>
      <c r="BM137" s="511"/>
      <c r="BN137" s="511"/>
      <c r="BO137" s="511"/>
      <c r="BP137" s="511"/>
      <c r="BQ137" s="511"/>
      <c r="BR137" s="511"/>
      <c r="BS137" s="511"/>
      <c r="BT137" s="511"/>
      <c r="BU137" s="511"/>
      <c r="BV137" s="511"/>
      <c r="BW137" s="511"/>
      <c r="BX137" s="511"/>
      <c r="BY137" s="511"/>
      <c r="BZ137" s="511"/>
      <c r="CA137" s="511"/>
      <c r="CB137" s="511"/>
      <c r="CC137" s="511"/>
      <c r="CD137" s="511"/>
      <c r="CE137" s="511"/>
      <c r="CF137" s="511"/>
      <c r="CG137" s="511"/>
      <c r="CH137" s="511"/>
      <c r="CI137" s="511"/>
      <c r="CJ137" s="511"/>
      <c r="CK137" s="511"/>
      <c r="CL137" s="511"/>
      <c r="CM137" s="515"/>
      <c r="CN137" s="515"/>
      <c r="CO137" s="515"/>
      <c r="CP137" s="515"/>
      <c r="CQ137" s="516"/>
    </row>
    <row r="138" spans="21:95" s="473" customFormat="1">
      <c r="U138" s="510">
        <f t="shared" si="7"/>
        <v>41</v>
      </c>
      <c r="V138" s="511"/>
      <c r="W138" s="511"/>
      <c r="X138" s="511"/>
      <c r="Y138" s="511"/>
      <c r="Z138" s="511"/>
      <c r="AA138" s="511"/>
      <c r="AB138" s="511"/>
      <c r="AC138" s="511"/>
      <c r="AD138" s="511"/>
      <c r="AE138" s="511"/>
      <c r="AF138" s="511"/>
      <c r="AG138" s="511"/>
      <c r="AH138" s="511"/>
      <c r="AI138" s="511"/>
      <c r="AJ138" s="511"/>
      <c r="AK138" s="511"/>
      <c r="AL138" s="511"/>
      <c r="AM138" s="511"/>
      <c r="AN138" s="511"/>
      <c r="AO138" s="511"/>
      <c r="AP138" s="511"/>
      <c r="AQ138" s="511"/>
      <c r="AR138" s="511"/>
      <c r="AS138" s="511"/>
      <c r="AT138" s="511"/>
      <c r="AU138" s="511"/>
      <c r="AV138" s="511"/>
      <c r="AW138" s="511"/>
      <c r="AX138" s="511"/>
      <c r="AY138" s="511"/>
      <c r="AZ138" s="511"/>
      <c r="BA138" s="511"/>
      <c r="BB138" s="511"/>
      <c r="BC138" s="511"/>
      <c r="BD138" s="511"/>
      <c r="BE138" s="511"/>
      <c r="BF138" s="511"/>
      <c r="BG138" s="511"/>
      <c r="BH138" s="511"/>
      <c r="BI138" s="511"/>
      <c r="BJ138" s="511"/>
      <c r="BK138" s="511"/>
      <c r="BL138" s="511"/>
      <c r="BM138" s="511"/>
      <c r="BN138" s="511"/>
      <c r="BO138" s="511"/>
      <c r="BP138" s="511"/>
      <c r="BQ138" s="511"/>
      <c r="BR138" s="511"/>
      <c r="BS138" s="511"/>
      <c r="BT138" s="511"/>
      <c r="BU138" s="511"/>
      <c r="BV138" s="511"/>
      <c r="BW138" s="511"/>
      <c r="BX138" s="511"/>
      <c r="BY138" s="511"/>
      <c r="BZ138" s="511"/>
      <c r="CA138" s="511"/>
      <c r="CB138" s="511"/>
      <c r="CC138" s="511"/>
      <c r="CD138" s="511"/>
      <c r="CE138" s="511"/>
      <c r="CF138" s="511"/>
      <c r="CG138" s="511"/>
      <c r="CH138" s="511"/>
      <c r="CI138" s="511"/>
      <c r="CJ138" s="511"/>
      <c r="CK138" s="511"/>
      <c r="CL138" s="511"/>
      <c r="CM138" s="515"/>
      <c r="CN138" s="515"/>
      <c r="CO138" s="515"/>
      <c r="CP138" s="515"/>
      <c r="CQ138" s="516"/>
    </row>
    <row r="139" spans="21:95" s="473" customFormat="1">
      <c r="U139" s="510">
        <f t="shared" si="7"/>
        <v>42</v>
      </c>
      <c r="V139" s="511"/>
      <c r="W139" s="511"/>
      <c r="X139" s="511"/>
      <c r="Y139" s="511"/>
      <c r="Z139" s="511"/>
      <c r="AA139" s="511"/>
      <c r="AB139" s="511"/>
      <c r="AC139" s="511"/>
      <c r="AD139" s="511"/>
      <c r="AE139" s="511"/>
      <c r="AF139" s="511"/>
      <c r="AG139" s="511"/>
      <c r="AH139" s="511"/>
      <c r="AI139" s="511"/>
      <c r="AJ139" s="511"/>
      <c r="AK139" s="511"/>
      <c r="AL139" s="511"/>
      <c r="AM139" s="511"/>
      <c r="AN139" s="511"/>
      <c r="AO139" s="511"/>
      <c r="AP139" s="511"/>
      <c r="AQ139" s="511"/>
      <c r="AR139" s="511"/>
      <c r="AS139" s="511"/>
      <c r="AT139" s="511"/>
      <c r="AU139" s="511"/>
      <c r="AV139" s="511"/>
      <c r="AW139" s="511"/>
      <c r="AX139" s="511"/>
      <c r="AY139" s="511"/>
      <c r="AZ139" s="511"/>
      <c r="BA139" s="511"/>
      <c r="BB139" s="511"/>
      <c r="BC139" s="511"/>
      <c r="BD139" s="511"/>
      <c r="BE139" s="511"/>
      <c r="BF139" s="511"/>
      <c r="BG139" s="511"/>
      <c r="BH139" s="511"/>
      <c r="BI139" s="511"/>
      <c r="BJ139" s="511"/>
      <c r="BK139" s="511"/>
      <c r="BL139" s="511"/>
      <c r="BM139" s="511"/>
      <c r="BN139" s="511"/>
      <c r="BO139" s="511"/>
      <c r="BP139" s="511"/>
      <c r="BQ139" s="511"/>
      <c r="BR139" s="511"/>
      <c r="BS139" s="511"/>
      <c r="BT139" s="511"/>
      <c r="BU139" s="511"/>
      <c r="BV139" s="511"/>
      <c r="BW139" s="511"/>
      <c r="BX139" s="511"/>
      <c r="BY139" s="511"/>
      <c r="BZ139" s="511"/>
      <c r="CA139" s="511"/>
      <c r="CB139" s="511"/>
      <c r="CC139" s="511"/>
      <c r="CD139" s="511"/>
      <c r="CE139" s="511"/>
      <c r="CF139" s="511"/>
      <c r="CG139" s="511"/>
      <c r="CH139" s="511"/>
      <c r="CI139" s="511"/>
      <c r="CJ139" s="511"/>
      <c r="CK139" s="511"/>
      <c r="CL139" s="511"/>
      <c r="CM139" s="515"/>
      <c r="CN139" s="515"/>
      <c r="CO139" s="515"/>
      <c r="CP139" s="515"/>
      <c r="CQ139" s="516"/>
    </row>
    <row r="140" spans="21:95" s="473" customFormat="1">
      <c r="U140" s="510">
        <f t="shared" si="7"/>
        <v>43</v>
      </c>
      <c r="V140" s="511"/>
      <c r="W140" s="511"/>
      <c r="X140" s="511"/>
      <c r="Y140" s="511"/>
      <c r="Z140" s="511"/>
      <c r="AA140" s="511"/>
      <c r="AB140" s="511"/>
      <c r="AC140" s="511"/>
      <c r="AD140" s="511"/>
      <c r="AE140" s="511"/>
      <c r="AF140" s="511"/>
      <c r="AG140" s="511"/>
      <c r="AH140" s="511"/>
      <c r="AI140" s="511"/>
      <c r="AJ140" s="511"/>
      <c r="AK140" s="511"/>
      <c r="AL140" s="511"/>
      <c r="AM140" s="511"/>
      <c r="AN140" s="511"/>
      <c r="AO140" s="511"/>
      <c r="AP140" s="511"/>
      <c r="AQ140" s="511"/>
      <c r="AR140" s="511"/>
      <c r="AS140" s="511"/>
      <c r="AT140" s="511"/>
      <c r="AU140" s="511"/>
      <c r="AV140" s="511"/>
      <c r="AW140" s="511"/>
      <c r="AX140" s="511"/>
      <c r="AY140" s="511"/>
      <c r="AZ140" s="511"/>
      <c r="BA140" s="511"/>
      <c r="BB140" s="511"/>
      <c r="BC140" s="511"/>
      <c r="BD140" s="511"/>
      <c r="BE140" s="511"/>
      <c r="BF140" s="511"/>
      <c r="BG140" s="511"/>
      <c r="BH140" s="511"/>
      <c r="BI140" s="511"/>
      <c r="BJ140" s="511"/>
      <c r="BK140" s="511"/>
      <c r="BL140" s="511"/>
      <c r="BM140" s="511"/>
      <c r="BN140" s="511"/>
      <c r="BO140" s="511"/>
      <c r="BP140" s="511"/>
      <c r="BQ140" s="511"/>
      <c r="BR140" s="511"/>
      <c r="BS140" s="511"/>
      <c r="BT140" s="511"/>
      <c r="BU140" s="511"/>
      <c r="BV140" s="511"/>
      <c r="BW140" s="511"/>
      <c r="BX140" s="511"/>
      <c r="BY140" s="511"/>
      <c r="BZ140" s="511"/>
      <c r="CA140" s="511"/>
      <c r="CB140" s="511"/>
      <c r="CC140" s="511"/>
      <c r="CD140" s="511"/>
      <c r="CE140" s="511"/>
      <c r="CF140" s="511"/>
      <c r="CG140" s="511"/>
      <c r="CH140" s="511"/>
      <c r="CI140" s="511"/>
      <c r="CJ140" s="511"/>
      <c r="CK140" s="511"/>
      <c r="CL140" s="511"/>
      <c r="CM140" s="515"/>
      <c r="CN140" s="515"/>
      <c r="CO140" s="515"/>
      <c r="CP140" s="515"/>
      <c r="CQ140" s="516"/>
    </row>
    <row r="141" spans="21:95" s="473" customFormat="1">
      <c r="U141" s="510">
        <f t="shared" si="7"/>
        <v>44</v>
      </c>
      <c r="V141" s="511"/>
      <c r="W141" s="511"/>
      <c r="X141" s="511"/>
      <c r="Y141" s="511"/>
      <c r="Z141" s="511"/>
      <c r="AA141" s="511"/>
      <c r="AB141" s="511"/>
      <c r="AC141" s="511"/>
      <c r="AD141" s="511"/>
      <c r="AE141" s="511"/>
      <c r="AF141" s="511"/>
      <c r="AG141" s="511"/>
      <c r="AH141" s="511"/>
      <c r="AI141" s="511"/>
      <c r="AJ141" s="511"/>
      <c r="AK141" s="511"/>
      <c r="AL141" s="511"/>
      <c r="AM141" s="511"/>
      <c r="AN141" s="511"/>
      <c r="AO141" s="511"/>
      <c r="AP141" s="511"/>
      <c r="AQ141" s="511"/>
      <c r="AR141" s="511"/>
      <c r="AS141" s="511"/>
      <c r="AT141" s="511"/>
      <c r="AU141" s="511"/>
      <c r="AV141" s="511"/>
      <c r="AW141" s="511"/>
      <c r="AX141" s="511"/>
      <c r="AY141" s="511"/>
      <c r="AZ141" s="511"/>
      <c r="BA141" s="511"/>
      <c r="BB141" s="511"/>
      <c r="BC141" s="511"/>
      <c r="BD141" s="511"/>
      <c r="BE141" s="511"/>
      <c r="BF141" s="511"/>
      <c r="BG141" s="511"/>
      <c r="BH141" s="511"/>
      <c r="BI141" s="511"/>
      <c r="BJ141" s="511"/>
      <c r="BK141" s="511"/>
      <c r="BL141" s="511"/>
      <c r="BM141" s="511"/>
      <c r="BN141" s="511"/>
      <c r="BO141" s="511"/>
      <c r="BP141" s="511"/>
      <c r="BQ141" s="511"/>
      <c r="BR141" s="511"/>
      <c r="BS141" s="511"/>
      <c r="BT141" s="511"/>
      <c r="BU141" s="511"/>
      <c r="BV141" s="511"/>
      <c r="BW141" s="511"/>
      <c r="BX141" s="511"/>
      <c r="BY141" s="511"/>
      <c r="BZ141" s="511"/>
      <c r="CA141" s="511"/>
      <c r="CB141" s="511"/>
      <c r="CC141" s="511"/>
      <c r="CD141" s="511"/>
      <c r="CE141" s="511"/>
      <c r="CF141" s="511"/>
      <c r="CG141" s="511"/>
      <c r="CH141" s="511"/>
      <c r="CI141" s="511"/>
      <c r="CJ141" s="511"/>
      <c r="CK141" s="511"/>
      <c r="CL141" s="511"/>
      <c r="CM141" s="515"/>
      <c r="CN141" s="515"/>
      <c r="CO141" s="515"/>
      <c r="CP141" s="515"/>
      <c r="CQ141" s="516"/>
    </row>
    <row r="142" spans="21:95" s="473" customFormat="1">
      <c r="U142" s="510">
        <f t="shared" si="7"/>
        <v>45</v>
      </c>
      <c r="V142" s="511"/>
      <c r="W142" s="511"/>
      <c r="X142" s="511"/>
      <c r="Y142" s="511"/>
      <c r="Z142" s="511"/>
      <c r="AA142" s="511"/>
      <c r="AB142" s="511"/>
      <c r="AC142" s="511"/>
      <c r="AD142" s="511"/>
      <c r="AE142" s="511"/>
      <c r="AF142" s="511"/>
      <c r="AG142" s="511"/>
      <c r="AH142" s="511"/>
      <c r="AI142" s="511"/>
      <c r="AJ142" s="511"/>
      <c r="AK142" s="511"/>
      <c r="AL142" s="511"/>
      <c r="AM142" s="511"/>
      <c r="AN142" s="511"/>
      <c r="AO142" s="511"/>
      <c r="AP142" s="511"/>
      <c r="AQ142" s="511"/>
      <c r="AR142" s="511"/>
      <c r="AS142" s="511"/>
      <c r="AT142" s="511"/>
      <c r="AU142" s="511"/>
      <c r="AV142" s="511"/>
      <c r="AW142" s="511"/>
      <c r="AX142" s="511"/>
      <c r="AY142" s="511"/>
      <c r="AZ142" s="511"/>
      <c r="BA142" s="511"/>
      <c r="BB142" s="511"/>
      <c r="BC142" s="511"/>
      <c r="BD142" s="511"/>
      <c r="BE142" s="511"/>
      <c r="BF142" s="511"/>
      <c r="BG142" s="511"/>
      <c r="BH142" s="511"/>
      <c r="BI142" s="511"/>
      <c r="BJ142" s="511"/>
      <c r="BK142" s="511"/>
      <c r="BL142" s="511"/>
      <c r="BM142" s="511"/>
      <c r="BN142" s="511"/>
      <c r="BO142" s="511"/>
      <c r="BP142" s="511"/>
      <c r="BQ142" s="511"/>
      <c r="BR142" s="511"/>
      <c r="BS142" s="511"/>
      <c r="BT142" s="511"/>
      <c r="BU142" s="511"/>
      <c r="BV142" s="511"/>
      <c r="BW142" s="511"/>
      <c r="BX142" s="511"/>
      <c r="BY142" s="511"/>
      <c r="BZ142" s="511"/>
      <c r="CA142" s="511"/>
      <c r="CB142" s="511"/>
      <c r="CC142" s="511"/>
      <c r="CD142" s="511"/>
      <c r="CE142" s="511"/>
      <c r="CF142" s="511"/>
      <c r="CG142" s="511"/>
      <c r="CH142" s="511"/>
      <c r="CI142" s="511"/>
      <c r="CJ142" s="511"/>
      <c r="CK142" s="511"/>
      <c r="CL142" s="511"/>
      <c r="CM142" s="515"/>
      <c r="CN142" s="515"/>
      <c r="CO142" s="515"/>
      <c r="CP142" s="515"/>
      <c r="CQ142" s="516"/>
    </row>
    <row r="143" spans="21:95" s="473" customFormat="1">
      <c r="U143" s="510">
        <f t="shared" si="7"/>
        <v>46</v>
      </c>
      <c r="V143" s="511"/>
      <c r="W143" s="511"/>
      <c r="X143" s="511"/>
      <c r="Y143" s="511"/>
      <c r="Z143" s="511"/>
      <c r="AA143" s="511"/>
      <c r="AB143" s="511"/>
      <c r="AC143" s="511"/>
      <c r="AD143" s="511"/>
      <c r="AE143" s="511"/>
      <c r="AF143" s="511"/>
      <c r="AG143" s="511"/>
      <c r="AH143" s="511"/>
      <c r="AI143" s="511"/>
      <c r="AJ143" s="511"/>
      <c r="AK143" s="511"/>
      <c r="AL143" s="511"/>
      <c r="AM143" s="511"/>
      <c r="AN143" s="511"/>
      <c r="AO143" s="511"/>
      <c r="AP143" s="511"/>
      <c r="AQ143" s="511"/>
      <c r="AR143" s="511"/>
      <c r="AS143" s="511"/>
      <c r="AT143" s="511"/>
      <c r="AU143" s="511"/>
      <c r="AV143" s="511"/>
      <c r="AW143" s="511"/>
      <c r="AX143" s="511"/>
      <c r="AY143" s="511"/>
      <c r="AZ143" s="511"/>
      <c r="BA143" s="511"/>
      <c r="BB143" s="511"/>
      <c r="BC143" s="511"/>
      <c r="BD143" s="511"/>
      <c r="BE143" s="511"/>
      <c r="BF143" s="511"/>
      <c r="BG143" s="511"/>
      <c r="BH143" s="511"/>
      <c r="BI143" s="511"/>
      <c r="BJ143" s="511"/>
      <c r="BK143" s="511"/>
      <c r="BL143" s="511"/>
      <c r="BM143" s="511"/>
      <c r="BN143" s="511"/>
      <c r="BO143" s="511"/>
      <c r="BP143" s="511"/>
      <c r="BQ143" s="511"/>
      <c r="BR143" s="511"/>
      <c r="BS143" s="511"/>
      <c r="BT143" s="511"/>
      <c r="BU143" s="511"/>
      <c r="BV143" s="511"/>
      <c r="BW143" s="511"/>
      <c r="BX143" s="511"/>
      <c r="BY143" s="511"/>
      <c r="BZ143" s="511"/>
      <c r="CA143" s="511"/>
      <c r="CB143" s="511"/>
      <c r="CC143" s="511"/>
      <c r="CD143" s="511"/>
      <c r="CE143" s="511"/>
      <c r="CF143" s="511"/>
      <c r="CG143" s="511"/>
      <c r="CH143" s="511"/>
      <c r="CI143" s="511"/>
      <c r="CJ143" s="511"/>
      <c r="CK143" s="511"/>
      <c r="CL143" s="511"/>
      <c r="CM143" s="515"/>
      <c r="CN143" s="515"/>
      <c r="CO143" s="515"/>
      <c r="CP143" s="515"/>
      <c r="CQ143" s="516"/>
    </row>
    <row r="144" spans="21:95" s="473" customFormat="1">
      <c r="U144" s="510">
        <f t="shared" si="7"/>
        <v>47</v>
      </c>
      <c r="V144" s="511"/>
      <c r="W144" s="511"/>
      <c r="X144" s="511"/>
      <c r="Y144" s="511"/>
      <c r="Z144" s="511"/>
      <c r="AA144" s="511"/>
      <c r="AB144" s="511"/>
      <c r="AC144" s="511"/>
      <c r="AD144" s="511"/>
      <c r="AE144" s="511"/>
      <c r="AF144" s="511"/>
      <c r="AG144" s="511"/>
      <c r="AH144" s="511"/>
      <c r="AI144" s="511"/>
      <c r="AJ144" s="511"/>
      <c r="AK144" s="511"/>
      <c r="AL144" s="511"/>
      <c r="AM144" s="511"/>
      <c r="AN144" s="511"/>
      <c r="AO144" s="511"/>
      <c r="AP144" s="511"/>
      <c r="AQ144" s="511"/>
      <c r="AR144" s="511"/>
      <c r="AS144" s="511"/>
      <c r="AT144" s="511"/>
      <c r="AU144" s="511"/>
      <c r="AV144" s="511"/>
      <c r="AW144" s="511"/>
      <c r="AX144" s="511"/>
      <c r="AY144" s="511"/>
      <c r="AZ144" s="511"/>
      <c r="BA144" s="511"/>
      <c r="BB144" s="511"/>
      <c r="BC144" s="511"/>
      <c r="BD144" s="511"/>
      <c r="BE144" s="511"/>
      <c r="BF144" s="511"/>
      <c r="BG144" s="511"/>
      <c r="BH144" s="511"/>
      <c r="BI144" s="511"/>
      <c r="BJ144" s="511"/>
      <c r="BK144" s="511"/>
      <c r="BL144" s="511"/>
      <c r="BM144" s="511"/>
      <c r="BN144" s="511"/>
      <c r="BO144" s="511"/>
      <c r="BP144" s="511"/>
      <c r="BQ144" s="511"/>
      <c r="BR144" s="511"/>
      <c r="BS144" s="511"/>
      <c r="BT144" s="511"/>
      <c r="BU144" s="511"/>
      <c r="BV144" s="511"/>
      <c r="BW144" s="511"/>
      <c r="BX144" s="511"/>
      <c r="BY144" s="511"/>
      <c r="BZ144" s="511"/>
      <c r="CA144" s="511"/>
      <c r="CB144" s="511"/>
      <c r="CC144" s="511"/>
      <c r="CD144" s="511"/>
      <c r="CE144" s="511"/>
      <c r="CF144" s="511"/>
      <c r="CG144" s="511"/>
      <c r="CH144" s="511"/>
      <c r="CI144" s="511"/>
      <c r="CJ144" s="511"/>
      <c r="CK144" s="511"/>
      <c r="CL144" s="511"/>
      <c r="CM144" s="515"/>
      <c r="CN144" s="515"/>
      <c r="CO144" s="515"/>
      <c r="CP144" s="515"/>
      <c r="CQ144" s="516"/>
    </row>
    <row r="145" spans="21:112" s="473" customFormat="1">
      <c r="U145" s="510">
        <f t="shared" si="7"/>
        <v>48</v>
      </c>
      <c r="V145" s="511"/>
      <c r="W145" s="511"/>
      <c r="X145" s="511"/>
      <c r="Y145" s="511"/>
      <c r="Z145" s="511"/>
      <c r="AA145" s="511"/>
      <c r="AB145" s="511"/>
      <c r="AC145" s="511"/>
      <c r="AD145" s="511"/>
      <c r="AE145" s="511"/>
      <c r="AF145" s="511"/>
      <c r="AG145" s="511"/>
      <c r="AH145" s="511"/>
      <c r="AI145" s="511"/>
      <c r="AJ145" s="511"/>
      <c r="AK145" s="511"/>
      <c r="AL145" s="511"/>
      <c r="AM145" s="511"/>
      <c r="AN145" s="511"/>
      <c r="AO145" s="511"/>
      <c r="AP145" s="511"/>
      <c r="AQ145" s="511"/>
      <c r="AR145" s="511"/>
      <c r="AS145" s="511"/>
      <c r="AT145" s="511"/>
      <c r="AU145" s="511"/>
      <c r="AV145" s="511"/>
      <c r="AW145" s="511"/>
      <c r="AX145" s="511"/>
      <c r="AY145" s="511"/>
      <c r="AZ145" s="511"/>
      <c r="BA145" s="511"/>
      <c r="BB145" s="511"/>
      <c r="BC145" s="511"/>
      <c r="BD145" s="511"/>
      <c r="BE145" s="511"/>
      <c r="BF145" s="511"/>
      <c r="BG145" s="511"/>
      <c r="BH145" s="511"/>
      <c r="BI145" s="511"/>
      <c r="BJ145" s="511"/>
      <c r="BK145" s="511"/>
      <c r="BL145" s="511"/>
      <c r="BM145" s="511"/>
      <c r="BN145" s="511"/>
      <c r="BO145" s="511"/>
      <c r="BP145" s="511"/>
      <c r="BQ145" s="511"/>
      <c r="BR145" s="511"/>
      <c r="BS145" s="511"/>
      <c r="BT145" s="511"/>
      <c r="BU145" s="511"/>
      <c r="BV145" s="511"/>
      <c r="BW145" s="511"/>
      <c r="BX145" s="511"/>
      <c r="BY145" s="511"/>
      <c r="BZ145" s="511"/>
      <c r="CA145" s="511"/>
      <c r="CB145" s="511"/>
      <c r="CC145" s="511"/>
      <c r="CD145" s="511"/>
      <c r="CE145" s="511"/>
      <c r="CF145" s="511"/>
      <c r="CG145" s="511"/>
      <c r="CH145" s="511"/>
      <c r="CI145" s="511"/>
      <c r="CJ145" s="511"/>
      <c r="CK145" s="511"/>
      <c r="CL145" s="511"/>
      <c r="CM145" s="515"/>
      <c r="CN145" s="515"/>
      <c r="CO145" s="515"/>
      <c r="CP145" s="515"/>
      <c r="CQ145" s="516"/>
    </row>
    <row r="146" spans="21:112" s="473" customFormat="1">
      <c r="U146" s="510">
        <f t="shared" si="7"/>
        <v>49</v>
      </c>
      <c r="V146" s="511"/>
      <c r="W146" s="511"/>
      <c r="X146" s="511"/>
      <c r="Y146" s="511"/>
      <c r="Z146" s="511"/>
      <c r="AA146" s="511"/>
      <c r="AB146" s="511"/>
      <c r="AC146" s="511"/>
      <c r="AD146" s="511"/>
      <c r="AE146" s="511"/>
      <c r="AF146" s="511"/>
      <c r="AG146" s="511"/>
      <c r="AH146" s="511"/>
      <c r="AI146" s="511"/>
      <c r="AJ146" s="511"/>
      <c r="AK146" s="511"/>
      <c r="AL146" s="511"/>
      <c r="AM146" s="511"/>
      <c r="AN146" s="511"/>
      <c r="AO146" s="511"/>
      <c r="AP146" s="511"/>
      <c r="AQ146" s="511"/>
      <c r="AR146" s="511"/>
      <c r="AS146" s="511"/>
      <c r="AT146" s="511"/>
      <c r="AU146" s="511"/>
      <c r="AV146" s="511"/>
      <c r="AW146" s="511"/>
      <c r="AX146" s="511"/>
      <c r="AY146" s="511"/>
      <c r="AZ146" s="511"/>
      <c r="BA146" s="511"/>
      <c r="BB146" s="511"/>
      <c r="BC146" s="511"/>
      <c r="BD146" s="511"/>
      <c r="BE146" s="511"/>
      <c r="BF146" s="511"/>
      <c r="BG146" s="511"/>
      <c r="BH146" s="511"/>
      <c r="BI146" s="511"/>
      <c r="BJ146" s="511"/>
      <c r="BK146" s="511"/>
      <c r="BL146" s="511"/>
      <c r="BM146" s="511"/>
      <c r="BN146" s="511"/>
      <c r="BO146" s="511"/>
      <c r="BP146" s="511"/>
      <c r="BQ146" s="511"/>
      <c r="BR146" s="511"/>
      <c r="BS146" s="511"/>
      <c r="BT146" s="511"/>
      <c r="BU146" s="511"/>
      <c r="BV146" s="511"/>
      <c r="BW146" s="511"/>
      <c r="BX146" s="511"/>
      <c r="BY146" s="511"/>
      <c r="BZ146" s="511"/>
      <c r="CA146" s="511"/>
      <c r="CB146" s="511"/>
      <c r="CC146" s="511"/>
      <c r="CD146" s="511"/>
      <c r="CE146" s="511"/>
      <c r="CF146" s="511"/>
      <c r="CG146" s="511"/>
      <c r="CH146" s="511"/>
      <c r="CI146" s="511"/>
      <c r="CJ146" s="511"/>
      <c r="CK146" s="511"/>
      <c r="CL146" s="511"/>
      <c r="CM146" s="511"/>
      <c r="CN146" s="511"/>
      <c r="CO146" s="511"/>
      <c r="CP146" s="511"/>
      <c r="CQ146" s="516"/>
      <c r="CR146" s="522"/>
    </row>
    <row r="147" spans="21:112" s="473" customFormat="1">
      <c r="U147" s="510">
        <f t="shared" si="7"/>
        <v>50</v>
      </c>
      <c r="V147" s="511"/>
      <c r="W147" s="511"/>
      <c r="X147" s="511"/>
      <c r="Y147" s="511"/>
      <c r="Z147" s="511"/>
      <c r="AA147" s="511"/>
      <c r="AB147" s="511"/>
      <c r="AC147" s="511"/>
      <c r="AD147" s="511"/>
      <c r="AE147" s="511"/>
      <c r="AF147" s="511"/>
      <c r="AG147" s="511"/>
      <c r="AH147" s="511"/>
      <c r="AI147" s="511"/>
      <c r="AJ147" s="511"/>
      <c r="AK147" s="511"/>
      <c r="AL147" s="511"/>
      <c r="AM147" s="511"/>
      <c r="AN147" s="511"/>
      <c r="AO147" s="511"/>
      <c r="AP147" s="511"/>
      <c r="AQ147" s="511"/>
      <c r="AR147" s="511"/>
      <c r="AS147" s="511"/>
      <c r="AT147" s="511"/>
      <c r="AU147" s="511"/>
      <c r="AV147" s="511"/>
      <c r="AW147" s="511"/>
      <c r="AX147" s="511"/>
      <c r="AY147" s="511"/>
      <c r="AZ147" s="511"/>
      <c r="BA147" s="511"/>
      <c r="BB147" s="511"/>
      <c r="BC147" s="511"/>
      <c r="BD147" s="511"/>
      <c r="BE147" s="511"/>
      <c r="BF147" s="511"/>
      <c r="BG147" s="511"/>
      <c r="BH147" s="511"/>
      <c r="BI147" s="511"/>
      <c r="BJ147" s="511"/>
      <c r="BK147" s="511"/>
      <c r="BL147" s="511"/>
      <c r="BM147" s="511"/>
      <c r="BN147" s="511"/>
      <c r="BO147" s="511"/>
      <c r="BP147" s="511"/>
      <c r="BQ147" s="511"/>
      <c r="BR147" s="511"/>
      <c r="BS147" s="511"/>
      <c r="BT147" s="511"/>
      <c r="BU147" s="511"/>
      <c r="BV147" s="511"/>
      <c r="BW147" s="511"/>
      <c r="BX147" s="511"/>
      <c r="BY147" s="511"/>
      <c r="BZ147" s="511"/>
      <c r="CA147" s="511"/>
      <c r="CB147" s="511"/>
      <c r="CC147" s="511"/>
      <c r="CD147" s="511"/>
      <c r="CE147" s="511"/>
      <c r="CF147" s="511"/>
      <c r="CG147" s="511"/>
      <c r="CH147" s="511"/>
      <c r="CI147" s="511"/>
      <c r="CJ147" s="511"/>
      <c r="CK147" s="511"/>
      <c r="CL147" s="511"/>
      <c r="CM147" s="511"/>
      <c r="CN147" s="511"/>
      <c r="CO147" s="511"/>
      <c r="CP147" s="511"/>
      <c r="CQ147" s="523"/>
      <c r="CR147" s="497"/>
      <c r="CS147" s="497"/>
      <c r="CT147" s="497"/>
      <c r="CU147" s="497"/>
      <c r="CV147" s="497"/>
      <c r="CW147" s="497"/>
      <c r="CX147" s="497"/>
      <c r="CY147" s="497"/>
      <c r="CZ147" s="497"/>
      <c r="DA147" s="497"/>
      <c r="DB147" s="497"/>
      <c r="DD147" s="522"/>
    </row>
    <row r="148" spans="21:112" s="474" customFormat="1">
      <c r="U148" s="510"/>
      <c r="V148" s="511"/>
      <c r="W148" s="511">
        <f>W149-2014</f>
        <v>2</v>
      </c>
      <c r="X148" s="511">
        <f t="shared" ref="X148:AE148" si="62">X149-2014</f>
        <v>3</v>
      </c>
      <c r="Y148" s="511">
        <f t="shared" si="62"/>
        <v>4</v>
      </c>
      <c r="Z148" s="511">
        <f t="shared" si="62"/>
        <v>5</v>
      </c>
      <c r="AA148" s="511">
        <f t="shared" si="62"/>
        <v>6</v>
      </c>
      <c r="AB148" s="511">
        <f t="shared" si="62"/>
        <v>7</v>
      </c>
      <c r="AC148" s="511">
        <f t="shared" si="62"/>
        <v>8</v>
      </c>
      <c r="AD148" s="511">
        <f t="shared" si="62"/>
        <v>9</v>
      </c>
      <c r="AE148" s="511">
        <f t="shared" si="62"/>
        <v>10</v>
      </c>
      <c r="AF148" s="511"/>
      <c r="AG148" s="511"/>
      <c r="AH148" s="511"/>
      <c r="AI148" s="511"/>
      <c r="AJ148" s="511"/>
      <c r="AK148" s="511">
        <f>AK149-2014</f>
        <v>2</v>
      </c>
      <c r="AL148" s="511">
        <f>AL149-2014</f>
        <v>3</v>
      </c>
      <c r="AM148" s="511">
        <f t="shared" ref="AM148:AS148" si="63">AM149-2014</f>
        <v>4</v>
      </c>
      <c r="AN148" s="511">
        <f t="shared" si="63"/>
        <v>5</v>
      </c>
      <c r="AO148" s="511">
        <f t="shared" si="63"/>
        <v>6</v>
      </c>
      <c r="AP148" s="511">
        <f t="shared" si="63"/>
        <v>7</v>
      </c>
      <c r="AQ148" s="511">
        <f t="shared" si="63"/>
        <v>8</v>
      </c>
      <c r="AR148" s="511">
        <f t="shared" si="63"/>
        <v>9</v>
      </c>
      <c r="AS148" s="511">
        <f t="shared" si="63"/>
        <v>10</v>
      </c>
      <c r="AT148" s="511"/>
      <c r="AU148" s="511"/>
      <c r="AV148" s="511"/>
      <c r="AW148" s="511"/>
      <c r="AX148" s="511"/>
      <c r="AY148" s="511">
        <f>AY149-2014</f>
        <v>2</v>
      </c>
      <c r="AZ148" s="511">
        <f t="shared" ref="AZ148:BG148" si="64">AZ149-2014</f>
        <v>3</v>
      </c>
      <c r="BA148" s="511">
        <f t="shared" si="64"/>
        <v>4</v>
      </c>
      <c r="BB148" s="511">
        <f t="shared" si="64"/>
        <v>5</v>
      </c>
      <c r="BC148" s="511">
        <f t="shared" si="64"/>
        <v>6</v>
      </c>
      <c r="BD148" s="511">
        <f t="shared" si="64"/>
        <v>7</v>
      </c>
      <c r="BE148" s="511">
        <f t="shared" si="64"/>
        <v>8</v>
      </c>
      <c r="BF148" s="511">
        <f t="shared" si="64"/>
        <v>9</v>
      </c>
      <c r="BG148" s="511">
        <f t="shared" si="64"/>
        <v>10</v>
      </c>
      <c r="BH148" s="511"/>
      <c r="BI148" s="511"/>
      <c r="BJ148" s="511"/>
      <c r="BK148" s="511"/>
      <c r="BL148" s="511"/>
      <c r="BM148" s="511">
        <f>BM149-2014</f>
        <v>2</v>
      </c>
      <c r="BN148" s="511">
        <f t="shared" ref="BN148:BU148" si="65">BN149-2014</f>
        <v>3</v>
      </c>
      <c r="BO148" s="511">
        <f t="shared" si="65"/>
        <v>4</v>
      </c>
      <c r="BP148" s="511">
        <f t="shared" si="65"/>
        <v>5</v>
      </c>
      <c r="BQ148" s="511">
        <f t="shared" si="65"/>
        <v>6</v>
      </c>
      <c r="BR148" s="511">
        <f t="shared" si="65"/>
        <v>7</v>
      </c>
      <c r="BS148" s="511">
        <f t="shared" si="65"/>
        <v>8</v>
      </c>
      <c r="BT148" s="511">
        <f t="shared" si="65"/>
        <v>9</v>
      </c>
      <c r="BU148" s="511">
        <f t="shared" si="65"/>
        <v>10</v>
      </c>
      <c r="BV148" s="511"/>
      <c r="BW148" s="511"/>
      <c r="BX148" s="511"/>
      <c r="BY148" s="511"/>
      <c r="BZ148" s="511"/>
      <c r="CA148" s="511">
        <f>CA149-2014</f>
        <v>2</v>
      </c>
      <c r="CB148" s="511">
        <f t="shared" ref="CB148:CI148" si="66">CB149-2014</f>
        <v>3</v>
      </c>
      <c r="CC148" s="511">
        <f t="shared" si="66"/>
        <v>4</v>
      </c>
      <c r="CD148" s="511">
        <f t="shared" si="66"/>
        <v>5</v>
      </c>
      <c r="CE148" s="511">
        <f t="shared" si="66"/>
        <v>6</v>
      </c>
      <c r="CF148" s="511">
        <f t="shared" si="66"/>
        <v>7</v>
      </c>
      <c r="CG148" s="511">
        <f t="shared" si="66"/>
        <v>8</v>
      </c>
      <c r="CH148" s="511">
        <f t="shared" si="66"/>
        <v>9</v>
      </c>
      <c r="CI148" s="511">
        <f t="shared" si="66"/>
        <v>10</v>
      </c>
      <c r="CJ148" s="511"/>
      <c r="CK148" s="511"/>
      <c r="CL148" s="511"/>
      <c r="CM148" s="511"/>
      <c r="CN148" s="511"/>
      <c r="CO148" s="511"/>
      <c r="CP148" s="511"/>
      <c r="CQ148" s="523"/>
      <c r="CR148" s="524"/>
      <c r="CS148" s="524"/>
      <c r="CT148" s="524"/>
      <c r="CU148" s="524"/>
      <c r="CV148" s="524"/>
      <c r="CW148" s="524"/>
      <c r="CX148" s="524"/>
      <c r="CY148" s="524"/>
      <c r="CZ148" s="524"/>
      <c r="DA148" s="524"/>
      <c r="DB148" s="524"/>
      <c r="DC148" s="524"/>
      <c r="DD148" s="524"/>
      <c r="DE148" s="524"/>
      <c r="DF148" s="524"/>
      <c r="DH148" s="527"/>
    </row>
    <row r="149" spans="21:112" s="1347" customFormat="1">
      <c r="U149" s="1350"/>
      <c r="V149" s="497" t="str">
        <f t="shared" ref="V149:AD149" si="67">V97</f>
        <v>EPO</v>
      </c>
      <c r="W149" s="497">
        <f t="shared" si="67"/>
        <v>2016</v>
      </c>
      <c r="X149" s="497">
        <f t="shared" si="67"/>
        <v>2017</v>
      </c>
      <c r="Y149" s="497">
        <f t="shared" si="67"/>
        <v>2018</v>
      </c>
      <c r="Z149" s="497">
        <f t="shared" si="67"/>
        <v>2019</v>
      </c>
      <c r="AA149" s="497">
        <f t="shared" si="67"/>
        <v>2020</v>
      </c>
      <c r="AB149" s="497">
        <f t="shared" si="67"/>
        <v>2021</v>
      </c>
      <c r="AC149" s="497">
        <f t="shared" si="67"/>
        <v>2022</v>
      </c>
      <c r="AD149" s="497">
        <f t="shared" si="67"/>
        <v>2023</v>
      </c>
      <c r="AE149" s="497">
        <v>2024</v>
      </c>
      <c r="AF149" s="497"/>
      <c r="AG149" s="497"/>
      <c r="AH149" s="497"/>
      <c r="AI149" s="497"/>
      <c r="AJ149" s="497" t="str">
        <f t="shared" ref="AJ149:AR149" si="68">AJ97</f>
        <v>JPO</v>
      </c>
      <c r="AK149" s="497">
        <f t="shared" si="68"/>
        <v>2016</v>
      </c>
      <c r="AL149" s="497">
        <f t="shared" si="68"/>
        <v>2017</v>
      </c>
      <c r="AM149" s="497">
        <f t="shared" si="68"/>
        <v>2018</v>
      </c>
      <c r="AN149" s="497">
        <f t="shared" si="68"/>
        <v>2019</v>
      </c>
      <c r="AO149" s="497">
        <f t="shared" si="68"/>
        <v>2020</v>
      </c>
      <c r="AP149" s="497">
        <f t="shared" si="68"/>
        <v>2021</v>
      </c>
      <c r="AQ149" s="497">
        <f t="shared" si="68"/>
        <v>2022</v>
      </c>
      <c r="AR149" s="497">
        <f t="shared" si="68"/>
        <v>2023</v>
      </c>
      <c r="AS149" s="497">
        <v>2024</v>
      </c>
      <c r="AT149" s="497"/>
      <c r="AU149" s="497"/>
      <c r="AV149" s="497"/>
      <c r="AW149" s="497"/>
      <c r="AX149" s="497" t="str">
        <f t="shared" ref="AX149:BG149" si="69">AX97</f>
        <v>MOIP</v>
      </c>
      <c r="AY149" s="497">
        <f t="shared" si="69"/>
        <v>2016</v>
      </c>
      <c r="AZ149" s="497">
        <f t="shared" si="69"/>
        <v>2017</v>
      </c>
      <c r="BA149" s="497">
        <f t="shared" si="69"/>
        <v>2018</v>
      </c>
      <c r="BB149" s="497">
        <f t="shared" si="69"/>
        <v>2019</v>
      </c>
      <c r="BC149" s="497">
        <f t="shared" si="69"/>
        <v>2020</v>
      </c>
      <c r="BD149" s="497">
        <f t="shared" si="69"/>
        <v>2021</v>
      </c>
      <c r="BE149" s="497">
        <f t="shared" si="69"/>
        <v>2022</v>
      </c>
      <c r="BF149" s="497">
        <f t="shared" si="69"/>
        <v>2023</v>
      </c>
      <c r="BG149" s="497">
        <f t="shared" si="69"/>
        <v>2024</v>
      </c>
      <c r="BH149" s="497"/>
      <c r="BI149" s="497"/>
      <c r="BJ149" s="497"/>
      <c r="BK149" s="497"/>
      <c r="BL149" s="497" t="str">
        <f t="shared" ref="BL149:BT149" si="70">BL97</f>
        <v>CNIPA</v>
      </c>
      <c r="BM149" s="497">
        <f t="shared" si="70"/>
        <v>2016</v>
      </c>
      <c r="BN149" s="497">
        <f t="shared" si="70"/>
        <v>2017</v>
      </c>
      <c r="BO149" s="497">
        <f t="shared" si="70"/>
        <v>2018</v>
      </c>
      <c r="BP149" s="497">
        <f t="shared" si="70"/>
        <v>2019</v>
      </c>
      <c r="BQ149" s="497">
        <f t="shared" si="70"/>
        <v>2020</v>
      </c>
      <c r="BR149" s="497">
        <f t="shared" si="70"/>
        <v>2021</v>
      </c>
      <c r="BS149" s="497">
        <f t="shared" si="70"/>
        <v>2022</v>
      </c>
      <c r="BT149" s="497">
        <f t="shared" si="70"/>
        <v>2023</v>
      </c>
      <c r="BU149" s="497">
        <v>2024</v>
      </c>
      <c r="BV149" s="497"/>
      <c r="BW149" s="497"/>
      <c r="BX149" s="497"/>
      <c r="BY149" s="497"/>
      <c r="BZ149" s="497" t="str">
        <f t="shared" ref="BZ149:CH149" si="71">BZ97</f>
        <v>USPTO</v>
      </c>
      <c r="CA149" s="497">
        <f t="shared" si="71"/>
        <v>2016</v>
      </c>
      <c r="CB149" s="497">
        <f t="shared" si="71"/>
        <v>2017</v>
      </c>
      <c r="CC149" s="497">
        <f t="shared" si="71"/>
        <v>2018</v>
      </c>
      <c r="CD149" s="497">
        <f t="shared" si="71"/>
        <v>2019</v>
      </c>
      <c r="CE149" s="497">
        <f t="shared" si="71"/>
        <v>2020</v>
      </c>
      <c r="CF149" s="497">
        <f t="shared" si="71"/>
        <v>2021</v>
      </c>
      <c r="CG149" s="497">
        <f t="shared" si="71"/>
        <v>2022</v>
      </c>
      <c r="CH149" s="497">
        <f t="shared" si="71"/>
        <v>2023</v>
      </c>
      <c r="CI149" s="497">
        <v>2024</v>
      </c>
      <c r="CJ149" s="497"/>
      <c r="CK149" s="497"/>
      <c r="CL149" s="497"/>
      <c r="CQ149" s="1351"/>
    </row>
    <row r="150" spans="21:112" s="474" customFormat="1">
      <c r="U150" s="510">
        <f t="shared" si="7"/>
        <v>1</v>
      </c>
      <c r="V150" s="497" t="str">
        <f t="shared" ref="V150:V168" si="72">IF(U98&lt;AI$133,VLOOKUP(U98,AI$98:AJ$132,2,FALSE),"")</f>
        <v>Other special machines</v>
      </c>
      <c r="W150" s="497">
        <f>IF(VLOOKUP($V150,$V$98:$AE$132,W$148,FALSE)=0,11,VLOOKUP($V150,$V$98:$AE$132,W$148,FALSE))</f>
        <v>10</v>
      </c>
      <c r="X150" s="497">
        <f>IF(VLOOKUP($V150,$V$98:$AE$132,X$148,FALSE)=0,11,VLOOKUP($V150,$V$98:$AE$132,X$148,FALSE))</f>
        <v>10</v>
      </c>
      <c r="Y150" s="497">
        <f>IF(VLOOKUP($V150,$V$98:$AE$132,Y$148,FALSE)=0,11,VLOOKUP($V150,$V$98:$AE$132,Y$148,FALSE))</f>
        <v>8</v>
      </c>
      <c r="Z150" s="497">
        <f>IF(VLOOKUP($V150,$V$98:$AE$132,Z$148,FALSE)=0,11,VLOOKUP($V150,$V$98:$AE$132,Z$148,FALSE))</f>
        <v>8</v>
      </c>
      <c r="AA150" s="497">
        <f>IF(VLOOKUP($V150,$V$98:$AE$132,AA$148,FALSE)=0,11,VLOOKUP($V150,$V$98:$AE$132,AA$148,FALSE))</f>
        <v>8</v>
      </c>
      <c r="AB150" s="497">
        <f t="shared" ref="AB150:AE162" si="73">IF(VLOOKUP($V150,$V$98:$AE$132,AB$148,FALSE)=0,11,VLOOKUP($V150,$V$98:$AE$132,AB$148,FALSE))</f>
        <v>8</v>
      </c>
      <c r="AC150" s="497">
        <f t="shared" si="73"/>
        <v>7</v>
      </c>
      <c r="AD150" s="497">
        <f t="shared" si="73"/>
        <v>7</v>
      </c>
      <c r="AE150" s="497">
        <f>IF(VLOOKUP($V150,$V$98:$AE$132,AE$148,FALSE)=0,11,VLOOKUP($V150,$V$98:$AE$132,AE$148,FALSE))</f>
        <v>7</v>
      </c>
      <c r="AF150" s="497"/>
      <c r="AG150" s="497"/>
      <c r="AH150" s="497"/>
      <c r="AI150" s="497"/>
      <c r="AJ150" s="497" t="str">
        <f t="shared" ref="AJ150:AJ168" si="74">IF(U98&lt;AW$133,VLOOKUP(U98,AW$98:AX$132,2,FALSE),"")</f>
        <v>Semiconductors</v>
      </c>
      <c r="AK150" s="497">
        <f t="shared" ref="AK150:AS150" si="75">IF(VLOOKUP($AJ150,$AJ$98:$AS$132,AK$148,FALSE)=0,11,VLOOKUP($AJ150,$AJ$98:$AS$132,AK$148,FALSE))</f>
        <v>8</v>
      </c>
      <c r="AL150" s="497">
        <f t="shared" si="75"/>
        <v>8</v>
      </c>
      <c r="AM150" s="497">
        <f t="shared" si="75"/>
        <v>8</v>
      </c>
      <c r="AN150" s="497">
        <f t="shared" si="75"/>
        <v>9</v>
      </c>
      <c r="AO150" s="497">
        <f t="shared" si="75"/>
        <v>8</v>
      </c>
      <c r="AP150" s="497">
        <f t="shared" si="75"/>
        <v>10</v>
      </c>
      <c r="AQ150" s="497">
        <f t="shared" si="75"/>
        <v>10</v>
      </c>
      <c r="AR150" s="497">
        <f t="shared" si="75"/>
        <v>8</v>
      </c>
      <c r="AS150" s="497">
        <f t="shared" si="75"/>
        <v>7</v>
      </c>
      <c r="AT150" s="497"/>
      <c r="AU150" s="497"/>
      <c r="AV150" s="497"/>
      <c r="AW150" s="497"/>
      <c r="AX150" s="497" t="str">
        <f t="shared" ref="AX150:AX168" si="76">IF(U98&lt;BK$133,VLOOKUP(U98,BK$98:BL$132,2,FALSE),"")</f>
        <v>Digital communication</v>
      </c>
      <c r="AY150" s="497">
        <f t="shared" ref="AY150:BG150" si="77">IF(VLOOKUP($AX150,$AX$98:$BG$132,AY$148,FALSE)=0,11,VLOOKUP($AX150,$AX$98:$BG$132,AY$148,FALSE))</f>
        <v>7</v>
      </c>
      <c r="AZ150" s="497">
        <f t="shared" si="77"/>
        <v>7</v>
      </c>
      <c r="BA150" s="511">
        <f t="shared" si="77"/>
        <v>8</v>
      </c>
      <c r="BB150" s="511">
        <f t="shared" si="77"/>
        <v>7</v>
      </c>
      <c r="BC150" s="511">
        <f t="shared" si="77"/>
        <v>7</v>
      </c>
      <c r="BD150" s="511">
        <f t="shared" si="77"/>
        <v>7</v>
      </c>
      <c r="BE150" s="511">
        <f t="shared" si="77"/>
        <v>7</v>
      </c>
      <c r="BF150" s="511">
        <f t="shared" si="77"/>
        <v>10</v>
      </c>
      <c r="BG150" s="511">
        <f t="shared" si="77"/>
        <v>10</v>
      </c>
      <c r="BH150" s="511"/>
      <c r="BI150" s="511"/>
      <c r="BJ150" s="511"/>
      <c r="BK150" s="511"/>
      <c r="BL150" s="497" t="str">
        <f t="shared" ref="BL150:BL173" si="78">IF(U98&lt;BY$133,VLOOKUP(U98,BY$98:BZ$132,2,FALSE),"")</f>
        <v>Transport</v>
      </c>
      <c r="BM150" s="497">
        <f>IF(VLOOKUP($BL150,$BL$98:$BU$132,BM$148,FALSE)=0,$BW$134,VLOOKUP($BL150,BL$98:$BU$132,BM$148,FALSE))</f>
        <v>8</v>
      </c>
      <c r="BN150" s="497">
        <f>IF(VLOOKUP($BL150,$BL$98:$BU$132,BN$148,FALSE)=0,$BW$134,VLOOKUP($BL150,BL$98:$BU$132,BN$148,FALSE))</f>
        <v>8</v>
      </c>
      <c r="BO150" s="497">
        <f>IF(VLOOKUP($BL150,$BL$98:$BU$132,BO$148,FALSE)=0,$BW$134,VLOOKUP($BL150,BL$98:$BU$132,BO$148,FALSE))</f>
        <v>8</v>
      </c>
      <c r="BP150" s="497">
        <f>IF(VLOOKUP($BL150,$BL$98:$BU$132,BP$148,FALSE)=0,$BW$134,VLOOKUP($BL150,BL$98:$BU$132,BP$148,FALSE))</f>
        <v>7</v>
      </c>
      <c r="BQ150" s="497">
        <f>IF(VLOOKUP($BL150,$BL$98:$BU$132,BQ$148,FALSE)=0,$BW$134,VLOOKUP($BL150,BL$98:$BU$132,BQ$148,FALSE))</f>
        <v>7</v>
      </c>
      <c r="BR150" s="497">
        <f>IF(VLOOKUP($BL150,$BL$98:$BU$132,BR$148,FALSE)=0,$BW$134,VLOOKUP($BL150,BL$98:$BU$132,BR$148,FALSE))</f>
        <v>9</v>
      </c>
      <c r="BS150" s="497">
        <f>IF(VLOOKUP($BL150,$BL$98:$BU$132,BS$148,FALSE)=0,$BW$134,VLOOKUP($BL150,BL$98:$BU$132,BS$148,FALSE))</f>
        <v>7</v>
      </c>
      <c r="BT150" s="497">
        <f>IF(VLOOKUP($BL150,$BL$98:$BU$132,BT$148,FALSE)=0,$BW$134,VLOOKUP($BL150,$BL$98:$BU$132,BT$148,FALSE))</f>
        <v>8</v>
      </c>
      <c r="BU150" s="497">
        <f>IF(VLOOKUP($BL150,$BL$98:$BU$132,BU$148,FALSE)=0,$BW$134,VLOOKUP($BL150,$BL$98:$BU$132,BU$148,FALSE))</f>
        <v>10</v>
      </c>
      <c r="BV150" s="497"/>
      <c r="BW150" s="497"/>
      <c r="BX150" s="497"/>
      <c r="BY150" s="497"/>
      <c r="BZ150" s="497" t="str">
        <f t="shared" ref="BZ150:BZ168" si="79">IF(U98&lt;CM$133,VLOOKUP(U98,CM$98:CN$132,2,FALSE),"")</f>
        <v>Optics</v>
      </c>
      <c r="CA150" s="497">
        <f t="shared" ref="CA150:CF150" si="80">IF(VLOOKUP($BZ150,$BZ$98:$CI$132,CA$148,FALSE)=0,$CK$133,VLOOKUP($BZ150,$BZ$98:$CI$132,CA$148,FALSE))</f>
        <v>10</v>
      </c>
      <c r="CB150" s="497">
        <f t="shared" si="80"/>
        <v>10</v>
      </c>
      <c r="CC150" s="497">
        <f t="shared" si="80"/>
        <v>10</v>
      </c>
      <c r="CD150" s="497">
        <f t="shared" si="80"/>
        <v>9</v>
      </c>
      <c r="CE150" s="497">
        <f t="shared" si="80"/>
        <v>9</v>
      </c>
      <c r="CF150" s="497">
        <f t="shared" si="80"/>
        <v>9</v>
      </c>
      <c r="CG150" s="497">
        <f>IF(VLOOKUP($BZ150,$BZ$98:$CI$132,CG$148,FALSE)=0,CK$133,VLOOKUP($BZ150,$BZ$98:$CI$132,CG$148,FALSE))</f>
        <v>9</v>
      </c>
      <c r="CH150" s="497">
        <f>IF(VLOOKUP($BZ150,$BZ$98:$CI$132,CH$148,FALSE)=0,$CK$133,VLOOKUP($BZ150,$BZ$98:$CI$132,CH$148,FALSE))</f>
        <v>9</v>
      </c>
      <c r="CI150" s="497">
        <f>IF(VLOOKUP($BZ150,$BZ$98:$CI$132,CI$148,FALSE)=0,$CK$133,VLOOKUP($BZ150,$BZ$98:$CI$132,CI$148,FALSE))</f>
        <v>9</v>
      </c>
      <c r="CJ150" s="497"/>
      <c r="CK150" s="497"/>
      <c r="CL150" s="497"/>
      <c r="CM150" s="1347"/>
      <c r="CN150" s="1347"/>
      <c r="CO150" s="1347"/>
      <c r="CP150" s="1347"/>
      <c r="CQ150" s="516"/>
    </row>
    <row r="151" spans="21:112" s="474" customFormat="1">
      <c r="U151" s="510">
        <f t="shared" si="7"/>
        <v>2</v>
      </c>
      <c r="V151" s="497" t="str">
        <f t="shared" si="72"/>
        <v>Engines, pumps, turbines</v>
      </c>
      <c r="W151" s="497">
        <f t="shared" ref="W151:AA162" si="81">IF(VLOOKUP($V151,$V$98:$AE$132,W$148,FALSE)=0,11,VLOOKUP($V151,$V$98:$AE$132,W$148,FALSE))</f>
        <v>7</v>
      </c>
      <c r="X151" s="497">
        <f t="shared" si="81"/>
        <v>7</v>
      </c>
      <c r="Y151" s="497">
        <f t="shared" si="81"/>
        <v>7</v>
      </c>
      <c r="Z151" s="497">
        <f t="shared" si="81"/>
        <v>7</v>
      </c>
      <c r="AA151" s="497">
        <f t="shared" si="81"/>
        <v>7</v>
      </c>
      <c r="AB151" s="497">
        <f t="shared" si="73"/>
        <v>7</v>
      </c>
      <c r="AC151" s="497">
        <f t="shared" si="73"/>
        <v>8</v>
      </c>
      <c r="AD151" s="497">
        <f t="shared" si="73"/>
        <v>9</v>
      </c>
      <c r="AE151" s="497">
        <f t="shared" si="73"/>
        <v>8</v>
      </c>
      <c r="AF151" s="497"/>
      <c r="AG151" s="497"/>
      <c r="AH151" s="497"/>
      <c r="AI151" s="497"/>
      <c r="AJ151" s="497" t="str">
        <f t="shared" si="74"/>
        <v>Civil engineering</v>
      </c>
      <c r="AK151" s="497">
        <f t="shared" ref="AK151:AS161" si="82">IF(VLOOKUP($AJ151,$AJ$98:$AS$132,AK$148,FALSE)=0,11,VLOOKUP($AJ151,$AJ$98:$AS$132,AK$148,FALSE))</f>
        <v>10</v>
      </c>
      <c r="AL151" s="497">
        <f t="shared" si="82"/>
        <v>10</v>
      </c>
      <c r="AM151" s="497">
        <f t="shared" si="82"/>
        <v>10</v>
      </c>
      <c r="AN151" s="497">
        <f t="shared" si="82"/>
        <v>10</v>
      </c>
      <c r="AO151" s="497">
        <f t="shared" si="82"/>
        <v>11</v>
      </c>
      <c r="AP151" s="497">
        <f t="shared" si="82"/>
        <v>8</v>
      </c>
      <c r="AQ151" s="497">
        <f t="shared" si="82"/>
        <v>11</v>
      </c>
      <c r="AR151" s="497">
        <f t="shared" si="82"/>
        <v>10</v>
      </c>
      <c r="AS151" s="497">
        <f t="shared" si="82"/>
        <v>11</v>
      </c>
      <c r="AT151" s="497"/>
      <c r="AU151" s="497"/>
      <c r="AV151" s="497"/>
      <c r="AW151" s="497"/>
      <c r="AX151" s="497" t="str">
        <f t="shared" si="76"/>
        <v>Audio-visual technology</v>
      </c>
      <c r="AY151" s="497">
        <f t="shared" ref="AY151:BG161" si="83">IF(VLOOKUP($AX151,$AX$98:$BG$132,AY$148,FALSE)=0,11,VLOOKUP($AX151,$AX$98:$BG$132,AY$148,FALSE))</f>
        <v>9</v>
      </c>
      <c r="AZ151" s="497">
        <f t="shared" si="83"/>
        <v>9</v>
      </c>
      <c r="BA151" s="511">
        <f t="shared" si="83"/>
        <v>11</v>
      </c>
      <c r="BB151" s="511">
        <f t="shared" si="83"/>
        <v>10</v>
      </c>
      <c r="BC151" s="511">
        <f t="shared" si="83"/>
        <v>10</v>
      </c>
      <c r="BD151" s="511">
        <f t="shared" si="83"/>
        <v>11</v>
      </c>
      <c r="BE151" s="511">
        <f t="shared" si="83"/>
        <v>9</v>
      </c>
      <c r="BF151" s="511">
        <f t="shared" si="83"/>
        <v>9</v>
      </c>
      <c r="BG151" s="511">
        <f t="shared" si="83"/>
        <v>9</v>
      </c>
      <c r="BH151" s="511"/>
      <c r="BI151" s="511"/>
      <c r="BJ151" s="511"/>
      <c r="BK151" s="511"/>
      <c r="BL151" s="497" t="str">
        <f t="shared" si="78"/>
        <v>Materials, metallurgy</v>
      </c>
      <c r="BM151" s="497">
        <f>IF(VLOOKUP($BL151,$BL$98:$BU$132,BM$148,FALSE)=0,$BW$134,VLOOKUP($BL151,BL$98:$BU$132,BM$148,FALSE))</f>
        <v>7</v>
      </c>
      <c r="BN151" s="497">
        <f>IF(VLOOKUP($BL151,$BL$98:$BT$132,BN$148,FALSE)=0,$BW$134,VLOOKUP($BL151,BL$98:$BT$132,BN$148,FALSE))</f>
        <v>7</v>
      </c>
      <c r="BO151" s="497">
        <f>IF(VLOOKUP($BL151,$BL$98:$BT$132,BO$148,FALSE)=0,$BW$134,VLOOKUP($BL151,BL$98:$BT$132,BO$148,FALSE))</f>
        <v>7</v>
      </c>
      <c r="BP151" s="497">
        <f>IF(VLOOKUP($BL151,$BL$98:$BT$132,BP$148,FALSE)=0,$BW$134,VLOOKUP($BL151,BL$98:$BT$132,BP$148,FALSE))</f>
        <v>9</v>
      </c>
      <c r="BQ151" s="497">
        <f>IF(VLOOKUP($BL151,$BL$98:$BT$132,BQ$148,FALSE)=0,$BW$134,VLOOKUP($BL151,BL$98:$BT$132,BQ$148,FALSE))</f>
        <v>9</v>
      </c>
      <c r="BR151" s="497">
        <f>IF(VLOOKUP($BL151,$BL$98:$BT$132,BR$148,FALSE)=0,$BW$134,VLOOKUP($BL151,BL$98:$BT$132,BR$148,FALSE))</f>
        <v>10</v>
      </c>
      <c r="BS151" s="497">
        <f>IF(VLOOKUP($BL151,$BL$98:$BT$132,BS$148,FALSE)=0,$BW$134,VLOOKUP($BL151,BL$98:$BT$132,BS$148,FALSE))</f>
        <v>8</v>
      </c>
      <c r="BT151" s="497">
        <f t="shared" ref="BT151:BT161" si="84">IF(VLOOKUP($BL151,$BL$98:$BT$132,BT$148,FALSE)=0,$BW$134,VLOOKUP($BL151,$BL$98:$BT$132,BT$148,FALSE))</f>
        <v>11</v>
      </c>
      <c r="BU151" s="497">
        <f t="shared" ref="BU151:BU161" si="85">IF(VLOOKUP($BL151,$BL$98:$BU$132,BU$148,FALSE)=0,$BW$134,VLOOKUP($BL151,$BL$98:$BU$132,BU$148,FALSE))</f>
        <v>11</v>
      </c>
      <c r="BV151" s="497"/>
      <c r="BW151" s="497"/>
      <c r="BX151" s="497"/>
      <c r="BY151" s="497"/>
      <c r="BZ151" s="497" t="str">
        <f t="shared" si="79"/>
        <v>Telecommunications</v>
      </c>
      <c r="CA151" s="497">
        <f t="shared" ref="CA151:CF160" si="86">IF(VLOOKUP($BZ151,$BZ$98:$CI$132,CA$148,FALSE)=0,$CK$133,VLOOKUP($BZ151,$BZ$98:$CI$132,CA$148,FALSE))</f>
        <v>9</v>
      </c>
      <c r="CB151" s="497">
        <f t="shared" si="86"/>
        <v>9</v>
      </c>
      <c r="CC151" s="497">
        <f t="shared" si="86"/>
        <v>9</v>
      </c>
      <c r="CD151" s="497">
        <f t="shared" si="86"/>
        <v>10</v>
      </c>
      <c r="CE151" s="497">
        <f t="shared" si="86"/>
        <v>10</v>
      </c>
      <c r="CF151" s="497">
        <f t="shared" si="86"/>
        <v>10</v>
      </c>
      <c r="CG151" s="497">
        <f t="shared" ref="CG151:CG160" si="87">IF(VLOOKUP($BZ151,$BZ$98:$CI$132,CG$148,FALSE)=0,CK$133,VLOOKUP($BZ151,$BZ$98:$CI$132,CG$148,FALSE))</f>
        <v>10</v>
      </c>
      <c r="CH151" s="497">
        <f t="shared" ref="CH151:CI160" si="88">IF(VLOOKUP($BZ151,$BZ$98:$CI$132,CH$148,FALSE)=0,$CK$133,VLOOKUP($BZ151,$BZ$98:$CI$132,CH$148,FALSE))</f>
        <v>11</v>
      </c>
      <c r="CI151" s="497">
        <f t="shared" si="88"/>
        <v>11</v>
      </c>
      <c r="CJ151" s="497"/>
      <c r="CK151" s="497"/>
      <c r="CL151" s="497"/>
      <c r="CM151" s="1347"/>
      <c r="CN151" s="1347"/>
      <c r="CO151" s="1347"/>
      <c r="CP151" s="1347"/>
      <c r="CQ151" s="516"/>
    </row>
    <row r="152" spans="21:112" s="474" customFormat="1">
      <c r="U152" s="510">
        <f t="shared" si="7"/>
        <v>3</v>
      </c>
      <c r="V152" s="497" t="str">
        <f t="shared" si="72"/>
        <v>Civil engineering</v>
      </c>
      <c r="W152" s="497">
        <f t="shared" si="81"/>
        <v>9</v>
      </c>
      <c r="X152" s="497">
        <f t="shared" si="81"/>
        <v>9</v>
      </c>
      <c r="Y152" s="497">
        <f t="shared" si="81"/>
        <v>11</v>
      </c>
      <c r="Z152" s="497">
        <f t="shared" si="81"/>
        <v>10</v>
      </c>
      <c r="AA152" s="497">
        <f t="shared" si="81"/>
        <v>9</v>
      </c>
      <c r="AB152" s="497">
        <f t="shared" si="73"/>
        <v>11</v>
      </c>
      <c r="AC152" s="497">
        <f t="shared" si="73"/>
        <v>9</v>
      </c>
      <c r="AD152" s="497">
        <f t="shared" si="73"/>
        <v>8</v>
      </c>
      <c r="AE152" s="497">
        <f t="shared" si="73"/>
        <v>9</v>
      </c>
      <c r="AF152" s="497"/>
      <c r="AG152" s="497"/>
      <c r="AH152" s="497"/>
      <c r="AI152" s="497"/>
      <c r="AJ152" s="497" t="str">
        <f t="shared" si="74"/>
        <v>Optics</v>
      </c>
      <c r="AK152" s="497">
        <f t="shared" si="82"/>
        <v>4</v>
      </c>
      <c r="AL152" s="497">
        <f t="shared" si="82"/>
        <v>4</v>
      </c>
      <c r="AM152" s="497">
        <f t="shared" si="82"/>
        <v>7</v>
      </c>
      <c r="AN152" s="497">
        <f t="shared" si="82"/>
        <v>7</v>
      </c>
      <c r="AO152" s="497">
        <f t="shared" si="82"/>
        <v>7</v>
      </c>
      <c r="AP152" s="497">
        <f t="shared" si="82"/>
        <v>7</v>
      </c>
      <c r="AQ152" s="497">
        <f t="shared" si="82"/>
        <v>9</v>
      </c>
      <c r="AR152" s="497">
        <f t="shared" si="82"/>
        <v>7</v>
      </c>
      <c r="AS152" s="497">
        <f t="shared" si="82"/>
        <v>8</v>
      </c>
      <c r="AT152" s="497"/>
      <c r="AU152" s="497"/>
      <c r="AV152" s="497"/>
      <c r="AW152" s="497"/>
      <c r="AX152" s="497" t="str">
        <f t="shared" si="76"/>
        <v>Measurement</v>
      </c>
      <c r="AY152" s="497">
        <f t="shared" si="83"/>
        <v>6</v>
      </c>
      <c r="AZ152" s="497">
        <f t="shared" si="83"/>
        <v>6</v>
      </c>
      <c r="BA152" s="511">
        <f t="shared" si="83"/>
        <v>6</v>
      </c>
      <c r="BB152" s="511">
        <f t="shared" si="83"/>
        <v>6</v>
      </c>
      <c r="BC152" s="511">
        <f t="shared" si="83"/>
        <v>6</v>
      </c>
      <c r="BD152" s="511">
        <f t="shared" si="83"/>
        <v>9</v>
      </c>
      <c r="BE152" s="511">
        <f t="shared" si="83"/>
        <v>10</v>
      </c>
      <c r="BF152" s="511">
        <f t="shared" si="83"/>
        <v>7</v>
      </c>
      <c r="BG152" s="511">
        <f t="shared" si="83"/>
        <v>7</v>
      </c>
      <c r="BH152" s="511"/>
      <c r="BI152" s="511"/>
      <c r="BJ152" s="511"/>
      <c r="BK152" s="511"/>
      <c r="BL152" s="497" t="str">
        <f t="shared" si="78"/>
        <v>Other special machines</v>
      </c>
      <c r="BM152" s="497">
        <f>IF(VLOOKUP($BL152,$BL$98:$BU$132,BM$148,FALSE)=0,$BW$134,VLOOKUP($BL152,BL$98:$BU$132,BM$148,FALSE))</f>
        <v>9</v>
      </c>
      <c r="BN152" s="497">
        <f>IF(VLOOKUP($BL152,$BL$98:$BT$132,BN$148,FALSE)=0,$BW$134,VLOOKUP($BL152,BL$98:$BT$132,BN$148,FALSE))</f>
        <v>9</v>
      </c>
      <c r="BO152" s="497">
        <f>IF(VLOOKUP($BL152,$BL$98:$BT$132,BO$148,FALSE)=0,$BW$134,VLOOKUP($BL152,BL$98:$BT$132,BO$148,FALSE))</f>
        <v>11</v>
      </c>
      <c r="BP152" s="497">
        <f>IF(VLOOKUP($BL152,$BL$98:$BT$132,BP$148,FALSE)=0,$BW$134,VLOOKUP($BL152,BL$98:$BT$132,BP$148,FALSE))</f>
        <v>11</v>
      </c>
      <c r="BQ152" s="497">
        <f>IF(VLOOKUP($BL152,$BL$98:$BT$132,BQ$148,FALSE)=0,$BW$134,VLOOKUP($BL152,BL$98:$BT$132,BQ$148,FALSE))</f>
        <v>10</v>
      </c>
      <c r="BR152" s="497">
        <f>IF(VLOOKUP($BL152,$BL$98:$BT$132,BR$148,FALSE)=0,$BW$134,VLOOKUP($BL152,BL$98:$BT$132,BR$148,FALSE))</f>
        <v>7</v>
      </c>
      <c r="BS152" s="497">
        <f>IF(VLOOKUP($BL152,$BL$98:$BT$132,BS$148,FALSE)=0,$BW$134,VLOOKUP($BL152,BL$98:$BT$132,BS$148,FALSE))</f>
        <v>9</v>
      </c>
      <c r="BT152" s="497">
        <f t="shared" si="84"/>
        <v>9</v>
      </c>
      <c r="BU152" s="497">
        <f t="shared" si="85"/>
        <v>11</v>
      </c>
      <c r="BV152" s="497"/>
      <c r="BW152" s="497"/>
      <c r="BX152" s="497"/>
      <c r="BY152" s="497"/>
      <c r="BZ152" s="497" t="str">
        <f t="shared" si="79"/>
        <v>Transport</v>
      </c>
      <c r="CA152" s="497">
        <f t="shared" si="86"/>
        <v>8</v>
      </c>
      <c r="CB152" s="497">
        <f t="shared" si="86"/>
        <v>8</v>
      </c>
      <c r="CC152" s="497">
        <f t="shared" si="86"/>
        <v>8</v>
      </c>
      <c r="CD152" s="497">
        <f t="shared" si="86"/>
        <v>8</v>
      </c>
      <c r="CE152" s="497">
        <f t="shared" si="86"/>
        <v>8</v>
      </c>
      <c r="CF152" s="497">
        <f t="shared" si="86"/>
        <v>8</v>
      </c>
      <c r="CG152" s="497">
        <f t="shared" si="87"/>
        <v>7</v>
      </c>
      <c r="CH152" s="497">
        <f t="shared" si="88"/>
        <v>6</v>
      </c>
      <c r="CI152" s="497">
        <f t="shared" si="88"/>
        <v>6</v>
      </c>
      <c r="CJ152" s="497"/>
      <c r="CK152" s="497"/>
      <c r="CL152" s="497"/>
      <c r="CM152" s="1347"/>
      <c r="CN152" s="1347"/>
      <c r="CO152" s="1347"/>
      <c r="CP152" s="1347"/>
      <c r="CQ152" s="516"/>
    </row>
    <row r="153" spans="21:112" s="474" customFormat="1">
      <c r="U153" s="510">
        <f t="shared" si="7"/>
        <v>4</v>
      </c>
      <c r="V153" s="497" t="str">
        <f t="shared" si="72"/>
        <v>Measurement</v>
      </c>
      <c r="W153" s="497">
        <f t="shared" si="81"/>
        <v>5</v>
      </c>
      <c r="X153" s="497">
        <f t="shared" si="81"/>
        <v>5</v>
      </c>
      <c r="Y153" s="497">
        <f t="shared" si="81"/>
        <v>6</v>
      </c>
      <c r="Z153" s="497">
        <f t="shared" si="81"/>
        <v>6</v>
      </c>
      <c r="AA153" s="497">
        <f t="shared" si="81"/>
        <v>6</v>
      </c>
      <c r="AB153" s="497">
        <f t="shared" si="73"/>
        <v>6</v>
      </c>
      <c r="AC153" s="497">
        <f t="shared" si="73"/>
        <v>6</v>
      </c>
      <c r="AD153" s="497">
        <f t="shared" si="73"/>
        <v>5</v>
      </c>
      <c r="AE153" s="497">
        <f t="shared" si="73"/>
        <v>4</v>
      </c>
      <c r="AF153" s="497"/>
      <c r="AG153" s="497"/>
      <c r="AH153" s="497"/>
      <c r="AI153" s="497"/>
      <c r="AJ153" s="497" t="str">
        <f t="shared" si="74"/>
        <v>Audio-visual technology</v>
      </c>
      <c r="AK153" s="497">
        <f t="shared" si="82"/>
        <v>9</v>
      </c>
      <c r="AL153" s="497">
        <f t="shared" si="82"/>
        <v>9</v>
      </c>
      <c r="AM153" s="497">
        <f t="shared" si="82"/>
        <v>9</v>
      </c>
      <c r="AN153" s="497">
        <f t="shared" si="82"/>
        <v>8</v>
      </c>
      <c r="AO153" s="497">
        <f t="shared" si="82"/>
        <v>9</v>
      </c>
      <c r="AP153" s="497">
        <f t="shared" si="82"/>
        <v>11</v>
      </c>
      <c r="AQ153" s="497">
        <f t="shared" si="82"/>
        <v>2</v>
      </c>
      <c r="AR153" s="497">
        <f t="shared" si="82"/>
        <v>11</v>
      </c>
      <c r="AS153" s="497">
        <f t="shared" si="82"/>
        <v>11</v>
      </c>
      <c r="AT153" s="497"/>
      <c r="AU153" s="497"/>
      <c r="AV153" s="497"/>
      <c r="AW153" s="497"/>
      <c r="AX153" s="497" t="str">
        <f t="shared" si="76"/>
        <v>Medical technology</v>
      </c>
      <c r="AY153" s="497">
        <f t="shared" si="83"/>
        <v>8</v>
      </c>
      <c r="AZ153" s="497">
        <f t="shared" si="83"/>
        <v>8</v>
      </c>
      <c r="BA153" s="511">
        <f t="shared" si="83"/>
        <v>9</v>
      </c>
      <c r="BB153" s="511">
        <f t="shared" si="83"/>
        <v>9</v>
      </c>
      <c r="BC153" s="511">
        <f t="shared" si="83"/>
        <v>8</v>
      </c>
      <c r="BD153" s="511">
        <f t="shared" si="83"/>
        <v>4</v>
      </c>
      <c r="BE153" s="511">
        <f t="shared" si="83"/>
        <v>4</v>
      </c>
      <c r="BF153" s="511">
        <f t="shared" si="83"/>
        <v>4</v>
      </c>
      <c r="BG153" s="511">
        <f t="shared" si="83"/>
        <v>6</v>
      </c>
      <c r="BH153" s="511"/>
      <c r="BI153" s="511"/>
      <c r="BJ153" s="511"/>
      <c r="BK153" s="511"/>
      <c r="BL153" s="497" t="str">
        <f t="shared" si="78"/>
        <v>Civil engineering</v>
      </c>
      <c r="BM153" s="497">
        <f>IF(VLOOKUP($BL153,$BL$98:$BU$132,BM$148,FALSE)=0,$BW$134,VLOOKUP($BL153,BL$98:$BU$132,BM$148,FALSE))</f>
        <v>6</v>
      </c>
      <c r="BN153" s="497">
        <f>IF(VLOOKUP($BL153,$BL$98:$BT$132,BN$148,FALSE)=0,$BW$134,VLOOKUP($BL153,BL$98:$BT$132,BN$148,FALSE))</f>
        <v>6</v>
      </c>
      <c r="BO153" s="497">
        <f>IF(VLOOKUP($BL153,$BL$98:$BT$132,BO$148,FALSE)=0,$BW$134,VLOOKUP($BL153,BL$98:$BT$132,BO$148,FALSE))</f>
        <v>6</v>
      </c>
      <c r="BP153" s="497">
        <f>IF(VLOOKUP($BL153,$BL$98:$BT$132,BP$148,FALSE)=0,$BW$134,VLOOKUP($BL153,BL$98:$BT$132,BP$148,FALSE))</f>
        <v>6</v>
      </c>
      <c r="BQ153" s="497">
        <f>IF(VLOOKUP($BL153,$BL$98:$BT$132,BQ$148,FALSE)=0,$BW$134,VLOOKUP($BL153,BL$98:$BT$132,BQ$148,FALSE))</f>
        <v>6</v>
      </c>
      <c r="BR153" s="497">
        <f>IF(VLOOKUP($BL153,$BL$98:$BT$132,BR$148,FALSE)=0,$BW$134,VLOOKUP($BL153,BL$98:$BT$132,BR$148,FALSE))</f>
        <v>6</v>
      </c>
      <c r="BS153" s="497">
        <f>IF(VLOOKUP($BL153,$BL$98:$BT$132,BS$148,FALSE)=0,$BW$134,VLOOKUP($BL153,BL$98:$BT$132,BS$148,FALSE))</f>
        <v>10</v>
      </c>
      <c r="BT153" s="497">
        <f t="shared" si="84"/>
        <v>7</v>
      </c>
      <c r="BU153" s="497">
        <f t="shared" si="85"/>
        <v>6</v>
      </c>
      <c r="BV153" s="497"/>
      <c r="BW153" s="497"/>
      <c r="BX153" s="497"/>
      <c r="BY153" s="497"/>
      <c r="BZ153" s="497" t="str">
        <f t="shared" si="79"/>
        <v>Measurement</v>
      </c>
      <c r="CA153" s="497">
        <f t="shared" si="86"/>
        <v>7</v>
      </c>
      <c r="CB153" s="497">
        <f t="shared" si="86"/>
        <v>7</v>
      </c>
      <c r="CC153" s="497">
        <f t="shared" si="86"/>
        <v>7</v>
      </c>
      <c r="CD153" s="497">
        <f t="shared" si="86"/>
        <v>7</v>
      </c>
      <c r="CE153" s="497">
        <f t="shared" si="86"/>
        <v>7</v>
      </c>
      <c r="CF153" s="497">
        <f t="shared" si="86"/>
        <v>7</v>
      </c>
      <c r="CG153" s="497">
        <f t="shared" si="87"/>
        <v>8</v>
      </c>
      <c r="CH153" s="497">
        <f t="shared" si="88"/>
        <v>8</v>
      </c>
      <c r="CI153" s="497">
        <f t="shared" si="88"/>
        <v>8</v>
      </c>
      <c r="CJ153" s="497"/>
      <c r="CK153" s="497"/>
      <c r="CL153" s="497"/>
      <c r="CM153" s="1347"/>
      <c r="CN153" s="1347"/>
      <c r="CO153" s="1347"/>
      <c r="CP153" s="1347"/>
      <c r="CQ153" s="516"/>
    </row>
    <row r="154" spans="21:112" s="474" customFormat="1">
      <c r="U154" s="510">
        <f t="shared" si="7"/>
        <v>5</v>
      </c>
      <c r="V154" s="497" t="str">
        <f t="shared" si="72"/>
        <v>Computer technology</v>
      </c>
      <c r="W154" s="497">
        <f t="shared" si="81"/>
        <v>6</v>
      </c>
      <c r="X154" s="497">
        <f t="shared" si="81"/>
        <v>6</v>
      </c>
      <c r="Y154" s="497">
        <f t="shared" si="81"/>
        <v>5</v>
      </c>
      <c r="Z154" s="497">
        <f t="shared" si="81"/>
        <v>5</v>
      </c>
      <c r="AA154" s="497">
        <f t="shared" si="81"/>
        <v>5</v>
      </c>
      <c r="AB154" s="497">
        <f t="shared" si="73"/>
        <v>5</v>
      </c>
      <c r="AC154" s="497">
        <f t="shared" si="73"/>
        <v>5</v>
      </c>
      <c r="AD154" s="497">
        <f t="shared" si="73"/>
        <v>3</v>
      </c>
      <c r="AE154" s="497">
        <f t="shared" si="73"/>
        <v>3</v>
      </c>
      <c r="AF154" s="497"/>
      <c r="AG154" s="497"/>
      <c r="AH154" s="497"/>
      <c r="AI154" s="497"/>
      <c r="AJ154" s="497" t="str">
        <f t="shared" si="74"/>
        <v>Transport</v>
      </c>
      <c r="AK154" s="497">
        <f t="shared" si="82"/>
        <v>5</v>
      </c>
      <c r="AL154" s="497">
        <f t="shared" si="82"/>
        <v>5</v>
      </c>
      <c r="AM154" s="497">
        <f t="shared" si="82"/>
        <v>5</v>
      </c>
      <c r="AN154" s="497">
        <f t="shared" si="82"/>
        <v>4</v>
      </c>
      <c r="AO154" s="497">
        <f t="shared" si="82"/>
        <v>6</v>
      </c>
      <c r="AP154" s="497">
        <f t="shared" si="82"/>
        <v>6</v>
      </c>
      <c r="AQ154" s="497">
        <f t="shared" si="82"/>
        <v>8</v>
      </c>
      <c r="AR154" s="497">
        <f t="shared" si="82"/>
        <v>6</v>
      </c>
      <c r="AS154" s="497">
        <f t="shared" si="82"/>
        <v>6</v>
      </c>
      <c r="AT154" s="497"/>
      <c r="AU154" s="497"/>
      <c r="AV154" s="497"/>
      <c r="AW154" s="497"/>
      <c r="AX154" s="497" t="str">
        <f t="shared" si="76"/>
        <v>Other special machines</v>
      </c>
      <c r="AY154" s="497">
        <f t="shared" si="83"/>
        <v>10</v>
      </c>
      <c r="AZ154" s="497">
        <f t="shared" si="83"/>
        <v>10</v>
      </c>
      <c r="BA154" s="511">
        <f t="shared" si="83"/>
        <v>7</v>
      </c>
      <c r="BB154" s="511">
        <f t="shared" si="83"/>
        <v>8</v>
      </c>
      <c r="BC154" s="511">
        <f t="shared" si="83"/>
        <v>9</v>
      </c>
      <c r="BD154" s="511">
        <f t="shared" si="83"/>
        <v>10</v>
      </c>
      <c r="BE154" s="511">
        <f t="shared" si="83"/>
        <v>11</v>
      </c>
      <c r="BF154" s="511">
        <f t="shared" si="83"/>
        <v>11</v>
      </c>
      <c r="BG154" s="511">
        <f t="shared" si="83"/>
        <v>11</v>
      </c>
      <c r="BH154" s="511"/>
      <c r="BI154" s="511"/>
      <c r="BJ154" s="511"/>
      <c r="BK154" s="511"/>
      <c r="BL154" s="497" t="str">
        <f t="shared" si="78"/>
        <v>Chemical engineering</v>
      </c>
      <c r="BM154" s="497">
        <f>IF(VLOOKUP($BL154,$BL$98:$BU$132,BM$148,FALSE)=0,$BW$134,VLOOKUP($BL154,BL$98:$BU$132,BM$148,FALSE))</f>
        <v>11</v>
      </c>
      <c r="BN154" s="497">
        <f>IF(VLOOKUP($BL154,$BL$98:$BT$132,BN$148,FALSE)=0,$BW$134,VLOOKUP($BL154,BL$98:$BT$132,BN$148,FALSE))</f>
        <v>11</v>
      </c>
      <c r="BO154" s="497">
        <f>IF(VLOOKUP($BL154,$BL$98:$BT$132,BO$148,FALSE)=0,$BW$134,VLOOKUP($BL154,BL$98:$BT$132,BO$148,FALSE))</f>
        <v>9</v>
      </c>
      <c r="BP154" s="497">
        <f>IF(VLOOKUP($BL154,$BL$98:$BT$132,BP$148,FALSE)=0,$BW$134,VLOOKUP($BL154,BL$98:$BT$132,BP$148,FALSE))</f>
        <v>10</v>
      </c>
      <c r="BQ154" s="497">
        <f>IF(VLOOKUP($BL154,$BL$98:$BT$132,BQ$148,FALSE)=0,$BW$134,VLOOKUP($BL154,BL$98:$BT$132,BQ$148,FALSE))</f>
        <v>8</v>
      </c>
      <c r="BR154" s="497">
        <f>IF(VLOOKUP($BL154,$BL$98:$BT$132,BR$148,FALSE)=0,$BW$134,VLOOKUP($BL154,BL$98:$BT$132,BR$148,FALSE))</f>
        <v>8</v>
      </c>
      <c r="BS154" s="497">
        <f>IF(VLOOKUP($BL154,$BL$98:$BT$132,BS$148,FALSE)=0,$BW$134,VLOOKUP($BL154,BL$98:$BT$132,BS$148,FALSE))</f>
        <v>6</v>
      </c>
      <c r="BT154" s="497">
        <f t="shared" si="84"/>
        <v>6</v>
      </c>
      <c r="BU154" s="497">
        <f t="shared" si="85"/>
        <v>8</v>
      </c>
      <c r="BV154" s="497"/>
      <c r="BW154" s="497"/>
      <c r="BX154" s="497"/>
      <c r="BY154" s="497"/>
      <c r="BZ154" s="497" t="str">
        <f t="shared" si="79"/>
        <v>Audio-visual technology</v>
      </c>
      <c r="CA154" s="497">
        <f t="shared" si="86"/>
        <v>6</v>
      </c>
      <c r="CB154" s="497">
        <f t="shared" si="86"/>
        <v>6</v>
      </c>
      <c r="CC154" s="497">
        <f t="shared" si="86"/>
        <v>6</v>
      </c>
      <c r="CD154" s="497">
        <f t="shared" si="86"/>
        <v>6</v>
      </c>
      <c r="CE154" s="497">
        <f t="shared" si="86"/>
        <v>6</v>
      </c>
      <c r="CF154" s="497">
        <f t="shared" si="86"/>
        <v>6</v>
      </c>
      <c r="CG154" s="497">
        <f t="shared" si="87"/>
        <v>6</v>
      </c>
      <c r="CH154" s="497">
        <f t="shared" si="88"/>
        <v>7</v>
      </c>
      <c r="CI154" s="497">
        <f t="shared" si="88"/>
        <v>7</v>
      </c>
      <c r="CJ154" s="497"/>
      <c r="CK154" s="497"/>
      <c r="CL154" s="497"/>
      <c r="CM154" s="1347"/>
      <c r="CN154" s="1347"/>
      <c r="CO154" s="1347"/>
      <c r="CP154" s="1347"/>
      <c r="CQ154" s="516"/>
    </row>
    <row r="155" spans="21:112" s="474" customFormat="1">
      <c r="U155" s="510">
        <f t="shared" si="7"/>
        <v>6</v>
      </c>
      <c r="V155" s="497" t="str">
        <f t="shared" si="72"/>
        <v>Organic fine chemistry</v>
      </c>
      <c r="W155" s="497">
        <f t="shared" si="81"/>
        <v>8</v>
      </c>
      <c r="X155" s="497">
        <f t="shared" si="81"/>
        <v>8</v>
      </c>
      <c r="Y155" s="497">
        <f t="shared" si="81"/>
        <v>9</v>
      </c>
      <c r="Z155" s="497">
        <f t="shared" si="81"/>
        <v>11</v>
      </c>
      <c r="AA155" s="497">
        <f t="shared" si="81"/>
        <v>11</v>
      </c>
      <c r="AB155" s="497">
        <f t="shared" si="73"/>
        <v>9</v>
      </c>
      <c r="AC155" s="497">
        <f t="shared" si="73"/>
        <v>11</v>
      </c>
      <c r="AD155" s="497">
        <f t="shared" si="73"/>
        <v>11</v>
      </c>
      <c r="AE155" s="497">
        <f t="shared" si="73"/>
        <v>11</v>
      </c>
      <c r="AF155" s="497"/>
      <c r="AG155" s="497"/>
      <c r="AH155" s="497"/>
      <c r="AI155" s="497"/>
      <c r="AJ155" s="497" t="str">
        <f t="shared" si="74"/>
        <v>Measurement</v>
      </c>
      <c r="AK155" s="497">
        <f t="shared" si="82"/>
        <v>7</v>
      </c>
      <c r="AL155" s="497">
        <f t="shared" si="82"/>
        <v>7</v>
      </c>
      <c r="AM155" s="497">
        <f t="shared" si="82"/>
        <v>4</v>
      </c>
      <c r="AN155" s="497">
        <f t="shared" si="82"/>
        <v>5</v>
      </c>
      <c r="AO155" s="497">
        <f t="shared" si="82"/>
        <v>4</v>
      </c>
      <c r="AP155" s="497">
        <f t="shared" si="82"/>
        <v>5</v>
      </c>
      <c r="AQ155" s="497">
        <f t="shared" si="82"/>
        <v>7</v>
      </c>
      <c r="AR155" s="497">
        <f t="shared" si="82"/>
        <v>5</v>
      </c>
      <c r="AS155" s="497">
        <f t="shared" si="82"/>
        <v>5</v>
      </c>
      <c r="AT155" s="497"/>
      <c r="AU155" s="497"/>
      <c r="AV155" s="497"/>
      <c r="AW155" s="497"/>
      <c r="AX155" s="497" t="str">
        <f t="shared" si="76"/>
        <v>Civil engineering</v>
      </c>
      <c r="AY155" s="497">
        <f t="shared" si="83"/>
        <v>4</v>
      </c>
      <c r="AZ155" s="497">
        <f t="shared" si="83"/>
        <v>4</v>
      </c>
      <c r="BA155" s="511">
        <f t="shared" si="83"/>
        <v>5</v>
      </c>
      <c r="BB155" s="511">
        <f t="shared" si="83"/>
        <v>5</v>
      </c>
      <c r="BC155" s="511">
        <f t="shared" si="83"/>
        <v>4</v>
      </c>
      <c r="BD155" s="511">
        <f t="shared" si="83"/>
        <v>5</v>
      </c>
      <c r="BE155" s="511">
        <f t="shared" si="83"/>
        <v>8</v>
      </c>
      <c r="BF155" s="511">
        <f t="shared" si="83"/>
        <v>8</v>
      </c>
      <c r="BG155" s="511">
        <f t="shared" si="83"/>
        <v>8</v>
      </c>
      <c r="BH155" s="511"/>
      <c r="BI155" s="511"/>
      <c r="BJ155" s="511"/>
      <c r="BK155" s="511"/>
      <c r="BL155" s="497" t="str">
        <f t="shared" si="78"/>
        <v>Handling</v>
      </c>
      <c r="BM155" s="497">
        <f>IF(VLOOKUP($BL155,$BL$98:$BU$132,BM$148,FALSE)=0,$BW$134,VLOOKUP($BL155,BL$98:$BU$132,BM$148,FALSE))</f>
        <v>10</v>
      </c>
      <c r="BN155" s="497">
        <f>IF(VLOOKUP($BL155,$BL$98:$BT$132,BN$148,FALSE)=0,$BW$134,VLOOKUP($BL155,BL$98:$BT$132,BN$148,FALSE))</f>
        <v>10</v>
      </c>
      <c r="BO155" s="497">
        <f>IF(VLOOKUP($BL155,$BL$98:$BT$132,BO$148,FALSE)=0,$BW$134,VLOOKUP($BL155,BL$98:$BT$132,BO$148,FALSE))</f>
        <v>10</v>
      </c>
      <c r="BP155" s="497">
        <f>IF(VLOOKUP($BL155,$BL$98:$BT$132,BP$148,FALSE)=0,$BW$134,VLOOKUP($BL155,BL$98:$BT$132,BP$148,FALSE))</f>
        <v>11</v>
      </c>
      <c r="BQ155" s="497">
        <f>IF(VLOOKUP($BL155,$BL$98:$BT$132,BQ$148,FALSE)=0,$BW$134,VLOOKUP($BL155,BL$98:$BT$132,BQ$148,FALSE))</f>
        <v>11</v>
      </c>
      <c r="BR155" s="497">
        <f>IF(VLOOKUP($BL155,$BL$98:$BT$132,BR$148,FALSE)=0,$BW$134,VLOOKUP($BL155,BL$98:$BT$132,BR$148,FALSE))</f>
        <v>11</v>
      </c>
      <c r="BS155" s="497">
        <f>IF(VLOOKUP($BL155,$BL$98:$BT$132,BS$148,FALSE)=0,$BW$134,VLOOKUP($BL155,BL$98:$BT$132,BS$148,FALSE))</f>
        <v>11</v>
      </c>
      <c r="BT155" s="497">
        <f t="shared" si="84"/>
        <v>10</v>
      </c>
      <c r="BU155" s="497">
        <f t="shared" si="85"/>
        <v>7</v>
      </c>
      <c r="BV155" s="497"/>
      <c r="BW155" s="497"/>
      <c r="BX155" s="497"/>
      <c r="BY155" s="497"/>
      <c r="BZ155" s="497" t="str">
        <f t="shared" si="79"/>
        <v>Semiconductors</v>
      </c>
      <c r="CA155" s="497">
        <f t="shared" si="86"/>
        <v>4</v>
      </c>
      <c r="CB155" s="497">
        <f t="shared" si="86"/>
        <v>4</v>
      </c>
      <c r="CC155" s="497">
        <f t="shared" si="86"/>
        <v>4</v>
      </c>
      <c r="CD155" s="497">
        <f t="shared" si="86"/>
        <v>5</v>
      </c>
      <c r="CE155" s="497">
        <f t="shared" si="86"/>
        <v>5</v>
      </c>
      <c r="CF155" s="497">
        <f t="shared" si="86"/>
        <v>5</v>
      </c>
      <c r="CG155" s="497">
        <f t="shared" si="87"/>
        <v>5</v>
      </c>
      <c r="CH155" s="497">
        <f t="shared" si="88"/>
        <v>5</v>
      </c>
      <c r="CI155" s="497">
        <f t="shared" si="88"/>
        <v>5</v>
      </c>
      <c r="CJ155" s="497"/>
      <c r="CK155" s="497"/>
      <c r="CL155" s="497"/>
      <c r="CM155" s="1347"/>
      <c r="CN155" s="1347"/>
      <c r="CO155" s="1347"/>
      <c r="CP155" s="1347"/>
      <c r="CQ155" s="516"/>
    </row>
    <row r="156" spans="21:112" s="474" customFormat="1">
      <c r="U156" s="510">
        <f t="shared" si="7"/>
        <v>7</v>
      </c>
      <c r="V156" s="497" t="str">
        <f t="shared" si="72"/>
        <v>Transport</v>
      </c>
      <c r="W156" s="497">
        <f t="shared" si="81"/>
        <v>4</v>
      </c>
      <c r="X156" s="497">
        <f t="shared" si="81"/>
        <v>4</v>
      </c>
      <c r="Y156" s="497">
        <f t="shared" si="81"/>
        <v>4</v>
      </c>
      <c r="Z156" s="497">
        <f t="shared" si="81"/>
        <v>4</v>
      </c>
      <c r="AA156" s="497">
        <f t="shared" si="81"/>
        <v>4</v>
      </c>
      <c r="AB156" s="497">
        <f t="shared" si="73"/>
        <v>3</v>
      </c>
      <c r="AC156" s="497">
        <f t="shared" si="73"/>
        <v>3</v>
      </c>
      <c r="AD156" s="497">
        <f t="shared" si="73"/>
        <v>4</v>
      </c>
      <c r="AE156" s="497">
        <f t="shared" si="73"/>
        <v>5</v>
      </c>
      <c r="AF156" s="497"/>
      <c r="AG156" s="497"/>
      <c r="AH156" s="497"/>
      <c r="AI156" s="497"/>
      <c r="AJ156" s="497" t="str">
        <f t="shared" si="74"/>
        <v>Medical technology</v>
      </c>
      <c r="AK156" s="497">
        <f t="shared" si="82"/>
        <v>6</v>
      </c>
      <c r="AL156" s="497">
        <f t="shared" si="82"/>
        <v>6</v>
      </c>
      <c r="AM156" s="497">
        <f t="shared" si="82"/>
        <v>6</v>
      </c>
      <c r="AN156" s="497">
        <f t="shared" si="82"/>
        <v>6</v>
      </c>
      <c r="AO156" s="497">
        <f t="shared" si="82"/>
        <v>5</v>
      </c>
      <c r="AP156" s="497">
        <f t="shared" si="82"/>
        <v>4</v>
      </c>
      <c r="AQ156" s="497">
        <f t="shared" si="82"/>
        <v>6</v>
      </c>
      <c r="AR156" s="497">
        <f t="shared" si="82"/>
        <v>4</v>
      </c>
      <c r="AS156" s="497">
        <f t="shared" si="82"/>
        <v>4</v>
      </c>
      <c r="AT156" s="497"/>
      <c r="AU156" s="497"/>
      <c r="AV156" s="497"/>
      <c r="AW156" s="497"/>
      <c r="AX156" s="497" t="str">
        <f t="shared" si="76"/>
        <v>Transport</v>
      </c>
      <c r="AY156" s="497">
        <f t="shared" si="83"/>
        <v>2</v>
      </c>
      <c r="AZ156" s="497">
        <f t="shared" si="83"/>
        <v>2</v>
      </c>
      <c r="BA156" s="511">
        <f t="shared" si="83"/>
        <v>4</v>
      </c>
      <c r="BB156" s="511">
        <f t="shared" si="83"/>
        <v>4</v>
      </c>
      <c r="BC156" s="511">
        <f t="shared" si="83"/>
        <v>5</v>
      </c>
      <c r="BD156" s="511">
        <f t="shared" si="83"/>
        <v>6</v>
      </c>
      <c r="BE156" s="511">
        <f t="shared" si="83"/>
        <v>5</v>
      </c>
      <c r="BF156" s="511">
        <f t="shared" si="83"/>
        <v>5</v>
      </c>
      <c r="BG156" s="511">
        <f t="shared" si="83"/>
        <v>4</v>
      </c>
      <c r="BH156" s="511"/>
      <c r="BI156" s="511"/>
      <c r="BJ156" s="511"/>
      <c r="BK156" s="511"/>
      <c r="BL156" s="497" t="str">
        <f t="shared" si="78"/>
        <v>Machine tools</v>
      </c>
      <c r="BM156" s="497">
        <f>IF(VLOOKUP($BL156,$BL$98:$BU$132,BM$148,FALSE)=0,$BW$134,VLOOKUP($BL156,BL$98:$BU$132,BM$148,FALSE))</f>
        <v>4</v>
      </c>
      <c r="BN156" s="497">
        <f>IF(VLOOKUP($BL156,$BL$98:$BT$132,BN$148,FALSE)=0,$BW$134,VLOOKUP($BL156,BL$98:$BT$132,BN$148,FALSE))</f>
        <v>4</v>
      </c>
      <c r="BO156" s="497">
        <f>IF(VLOOKUP($BL156,$BL$98:$BT$132,BO$148,FALSE)=0,$BW$134,VLOOKUP($BL156,BL$98:$BT$132,BO$148,FALSE))</f>
        <v>5</v>
      </c>
      <c r="BP156" s="497">
        <f>IF(VLOOKUP($BL156,$BL$98:$BT$132,BP$148,FALSE)=0,$BW$134,VLOOKUP($BL156,BL$98:$BT$132,BP$148,FALSE))</f>
        <v>5</v>
      </c>
      <c r="BQ156" s="497">
        <f>IF(VLOOKUP($BL156,$BL$98:$BT$132,BQ$148,FALSE)=0,$BW$134,VLOOKUP($BL156,BL$98:$BT$132,BQ$148,FALSE))</f>
        <v>5</v>
      </c>
      <c r="BR156" s="497">
        <f>IF(VLOOKUP($BL156,$BL$98:$BT$132,BR$148,FALSE)=0,$BW$134,VLOOKUP($BL156,BL$98:$BT$132,BR$148,FALSE))</f>
        <v>5</v>
      </c>
      <c r="BS156" s="497">
        <f>IF(VLOOKUP($BL156,$BL$98:$BT$132,BS$148,FALSE)=0,$BW$134,VLOOKUP($BL156,BL$98:$BT$132,BS$148,FALSE))</f>
        <v>5</v>
      </c>
      <c r="BT156" s="497">
        <f t="shared" si="84"/>
        <v>5</v>
      </c>
      <c r="BU156" s="497">
        <f t="shared" si="85"/>
        <v>5</v>
      </c>
      <c r="BV156" s="497"/>
      <c r="BW156" s="497"/>
      <c r="BX156" s="497"/>
      <c r="BY156" s="497"/>
      <c r="BZ156" s="497" t="str">
        <f t="shared" si="79"/>
        <v>Medical technology</v>
      </c>
      <c r="CA156" s="497">
        <f t="shared" si="86"/>
        <v>5</v>
      </c>
      <c r="CB156" s="497">
        <f t="shared" si="86"/>
        <v>5</v>
      </c>
      <c r="CC156" s="497">
        <f t="shared" si="86"/>
        <v>5</v>
      </c>
      <c r="CD156" s="497">
        <f t="shared" si="86"/>
        <v>4</v>
      </c>
      <c r="CE156" s="497">
        <f t="shared" si="86"/>
        <v>4</v>
      </c>
      <c r="CF156" s="497">
        <f t="shared" si="86"/>
        <v>3</v>
      </c>
      <c r="CG156" s="497">
        <f t="shared" si="87"/>
        <v>3</v>
      </c>
      <c r="CH156" s="497">
        <f t="shared" si="88"/>
        <v>3</v>
      </c>
      <c r="CI156" s="497">
        <f t="shared" si="88"/>
        <v>3</v>
      </c>
      <c r="CJ156" s="497"/>
      <c r="CK156" s="497"/>
      <c r="CL156" s="497"/>
      <c r="CM156" s="1347"/>
      <c r="CN156" s="1347"/>
      <c r="CO156" s="1347"/>
      <c r="CP156" s="1347"/>
      <c r="CQ156" s="516"/>
    </row>
    <row r="157" spans="21:112" s="474" customFormat="1">
      <c r="U157" s="510">
        <f t="shared" si="7"/>
        <v>8</v>
      </c>
      <c r="V157" s="497" t="str">
        <f t="shared" si="72"/>
        <v>Electrical machinery, apparatus, energy</v>
      </c>
      <c r="W157" s="497">
        <f t="shared" si="81"/>
        <v>2</v>
      </c>
      <c r="X157" s="497">
        <f t="shared" si="81"/>
        <v>2</v>
      </c>
      <c r="Y157" s="497">
        <f t="shared" si="81"/>
        <v>3</v>
      </c>
      <c r="Z157" s="497">
        <f t="shared" si="81"/>
        <v>3</v>
      </c>
      <c r="AA157" s="497">
        <f t="shared" si="81"/>
        <v>3</v>
      </c>
      <c r="AB157" s="497">
        <f t="shared" si="73"/>
        <v>4</v>
      </c>
      <c r="AC157" s="497">
        <f t="shared" si="73"/>
        <v>4</v>
      </c>
      <c r="AD157" s="497">
        <f t="shared" si="73"/>
        <v>6</v>
      </c>
      <c r="AE157" s="497">
        <f t="shared" si="73"/>
        <v>6</v>
      </c>
      <c r="AF157" s="497"/>
      <c r="AG157" s="497"/>
      <c r="AH157" s="497"/>
      <c r="AI157" s="497"/>
      <c r="AJ157" s="497" t="str">
        <f t="shared" si="74"/>
        <v>Handling</v>
      </c>
      <c r="AK157" s="497">
        <f t="shared" si="82"/>
        <v>11</v>
      </c>
      <c r="AL157" s="497">
        <f t="shared" si="82"/>
        <v>11</v>
      </c>
      <c r="AM157" s="497">
        <f t="shared" si="82"/>
        <v>11</v>
      </c>
      <c r="AN157" s="497">
        <f t="shared" si="82"/>
        <v>11</v>
      </c>
      <c r="AO157" s="497">
        <f t="shared" si="82"/>
        <v>10</v>
      </c>
      <c r="AP157" s="497">
        <f t="shared" si="82"/>
        <v>9</v>
      </c>
      <c r="AQ157" s="497">
        <f t="shared" si="82"/>
        <v>11</v>
      </c>
      <c r="AR157" s="497">
        <f t="shared" si="82"/>
        <v>9</v>
      </c>
      <c r="AS157" s="497">
        <f t="shared" si="82"/>
        <v>11</v>
      </c>
      <c r="AT157" s="497"/>
      <c r="AU157" s="497"/>
      <c r="AV157" s="497"/>
      <c r="AW157" s="497"/>
      <c r="AX157" s="497" t="str">
        <f t="shared" si="76"/>
        <v>Semiconductors</v>
      </c>
      <c r="AY157" s="497">
        <f t="shared" si="83"/>
        <v>5</v>
      </c>
      <c r="AZ157" s="497">
        <f t="shared" si="83"/>
        <v>5</v>
      </c>
      <c r="BA157" s="511">
        <f t="shared" si="83"/>
        <v>2</v>
      </c>
      <c r="BB157" s="511">
        <f t="shared" si="83"/>
        <v>3</v>
      </c>
      <c r="BC157" s="511">
        <f t="shared" si="83"/>
        <v>3</v>
      </c>
      <c r="BD157" s="511">
        <f t="shared" si="83"/>
        <v>3</v>
      </c>
      <c r="BE157" s="511">
        <f t="shared" si="83"/>
        <v>3</v>
      </c>
      <c r="BF157" s="511">
        <f t="shared" si="83"/>
        <v>2</v>
      </c>
      <c r="BG157" s="511">
        <f t="shared" si="83"/>
        <v>2</v>
      </c>
      <c r="BH157" s="511"/>
      <c r="BI157" s="511"/>
      <c r="BJ157" s="511"/>
      <c r="BK157" s="511"/>
      <c r="BL157" s="497" t="str">
        <f t="shared" si="78"/>
        <v>Digital communication</v>
      </c>
      <c r="BM157" s="497">
        <f>IF(VLOOKUP($BL157,$BL$98:$BU$132,BM$148,FALSE)=0,$BW$134,VLOOKUP($BL157,BL$98:$BU$132,BM$148,FALSE))</f>
        <v>5</v>
      </c>
      <c r="BN157" s="497">
        <f>IF(VLOOKUP($BL157,$BL$98:$BT$132,BN$148,FALSE)=0,$BW$134,VLOOKUP($BL157,BL$98:$BT$132,BN$148,FALSE))</f>
        <v>5</v>
      </c>
      <c r="BO157" s="497">
        <f>IF(VLOOKUP($BL157,$BL$98:$BT$132,BO$148,FALSE)=0,$BW$134,VLOOKUP($BL157,BL$98:$BT$132,BO$148,FALSE))</f>
        <v>4</v>
      </c>
      <c r="BP157" s="497">
        <f>IF(VLOOKUP($BL157,$BL$98:$BT$132,BP$148,FALSE)=0,$BW$134,VLOOKUP($BL157,BL$98:$BT$132,BP$148,FALSE))</f>
        <v>4</v>
      </c>
      <c r="BQ157" s="497">
        <f>IF(VLOOKUP($BL157,$BL$98:$BT$132,BQ$148,FALSE)=0,$BW$134,VLOOKUP($BL157,BL$98:$BT$132,BQ$148,FALSE))</f>
        <v>4</v>
      </c>
      <c r="BR157" s="497">
        <f>IF(VLOOKUP($BL157,$BL$98:$BT$132,BR$148,FALSE)=0,$BW$134,VLOOKUP($BL157,BL$98:$BT$132,BR$148,FALSE))</f>
        <v>3</v>
      </c>
      <c r="BS157" s="497">
        <f>IF(VLOOKUP($BL157,$BL$98:$BT$132,BS$148,FALSE)=0,$BW$134,VLOOKUP($BL157,BL$98:$BT$132,BS$148,FALSE))</f>
        <v>3</v>
      </c>
      <c r="BT157" s="497">
        <f t="shared" si="84"/>
        <v>4</v>
      </c>
      <c r="BU157" s="497">
        <f t="shared" si="85"/>
        <v>4</v>
      </c>
      <c r="BV157" s="497"/>
      <c r="BW157" s="497"/>
      <c r="BX157" s="497"/>
      <c r="BY157" s="497"/>
      <c r="BZ157" s="497" t="str">
        <f t="shared" si="79"/>
        <v>Electrical machinery, apparatus, energy</v>
      </c>
      <c r="CA157" s="497">
        <f t="shared" si="86"/>
        <v>3</v>
      </c>
      <c r="CB157" s="497">
        <f t="shared" si="86"/>
        <v>3</v>
      </c>
      <c r="CC157" s="497">
        <f t="shared" si="86"/>
        <v>3</v>
      </c>
      <c r="CD157" s="497">
        <f t="shared" si="86"/>
        <v>3</v>
      </c>
      <c r="CE157" s="497">
        <f t="shared" si="86"/>
        <v>3</v>
      </c>
      <c r="CF157" s="497">
        <f t="shared" si="86"/>
        <v>4</v>
      </c>
      <c r="CG157" s="497">
        <f t="shared" si="87"/>
        <v>4</v>
      </c>
      <c r="CH157" s="497">
        <f t="shared" si="88"/>
        <v>4</v>
      </c>
      <c r="CI157" s="497">
        <f t="shared" si="88"/>
        <v>4</v>
      </c>
      <c r="CJ157" s="497"/>
      <c r="CK157" s="497"/>
      <c r="CL157" s="497"/>
      <c r="CM157" s="1347"/>
      <c r="CN157" s="1347"/>
      <c r="CO157" s="1347"/>
      <c r="CP157" s="1347"/>
      <c r="CQ157" s="516"/>
    </row>
    <row r="158" spans="21:112" s="474" customFormat="1">
      <c r="U158" s="510">
        <f t="shared" si="7"/>
        <v>9</v>
      </c>
      <c r="V158" s="497" t="str">
        <f t="shared" si="72"/>
        <v>Mechanical elements</v>
      </c>
      <c r="W158" s="497">
        <f t="shared" si="81"/>
        <v>11</v>
      </c>
      <c r="X158" s="497">
        <f t="shared" si="81"/>
        <v>11</v>
      </c>
      <c r="Y158" s="497">
        <f t="shared" si="81"/>
        <v>11</v>
      </c>
      <c r="Z158" s="497">
        <f t="shared" si="81"/>
        <v>11</v>
      </c>
      <c r="AA158" s="497">
        <f t="shared" si="81"/>
        <v>10</v>
      </c>
      <c r="AB158" s="497">
        <f t="shared" si="73"/>
        <v>11</v>
      </c>
      <c r="AC158" s="497">
        <f t="shared" si="73"/>
        <v>10</v>
      </c>
      <c r="AD158" s="497">
        <f t="shared" si="73"/>
        <v>11</v>
      </c>
      <c r="AE158" s="497">
        <f t="shared" si="73"/>
        <v>11</v>
      </c>
      <c r="AF158" s="497"/>
      <c r="AG158" s="497"/>
      <c r="AH158" s="497"/>
      <c r="AI158" s="497"/>
      <c r="AJ158" s="497" t="str">
        <f t="shared" si="74"/>
        <v>Computer technology</v>
      </c>
      <c r="AK158" s="497">
        <f t="shared" si="82"/>
        <v>2</v>
      </c>
      <c r="AL158" s="497">
        <f t="shared" si="82"/>
        <v>2</v>
      </c>
      <c r="AM158" s="497">
        <f t="shared" si="82"/>
        <v>2</v>
      </c>
      <c r="AN158" s="497">
        <f t="shared" si="82"/>
        <v>2</v>
      </c>
      <c r="AO158" s="497">
        <f t="shared" si="82"/>
        <v>3</v>
      </c>
      <c r="AP158" s="497">
        <f t="shared" si="82"/>
        <v>3</v>
      </c>
      <c r="AQ158" s="497">
        <f t="shared" si="82"/>
        <v>5</v>
      </c>
      <c r="AR158" s="497">
        <f t="shared" si="82"/>
        <v>3</v>
      </c>
      <c r="AS158" s="497">
        <f t="shared" si="82"/>
        <v>2</v>
      </c>
      <c r="AT158" s="497"/>
      <c r="AU158" s="497"/>
      <c r="AV158" s="497"/>
      <c r="AW158" s="497"/>
      <c r="AX158" s="497" t="str">
        <f t="shared" si="76"/>
        <v>Computer technology</v>
      </c>
      <c r="AY158" s="497">
        <f t="shared" si="83"/>
        <v>3</v>
      </c>
      <c r="AZ158" s="497">
        <f t="shared" si="83"/>
        <v>3</v>
      </c>
      <c r="BA158" s="511">
        <f t="shared" si="83"/>
        <v>3</v>
      </c>
      <c r="BB158" s="511">
        <f t="shared" si="83"/>
        <v>2</v>
      </c>
      <c r="BC158" s="511">
        <f t="shared" si="83"/>
        <v>2</v>
      </c>
      <c r="BD158" s="511">
        <f t="shared" si="83"/>
        <v>2</v>
      </c>
      <c r="BE158" s="511">
        <f t="shared" si="83"/>
        <v>2</v>
      </c>
      <c r="BF158" s="511">
        <f t="shared" si="83"/>
        <v>3</v>
      </c>
      <c r="BG158" s="511">
        <f t="shared" si="83"/>
        <v>3</v>
      </c>
      <c r="BH158" s="511"/>
      <c r="BI158" s="511"/>
      <c r="BJ158" s="511"/>
      <c r="BK158" s="511"/>
      <c r="BL158" s="497" t="str">
        <f t="shared" si="78"/>
        <v>Electrical machinery, apparatus, energy</v>
      </c>
      <c r="BM158" s="497">
        <f>IF(VLOOKUP($BL158,$BL$98:$BU$132,BM$148,FALSE)=0,$BW$134,VLOOKUP($BL158,BL$98:$BU$132,BM$148,FALSE))</f>
        <v>1</v>
      </c>
      <c r="BN158" s="497">
        <f>IF(VLOOKUP($BL158,$BL$98:$BT$132,BN$148,FALSE)=0,$BW$134,VLOOKUP($BL158,BL$98:$BT$132,BN$148,FALSE))</f>
        <v>1</v>
      </c>
      <c r="BO158" s="497">
        <f>IF(VLOOKUP($BL158,$BL$98:$BT$132,BO$148,FALSE)=0,$BW$134,VLOOKUP($BL158,BL$98:$BT$132,BO$148,FALSE))</f>
        <v>2</v>
      </c>
      <c r="BP158" s="497">
        <f>IF(VLOOKUP($BL158,$BL$98:$BT$132,BP$148,FALSE)=0,$BW$134,VLOOKUP($BL158,BL$98:$BT$132,BP$148,FALSE))</f>
        <v>2</v>
      </c>
      <c r="BQ158" s="497">
        <f>IF(VLOOKUP($BL158,$BL$98:$BT$132,BQ$148,FALSE)=0,$BW$134,VLOOKUP($BL158,BL$98:$BT$132,BQ$148,FALSE))</f>
        <v>3</v>
      </c>
      <c r="BR158" s="497">
        <f>IF(VLOOKUP($BL158,$BL$98:$BT$132,BR$148,FALSE)=0,$BW$134,VLOOKUP($BL158,BL$98:$BT$132,BR$148,FALSE))</f>
        <v>4</v>
      </c>
      <c r="BS158" s="497">
        <f>IF(VLOOKUP($BL158,$BL$98:$BT$132,BS$148,FALSE)=0,$BW$134,VLOOKUP($BL158,BL$98:$BT$132,BS$148,FALSE))</f>
        <v>4</v>
      </c>
      <c r="BT158" s="497">
        <f t="shared" si="84"/>
        <v>3</v>
      </c>
      <c r="BU158" s="497">
        <f t="shared" si="85"/>
        <v>3</v>
      </c>
      <c r="BV158" s="497"/>
      <c r="BW158" s="497"/>
      <c r="BX158" s="497"/>
      <c r="BY158" s="497"/>
      <c r="BZ158" s="497" t="str">
        <f t="shared" si="79"/>
        <v>Digital communication</v>
      </c>
      <c r="CA158" s="497">
        <f t="shared" si="86"/>
        <v>2</v>
      </c>
      <c r="CB158" s="497">
        <f t="shared" si="86"/>
        <v>2</v>
      </c>
      <c r="CC158" s="497">
        <f t="shared" si="86"/>
        <v>2</v>
      </c>
      <c r="CD158" s="497">
        <f t="shared" si="86"/>
        <v>2</v>
      </c>
      <c r="CE158" s="497">
        <f t="shared" si="86"/>
        <v>2</v>
      </c>
      <c r="CF158" s="497">
        <f t="shared" si="86"/>
        <v>2</v>
      </c>
      <c r="CG158" s="497">
        <f t="shared" si="87"/>
        <v>2</v>
      </c>
      <c r="CH158" s="497">
        <f t="shared" si="88"/>
        <v>2</v>
      </c>
      <c r="CI158" s="497">
        <f t="shared" si="88"/>
        <v>2</v>
      </c>
      <c r="CJ158" s="497"/>
      <c r="CK158" s="497"/>
      <c r="CL158" s="497"/>
      <c r="CM158" s="1347"/>
      <c r="CN158" s="1347"/>
      <c r="CO158" s="1347"/>
      <c r="CP158" s="1347"/>
      <c r="CQ158" s="516"/>
    </row>
    <row r="159" spans="21:112" s="474" customFormat="1">
      <c r="U159" s="510">
        <f t="shared" si="7"/>
        <v>10</v>
      </c>
      <c r="V159" s="497" t="str">
        <f t="shared" si="72"/>
        <v>Telecommunications</v>
      </c>
      <c r="W159" s="497">
        <f t="shared" si="81"/>
        <v>11</v>
      </c>
      <c r="X159" s="497">
        <f t="shared" si="81"/>
        <v>11</v>
      </c>
      <c r="Y159" s="497">
        <f t="shared" si="81"/>
        <v>10</v>
      </c>
      <c r="Z159" s="497">
        <f t="shared" si="81"/>
        <v>9</v>
      </c>
      <c r="AA159" s="497">
        <f t="shared" si="81"/>
        <v>11</v>
      </c>
      <c r="AB159" s="497">
        <f t="shared" si="73"/>
        <v>11</v>
      </c>
      <c r="AC159" s="497">
        <f t="shared" si="73"/>
        <v>11</v>
      </c>
      <c r="AD159" s="497">
        <f t="shared" si="73"/>
        <v>11</v>
      </c>
      <c r="AE159" s="497">
        <f t="shared" si="73"/>
        <v>11</v>
      </c>
      <c r="AF159" s="497"/>
      <c r="AG159" s="497"/>
      <c r="AH159" s="497"/>
      <c r="AI159" s="497"/>
      <c r="AJ159" s="497" t="str">
        <f t="shared" si="74"/>
        <v>Furniture, games</v>
      </c>
      <c r="AK159" s="497">
        <f t="shared" si="82"/>
        <v>3</v>
      </c>
      <c r="AL159" s="497">
        <f t="shared" si="82"/>
        <v>3</v>
      </c>
      <c r="AM159" s="497">
        <f t="shared" si="82"/>
        <v>3</v>
      </c>
      <c r="AN159" s="497">
        <f t="shared" si="82"/>
        <v>3</v>
      </c>
      <c r="AO159" s="497">
        <f t="shared" si="82"/>
        <v>2</v>
      </c>
      <c r="AP159" s="497">
        <f t="shared" si="82"/>
        <v>2</v>
      </c>
      <c r="AQ159" s="497">
        <f t="shared" si="82"/>
        <v>4</v>
      </c>
      <c r="AR159" s="497">
        <f t="shared" si="82"/>
        <v>2</v>
      </c>
      <c r="AS159" s="497">
        <f t="shared" si="82"/>
        <v>3</v>
      </c>
      <c r="AT159" s="497"/>
      <c r="AU159" s="497"/>
      <c r="AV159" s="497"/>
      <c r="AW159" s="497"/>
      <c r="AX159" s="497" t="str">
        <f t="shared" si="76"/>
        <v>IT methods for management</v>
      </c>
      <c r="AY159" s="497">
        <f t="shared" si="83"/>
        <v>11</v>
      </c>
      <c r="AZ159" s="497">
        <f t="shared" si="83"/>
        <v>11</v>
      </c>
      <c r="BA159" s="511">
        <f t="shared" si="83"/>
        <v>11</v>
      </c>
      <c r="BB159" s="511">
        <f t="shared" si="83"/>
        <v>11</v>
      </c>
      <c r="BC159" s="511">
        <f t="shared" si="83"/>
        <v>11</v>
      </c>
      <c r="BD159" s="511">
        <f t="shared" si="83"/>
        <v>8</v>
      </c>
      <c r="BE159" s="511">
        <f t="shared" si="83"/>
        <v>6</v>
      </c>
      <c r="BF159" s="511">
        <f t="shared" si="83"/>
        <v>6</v>
      </c>
      <c r="BG159" s="511">
        <f t="shared" si="83"/>
        <v>5</v>
      </c>
      <c r="BH159" s="511"/>
      <c r="BI159" s="511"/>
      <c r="BJ159" s="511"/>
      <c r="BK159" s="511"/>
      <c r="BL159" s="497" t="str">
        <f t="shared" si="78"/>
        <v>Measurement</v>
      </c>
      <c r="BM159" s="497">
        <f>IF(VLOOKUP($BL159,$BL$98:$BU$132,BM$148,FALSE)=0,$BW$134,VLOOKUP($BL159,BL$98:$BU$132,BM$148,FALSE))</f>
        <v>3</v>
      </c>
      <c r="BN159" s="497">
        <f>IF(VLOOKUP($BL159,$BL$98:$BT$132,BN$148,FALSE)=0,$BW$134,VLOOKUP($BL159,BL$98:$BT$132,BN$148,FALSE))</f>
        <v>3</v>
      </c>
      <c r="BO159" s="497">
        <f>IF(VLOOKUP($BL159,$BL$98:$BT$132,BO$148,FALSE)=0,$BW$134,VLOOKUP($BL159,BL$98:$BT$132,BO$148,FALSE))</f>
        <v>3</v>
      </c>
      <c r="BP159" s="497">
        <f>IF(VLOOKUP($BL159,$BL$98:$BT$132,BP$148,FALSE)=0,$BW$134,VLOOKUP($BL159,BL$98:$BT$132,BP$148,FALSE))</f>
        <v>3</v>
      </c>
      <c r="BQ159" s="497">
        <f>IF(VLOOKUP($BL159,$BL$98:$BT$132,BQ$148,FALSE)=0,$BW$134,VLOOKUP($BL159,BL$98:$BT$132,BQ$148,FALSE))</f>
        <v>2</v>
      </c>
      <c r="BR159" s="497">
        <f>IF(VLOOKUP($BL159,$BL$98:$BT$132,BR$148,FALSE)=0,$BW$134,VLOOKUP($BL159,BL$98:$BT$132,BR$148,FALSE))</f>
        <v>2</v>
      </c>
      <c r="BS159" s="497">
        <f>IF(VLOOKUP($BL159,$BL$98:$BT$132,BS$148,FALSE)=0,$BW$134,VLOOKUP($BL159,BL$98:$BT$132,BS$148,FALSE))</f>
        <v>2</v>
      </c>
      <c r="BT159" s="497">
        <f t="shared" si="84"/>
        <v>2</v>
      </c>
      <c r="BU159" s="497">
        <f t="shared" si="85"/>
        <v>2</v>
      </c>
      <c r="BV159" s="497"/>
      <c r="BW159" s="497"/>
      <c r="BX159" s="497"/>
      <c r="BY159" s="497"/>
      <c r="BZ159" s="497" t="str">
        <f t="shared" si="79"/>
        <v>IT methods for management</v>
      </c>
      <c r="CA159" s="497">
        <f t="shared" si="86"/>
        <v>11</v>
      </c>
      <c r="CB159" s="497">
        <f t="shared" si="86"/>
        <v>11</v>
      </c>
      <c r="CC159" s="497">
        <f t="shared" si="86"/>
        <v>11</v>
      </c>
      <c r="CD159" s="497">
        <f t="shared" si="86"/>
        <v>11</v>
      </c>
      <c r="CE159" s="497">
        <f t="shared" si="86"/>
        <v>11</v>
      </c>
      <c r="CF159" s="497">
        <f t="shared" si="86"/>
        <v>11</v>
      </c>
      <c r="CG159" s="497">
        <f t="shared" si="87"/>
        <v>11</v>
      </c>
      <c r="CH159" s="497">
        <f t="shared" si="88"/>
        <v>10</v>
      </c>
      <c r="CI159" s="497">
        <f t="shared" si="88"/>
        <v>11</v>
      </c>
      <c r="CJ159" s="497"/>
      <c r="CK159" s="497"/>
      <c r="CL159" s="497"/>
      <c r="CM159" s="1347"/>
      <c r="CN159" s="1347"/>
      <c r="CO159" s="1347"/>
      <c r="CP159" s="1347"/>
      <c r="CQ159" s="516"/>
    </row>
    <row r="160" spans="21:112" s="474" customFormat="1">
      <c r="U160" s="510">
        <f t="shared" si="7"/>
        <v>11</v>
      </c>
      <c r="V160" s="497" t="str">
        <f t="shared" si="72"/>
        <v>Digital communication</v>
      </c>
      <c r="W160" s="497">
        <f t="shared" si="81"/>
        <v>3</v>
      </c>
      <c r="X160" s="497">
        <f t="shared" si="81"/>
        <v>3</v>
      </c>
      <c r="Y160" s="497">
        <f t="shared" si="81"/>
        <v>1</v>
      </c>
      <c r="Z160" s="497">
        <f t="shared" si="81"/>
        <v>1</v>
      </c>
      <c r="AA160" s="497">
        <f t="shared" si="81"/>
        <v>1</v>
      </c>
      <c r="AB160" s="497">
        <f t="shared" si="73"/>
        <v>1</v>
      </c>
      <c r="AC160" s="497">
        <f t="shared" si="73"/>
        <v>1</v>
      </c>
      <c r="AD160" s="497">
        <f t="shared" si="73"/>
        <v>2</v>
      </c>
      <c r="AE160" s="497">
        <f t="shared" si="73"/>
        <v>2</v>
      </c>
      <c r="AF160" s="497"/>
      <c r="AG160" s="497"/>
      <c r="AH160" s="497"/>
      <c r="AI160" s="497"/>
      <c r="AJ160" s="497" t="str">
        <f t="shared" si="74"/>
        <v>Electrical machinery, apparatus, energy</v>
      </c>
      <c r="AK160" s="497">
        <f t="shared" si="82"/>
        <v>1</v>
      </c>
      <c r="AL160" s="497">
        <f t="shared" si="82"/>
        <v>1</v>
      </c>
      <c r="AM160" s="497">
        <f t="shared" si="82"/>
        <v>1</v>
      </c>
      <c r="AN160" s="497">
        <f t="shared" si="82"/>
        <v>1</v>
      </c>
      <c r="AO160" s="497">
        <f t="shared" si="82"/>
        <v>1</v>
      </c>
      <c r="AP160" s="497">
        <f t="shared" si="82"/>
        <v>1</v>
      </c>
      <c r="AQ160" s="497">
        <f t="shared" si="82"/>
        <v>1</v>
      </c>
      <c r="AR160" s="497">
        <f t="shared" si="82"/>
        <v>1</v>
      </c>
      <c r="AS160" s="497">
        <f t="shared" si="82"/>
        <v>1</v>
      </c>
      <c r="AT160" s="497"/>
      <c r="AU160" s="497"/>
      <c r="AV160" s="497"/>
      <c r="AW160" s="497"/>
      <c r="AX160" s="497" t="str">
        <f t="shared" si="76"/>
        <v>Optics</v>
      </c>
      <c r="AY160" s="497">
        <f t="shared" si="83"/>
        <v>11</v>
      </c>
      <c r="AZ160" s="497">
        <f t="shared" si="83"/>
        <v>11</v>
      </c>
      <c r="BA160" s="511">
        <f t="shared" si="83"/>
        <v>10</v>
      </c>
      <c r="BB160" s="511">
        <f t="shared" si="83"/>
        <v>11</v>
      </c>
      <c r="BC160" s="511">
        <f t="shared" si="83"/>
        <v>11</v>
      </c>
      <c r="BD160" s="511">
        <f t="shared" si="83"/>
        <v>11</v>
      </c>
      <c r="BE160" s="511">
        <f t="shared" si="83"/>
        <v>11</v>
      </c>
      <c r="BF160" s="511">
        <f t="shared" si="83"/>
        <v>11</v>
      </c>
      <c r="BG160" s="511">
        <f t="shared" si="83"/>
        <v>11</v>
      </c>
      <c r="BH160" s="511"/>
      <c r="BI160" s="511"/>
      <c r="BJ160" s="511"/>
      <c r="BK160" s="511"/>
      <c r="BL160" s="497" t="str">
        <f t="shared" si="78"/>
        <v>Computer technology</v>
      </c>
      <c r="BM160" s="497">
        <f>IF(VLOOKUP($BL160,$BL$98:$BU$132,BM$148,FALSE)=0,$BW$134,VLOOKUP($BL160,BL$98:$BU$132,BM$148,FALSE))</f>
        <v>2</v>
      </c>
      <c r="BN160" s="497">
        <f>IF(VLOOKUP($BL160,$BL$98:$BT$132,BN$148,FALSE)=0,$BW$134,VLOOKUP($BL160,BL$98:$BT$132,BN$148,FALSE))</f>
        <v>2</v>
      </c>
      <c r="BO160" s="497">
        <f>IF(VLOOKUP($BL160,$BL$98:$BT$132,BO$148,FALSE)=0,$BW$134,VLOOKUP($BL160,BL$98:$BT$132,BO$148,FALSE))</f>
        <v>1</v>
      </c>
      <c r="BP160" s="497">
        <f>IF(VLOOKUP($BL160,$BL$98:$BT$132,BP$148,FALSE)=0,$BW$134,VLOOKUP($BL160,BL$98:$BT$132,BP$148,FALSE))</f>
        <v>1</v>
      </c>
      <c r="BQ160" s="497">
        <f>IF(VLOOKUP($BL160,$BL$98:$BT$132,BQ$148,FALSE)=0,$BW$134,VLOOKUP($BL160,BL$98:$BT$132,BQ$148,FALSE))</f>
        <v>1</v>
      </c>
      <c r="BR160" s="497">
        <f>IF(VLOOKUP($BL160,$BL$98:$BT$132,BR$148,FALSE)=0,$BW$134,VLOOKUP($BL160,BL$98:$BT$132,BR$148,FALSE))</f>
        <v>1</v>
      </c>
      <c r="BS160" s="497">
        <f>IF(VLOOKUP($BL160,$BL$98:$BT$132,BS$148,FALSE)=0,$BW$134,VLOOKUP($BL160,BL$98:$BT$132,BS$148,FALSE))</f>
        <v>1</v>
      </c>
      <c r="BT160" s="497">
        <f t="shared" si="84"/>
        <v>1</v>
      </c>
      <c r="BU160" s="497">
        <f t="shared" si="85"/>
        <v>1</v>
      </c>
      <c r="BV160" s="497"/>
      <c r="BW160" s="497"/>
      <c r="BX160" s="497"/>
      <c r="BY160" s="497"/>
      <c r="BZ160" s="497" t="str">
        <f t="shared" si="79"/>
        <v>Computer technology</v>
      </c>
      <c r="CA160" s="497">
        <f t="shared" si="86"/>
        <v>1</v>
      </c>
      <c r="CB160" s="497">
        <f t="shared" si="86"/>
        <v>1</v>
      </c>
      <c r="CC160" s="497">
        <f t="shared" si="86"/>
        <v>1</v>
      </c>
      <c r="CD160" s="497">
        <f t="shared" si="86"/>
        <v>1</v>
      </c>
      <c r="CE160" s="497">
        <f t="shared" si="86"/>
        <v>1</v>
      </c>
      <c r="CF160" s="497">
        <f t="shared" si="86"/>
        <v>1</v>
      </c>
      <c r="CG160" s="497">
        <f t="shared" si="87"/>
        <v>1</v>
      </c>
      <c r="CH160" s="497">
        <f t="shared" si="88"/>
        <v>1</v>
      </c>
      <c r="CI160" s="497">
        <f t="shared" si="88"/>
        <v>1</v>
      </c>
      <c r="CJ160" s="497"/>
      <c r="CK160" s="497"/>
      <c r="CL160" s="497"/>
      <c r="CM160" s="1347"/>
      <c r="CN160" s="1347"/>
      <c r="CO160" s="1347"/>
      <c r="CP160" s="1347"/>
      <c r="CQ160" s="516"/>
    </row>
    <row r="161" spans="21:95" s="474" customFormat="1">
      <c r="U161" s="510">
        <f t="shared" si="7"/>
        <v>12</v>
      </c>
      <c r="V161" s="497" t="str">
        <f t="shared" si="72"/>
        <v>Medical technology</v>
      </c>
      <c r="W161" s="497">
        <f t="shared" si="81"/>
        <v>1</v>
      </c>
      <c r="X161" s="497">
        <f t="shared" si="81"/>
        <v>1</v>
      </c>
      <c r="Y161" s="497">
        <f t="shared" si="81"/>
        <v>2</v>
      </c>
      <c r="Z161" s="497">
        <f t="shared" si="81"/>
        <v>2</v>
      </c>
      <c r="AA161" s="497">
        <f t="shared" si="81"/>
        <v>2</v>
      </c>
      <c r="AB161" s="497">
        <f t="shared" si="73"/>
        <v>2</v>
      </c>
      <c r="AC161" s="497">
        <f t="shared" si="73"/>
        <v>2</v>
      </c>
      <c r="AD161" s="497">
        <f t="shared" si="73"/>
        <v>1</v>
      </c>
      <c r="AE161" s="497">
        <f t="shared" si="73"/>
        <v>1</v>
      </c>
      <c r="AF161" s="497"/>
      <c r="AG161" s="497"/>
      <c r="AH161" s="497"/>
      <c r="AI161" s="497"/>
      <c r="AJ161" s="497" t="str">
        <f t="shared" si="74"/>
        <v>Digital communication</v>
      </c>
      <c r="AK161" s="497">
        <f t="shared" si="82"/>
        <v>11</v>
      </c>
      <c r="AL161" s="497">
        <f t="shared" si="82"/>
        <v>11</v>
      </c>
      <c r="AM161" s="497">
        <f t="shared" si="82"/>
        <v>11</v>
      </c>
      <c r="AN161" s="497">
        <f t="shared" si="82"/>
        <v>11</v>
      </c>
      <c r="AO161" s="497">
        <f t="shared" si="82"/>
        <v>11</v>
      </c>
      <c r="AP161" s="497">
        <f t="shared" si="82"/>
        <v>11</v>
      </c>
      <c r="AQ161" s="497">
        <f t="shared" si="82"/>
        <v>3</v>
      </c>
      <c r="AR161" s="497">
        <f t="shared" si="82"/>
        <v>11</v>
      </c>
      <c r="AS161" s="497">
        <f t="shared" si="82"/>
        <v>10</v>
      </c>
      <c r="AT161" s="497"/>
      <c r="AU161" s="497"/>
      <c r="AV161" s="497"/>
      <c r="AW161" s="497"/>
      <c r="AX161" s="497" t="str">
        <f t="shared" si="76"/>
        <v>Electrical machinery, apparatus, energy</v>
      </c>
      <c r="AY161" s="497">
        <f t="shared" si="83"/>
        <v>1</v>
      </c>
      <c r="AZ161" s="497">
        <f t="shared" si="83"/>
        <v>1</v>
      </c>
      <c r="BA161" s="511">
        <f t="shared" si="83"/>
        <v>1</v>
      </c>
      <c r="BB161" s="511">
        <f t="shared" si="83"/>
        <v>1</v>
      </c>
      <c r="BC161" s="511">
        <f t="shared" si="83"/>
        <v>1</v>
      </c>
      <c r="BD161" s="511">
        <f t="shared" si="83"/>
        <v>1</v>
      </c>
      <c r="BE161" s="511">
        <f t="shared" si="83"/>
        <v>1</v>
      </c>
      <c r="BF161" s="511">
        <f t="shared" si="83"/>
        <v>1</v>
      </c>
      <c r="BG161" s="511">
        <f t="shared" si="83"/>
        <v>1</v>
      </c>
      <c r="BH161" s="511"/>
      <c r="BI161" s="511"/>
      <c r="BJ161" s="511"/>
      <c r="BK161" s="511"/>
      <c r="BL161" s="497" t="str">
        <f t="shared" si="78"/>
        <v>Audio-visual technology</v>
      </c>
      <c r="BM161" s="497">
        <f>IF(VLOOKUP($BL161,$BL$98:$BU$132,BM$148,FALSE)=0,$BW$134,VLOOKUP($BL161,BL$98:$BU$132,BM$148,FALSE))</f>
        <v>11</v>
      </c>
      <c r="BN161" s="497">
        <f>IF(VLOOKUP($BL161,$BL$98:$BT$132,BN$148,FALSE)=0,$BW$134,VLOOKUP($BL161,BL$98:$BT$132,BN$148,FALSE))</f>
        <v>11</v>
      </c>
      <c r="BO161" s="497">
        <f>IF(VLOOKUP($BL161,$BL$98:$BT$132,BO$148,FALSE)=0,$BW$134,VLOOKUP($BL161,BL$98:$BT$132,BO$148,FALSE))</f>
        <v>11</v>
      </c>
      <c r="BP161" s="497">
        <f>IF(VLOOKUP($BL161,$BL$98:$BT$132,BP$148,FALSE)=0,$BW$134,VLOOKUP($BL161,BL$98:$BT$132,BP$148,FALSE))</f>
        <v>8</v>
      </c>
      <c r="BQ161" s="497">
        <f>IF(VLOOKUP($BL161,$BL$98:$BT$132,BQ$148,FALSE)=0,$BW$134,VLOOKUP($BL161,BL$98:$BT$132,BQ$148,FALSE))</f>
        <v>11</v>
      </c>
      <c r="BR161" s="497">
        <f>IF(VLOOKUP($BL161,$BL$98:$BT$132,BR$148,FALSE)=0,$BW$134,VLOOKUP($BL161,BL$98:$BT$132,BR$148,FALSE))</f>
        <v>11</v>
      </c>
      <c r="BS161" s="497">
        <f>IF(VLOOKUP($BL161,$BL$98:$BT$132,BS$148,FALSE)=0,$BW$134,VLOOKUP($BL161,BL$98:$BT$132,BS$148,FALSE))</f>
        <v>11</v>
      </c>
      <c r="BT161" s="497">
        <f t="shared" si="84"/>
        <v>11</v>
      </c>
      <c r="BU161" s="497">
        <f t="shared" si="85"/>
        <v>11</v>
      </c>
      <c r="BV161" s="497"/>
      <c r="BW161" s="497"/>
      <c r="BX161" s="497"/>
      <c r="BY161" s="497"/>
      <c r="BZ161" s="497" t="str">
        <f t="shared" si="79"/>
        <v/>
      </c>
      <c r="CA161" s="497"/>
      <c r="CB161" s="497"/>
      <c r="CC161" s="497"/>
      <c r="CD161" s="497"/>
      <c r="CE161" s="497"/>
      <c r="CF161" s="497"/>
      <c r="CG161" s="497"/>
      <c r="CH161" s="497"/>
      <c r="CI161" s="497"/>
      <c r="CJ161" s="497"/>
      <c r="CK161" s="497"/>
      <c r="CL161" s="497"/>
      <c r="CM161" s="1347"/>
      <c r="CN161" s="1347"/>
      <c r="CO161" s="1347"/>
      <c r="CP161" s="1347"/>
      <c r="CQ161" s="516"/>
    </row>
    <row r="162" spans="21:95" s="474" customFormat="1">
      <c r="U162" s="510">
        <f t="shared" si="7"/>
        <v>13</v>
      </c>
      <c r="V162" s="497" t="str">
        <f t="shared" si="72"/>
        <v>Handling</v>
      </c>
      <c r="W162" s="497">
        <f t="shared" si="81"/>
        <v>11</v>
      </c>
      <c r="X162" s="497">
        <f t="shared" si="81"/>
        <v>11</v>
      </c>
      <c r="Y162" s="497">
        <f t="shared" si="81"/>
        <v>11</v>
      </c>
      <c r="Z162" s="497">
        <f t="shared" si="81"/>
        <v>11</v>
      </c>
      <c r="AA162" s="497">
        <f t="shared" si="81"/>
        <v>11</v>
      </c>
      <c r="AB162" s="497">
        <f t="shared" si="73"/>
        <v>11</v>
      </c>
      <c r="AC162" s="497">
        <f t="shared" si="73"/>
        <v>11</v>
      </c>
      <c r="AD162" s="497">
        <f t="shared" si="73"/>
        <v>10</v>
      </c>
      <c r="AE162" s="497">
        <f t="shared" si="73"/>
        <v>11</v>
      </c>
      <c r="AF162" s="497"/>
      <c r="AG162" s="497"/>
      <c r="AH162" s="497"/>
      <c r="AI162" s="497"/>
      <c r="AJ162" s="497" t="str">
        <f t="shared" si="74"/>
        <v/>
      </c>
      <c r="AK162" s="497"/>
      <c r="AL162" s="497"/>
      <c r="AM162" s="497"/>
      <c r="AN162" s="497"/>
      <c r="AO162" s="497"/>
      <c r="AP162" s="497"/>
      <c r="AQ162" s="497"/>
      <c r="AR162" s="497"/>
      <c r="AS162" s="497"/>
      <c r="AT162" s="497"/>
      <c r="AU162" s="497"/>
      <c r="AV162" s="497"/>
      <c r="AW162" s="497"/>
      <c r="AX162" s="497" t="str">
        <f t="shared" si="76"/>
        <v/>
      </c>
      <c r="AY162" s="497"/>
      <c r="AZ162" s="497"/>
      <c r="BA162" s="511"/>
      <c r="BB162" s="511"/>
      <c r="BC162" s="511"/>
      <c r="BD162" s="511"/>
      <c r="BE162" s="511"/>
      <c r="BF162" s="511"/>
      <c r="BG162" s="511"/>
      <c r="BH162" s="511"/>
      <c r="BI162" s="511"/>
      <c r="BJ162" s="511"/>
      <c r="BK162" s="511"/>
      <c r="BL162" s="497" t="str">
        <f t="shared" si="78"/>
        <v/>
      </c>
      <c r="BM162" s="497"/>
      <c r="BN162" s="497"/>
      <c r="BO162" s="497"/>
      <c r="BP162" s="497"/>
      <c r="BQ162" s="497"/>
      <c r="BR162" s="497"/>
      <c r="BS162" s="497"/>
      <c r="BT162" s="497"/>
      <c r="BU162" s="497"/>
      <c r="BV162" s="497"/>
      <c r="BW162" s="497"/>
      <c r="BX162" s="497"/>
      <c r="BY162" s="497"/>
      <c r="BZ162" s="497" t="str">
        <f t="shared" si="79"/>
        <v/>
      </c>
      <c r="CA162" s="497"/>
      <c r="CB162" s="497"/>
      <c r="CC162" s="497"/>
      <c r="CD162" s="497"/>
      <c r="CE162" s="497"/>
      <c r="CF162" s="497"/>
      <c r="CG162" s="497"/>
      <c r="CH162" s="497"/>
      <c r="CI162" s="497"/>
      <c r="CJ162" s="497"/>
      <c r="CK162" s="497"/>
      <c r="CL162" s="497"/>
      <c r="CM162" s="1347"/>
      <c r="CN162" s="1347"/>
      <c r="CO162" s="1347"/>
      <c r="CP162" s="1347"/>
      <c r="CQ162" s="516"/>
    </row>
    <row r="163" spans="21:95" s="474" customFormat="1">
      <c r="U163" s="510">
        <f t="shared" ref="U163:U176" si="89">U162+1</f>
        <v>14</v>
      </c>
      <c r="V163" s="497" t="str">
        <f t="shared" si="72"/>
        <v/>
      </c>
      <c r="W163" s="497"/>
      <c r="X163" s="497"/>
      <c r="Y163" s="497"/>
      <c r="Z163" s="497"/>
      <c r="AA163" s="497"/>
      <c r="AB163" s="497"/>
      <c r="AC163" s="497"/>
      <c r="AD163" s="497"/>
      <c r="AE163" s="497"/>
      <c r="AF163" s="497"/>
      <c r="AG163" s="497"/>
      <c r="AH163" s="497"/>
      <c r="AI163" s="497"/>
      <c r="AJ163" s="497" t="str">
        <f t="shared" si="74"/>
        <v/>
      </c>
      <c r="AK163" s="497"/>
      <c r="AL163" s="497"/>
      <c r="AM163" s="497"/>
      <c r="AN163" s="497"/>
      <c r="AO163" s="497"/>
      <c r="AP163" s="497"/>
      <c r="AQ163" s="497"/>
      <c r="AR163" s="497"/>
      <c r="AS163" s="497"/>
      <c r="AT163" s="497"/>
      <c r="AU163" s="497"/>
      <c r="AV163" s="497"/>
      <c r="AW163" s="497"/>
      <c r="AX163" s="497" t="str">
        <f t="shared" si="76"/>
        <v/>
      </c>
      <c r="AY163" s="497"/>
      <c r="AZ163" s="497"/>
      <c r="BA163" s="511"/>
      <c r="BB163" s="511"/>
      <c r="BC163" s="511"/>
      <c r="BD163" s="511"/>
      <c r="BE163" s="511"/>
      <c r="BF163" s="511"/>
      <c r="BG163" s="511"/>
      <c r="BH163" s="511"/>
      <c r="BI163" s="511"/>
      <c r="BJ163" s="511"/>
      <c r="BK163" s="511"/>
      <c r="BL163" s="497" t="str">
        <f t="shared" si="78"/>
        <v/>
      </c>
      <c r="BM163" s="497"/>
      <c r="BN163" s="497"/>
      <c r="BO163" s="497"/>
      <c r="BP163" s="497"/>
      <c r="BQ163" s="497"/>
      <c r="BR163" s="497"/>
      <c r="BS163" s="497"/>
      <c r="BT163" s="497"/>
      <c r="BU163" s="497"/>
      <c r="BV163" s="497"/>
      <c r="BW163" s="497"/>
      <c r="BX163" s="497"/>
      <c r="BY163" s="497"/>
      <c r="BZ163" s="497" t="str">
        <f t="shared" si="79"/>
        <v/>
      </c>
      <c r="CA163" s="497"/>
      <c r="CB163" s="497"/>
      <c r="CC163" s="497"/>
      <c r="CD163" s="497"/>
      <c r="CE163" s="497"/>
      <c r="CF163" s="497"/>
      <c r="CG163" s="497"/>
      <c r="CH163" s="497"/>
      <c r="CI163" s="497"/>
      <c r="CJ163" s="497"/>
      <c r="CK163" s="497"/>
      <c r="CL163" s="497"/>
      <c r="CM163" s="1347"/>
      <c r="CN163" s="1347"/>
      <c r="CO163" s="1347"/>
      <c r="CP163" s="1347"/>
      <c r="CQ163" s="516"/>
    </row>
    <row r="164" spans="21:95" s="474" customFormat="1">
      <c r="U164" s="510">
        <f t="shared" si="89"/>
        <v>15</v>
      </c>
      <c r="V164" s="497" t="str">
        <f t="shared" si="72"/>
        <v/>
      </c>
      <c r="W164" s="497"/>
      <c r="X164" s="497"/>
      <c r="Y164" s="497"/>
      <c r="Z164" s="497"/>
      <c r="AA164" s="497"/>
      <c r="AB164" s="497"/>
      <c r="AC164" s="497"/>
      <c r="AD164" s="497"/>
      <c r="AE164" s="497"/>
      <c r="AF164" s="497"/>
      <c r="AG164" s="497"/>
      <c r="AH164" s="497"/>
      <c r="AI164" s="497"/>
      <c r="AJ164" s="497" t="str">
        <f t="shared" si="74"/>
        <v/>
      </c>
      <c r="AK164" s="497"/>
      <c r="AL164" s="497"/>
      <c r="AM164" s="497"/>
      <c r="AN164" s="497"/>
      <c r="AO164" s="497"/>
      <c r="AP164" s="497"/>
      <c r="AQ164" s="497"/>
      <c r="AR164" s="497"/>
      <c r="AS164" s="497"/>
      <c r="AT164" s="497"/>
      <c r="AU164" s="497"/>
      <c r="AV164" s="497"/>
      <c r="AW164" s="497"/>
      <c r="AX164" s="497" t="str">
        <f t="shared" si="76"/>
        <v/>
      </c>
      <c r="AY164" s="497"/>
      <c r="AZ164" s="497"/>
      <c r="BA164" s="511"/>
      <c r="BB164" s="511"/>
      <c r="BC164" s="511"/>
      <c r="BD164" s="511"/>
      <c r="BE164" s="511"/>
      <c r="BF164" s="511"/>
      <c r="BG164" s="511"/>
      <c r="BH164" s="511"/>
      <c r="BI164" s="511"/>
      <c r="BJ164" s="511"/>
      <c r="BK164" s="511"/>
      <c r="BL164" s="497" t="str">
        <f t="shared" si="78"/>
        <v/>
      </c>
      <c r="BM164" s="497"/>
      <c r="BN164" s="497"/>
      <c r="BO164" s="497"/>
      <c r="BP164" s="497"/>
      <c r="BQ164" s="497"/>
      <c r="BR164" s="497"/>
      <c r="BS164" s="497"/>
      <c r="BT164" s="497"/>
      <c r="BU164" s="497"/>
      <c r="BV164" s="497"/>
      <c r="BW164" s="497"/>
      <c r="BX164" s="497"/>
      <c r="BY164" s="497"/>
      <c r="BZ164" s="497" t="str">
        <f t="shared" si="79"/>
        <v/>
      </c>
      <c r="CA164" s="497"/>
      <c r="CB164" s="497"/>
      <c r="CC164" s="497"/>
      <c r="CD164" s="497"/>
      <c r="CE164" s="497"/>
      <c r="CF164" s="497"/>
      <c r="CG164" s="497"/>
      <c r="CH164" s="497"/>
      <c r="CI164" s="497"/>
      <c r="CJ164" s="497"/>
      <c r="CK164" s="497"/>
      <c r="CL164" s="497"/>
      <c r="CM164" s="1347"/>
      <c r="CN164" s="1347"/>
      <c r="CO164" s="1347"/>
      <c r="CP164" s="1347"/>
      <c r="CQ164" s="516"/>
    </row>
    <row r="165" spans="21:95" s="474" customFormat="1">
      <c r="U165" s="510">
        <f t="shared" si="89"/>
        <v>16</v>
      </c>
      <c r="V165" s="497" t="str">
        <f t="shared" si="72"/>
        <v/>
      </c>
      <c r="W165" s="497"/>
      <c r="X165" s="497"/>
      <c r="Y165" s="497"/>
      <c r="Z165" s="497"/>
      <c r="AA165" s="497"/>
      <c r="AB165" s="497"/>
      <c r="AC165" s="497"/>
      <c r="AD165" s="497"/>
      <c r="AE165" s="497"/>
      <c r="AF165" s="497"/>
      <c r="AG165" s="497"/>
      <c r="AH165" s="497"/>
      <c r="AI165" s="497"/>
      <c r="AJ165" s="497" t="str">
        <f t="shared" si="74"/>
        <v/>
      </c>
      <c r="AK165" s="497"/>
      <c r="AL165" s="497"/>
      <c r="AM165" s="497"/>
      <c r="AN165" s="497"/>
      <c r="AO165" s="497"/>
      <c r="AP165" s="497"/>
      <c r="AQ165" s="497"/>
      <c r="AR165" s="497"/>
      <c r="AS165" s="497"/>
      <c r="AT165" s="497"/>
      <c r="AU165" s="497"/>
      <c r="AV165" s="497"/>
      <c r="AW165" s="497"/>
      <c r="AX165" s="497" t="str">
        <f t="shared" si="76"/>
        <v/>
      </c>
      <c r="AY165" s="497"/>
      <c r="AZ165" s="497"/>
      <c r="BA165" s="511"/>
      <c r="BB165" s="511"/>
      <c r="BC165" s="511"/>
      <c r="BD165" s="511"/>
      <c r="BE165" s="511"/>
      <c r="BF165" s="511"/>
      <c r="BG165" s="511"/>
      <c r="BH165" s="511"/>
      <c r="BI165" s="511"/>
      <c r="BJ165" s="511"/>
      <c r="BK165" s="511"/>
      <c r="BL165" s="497" t="str">
        <f t="shared" si="78"/>
        <v/>
      </c>
      <c r="BM165" s="497"/>
      <c r="BN165" s="497"/>
      <c r="BO165" s="497"/>
      <c r="BP165" s="497"/>
      <c r="BQ165" s="497"/>
      <c r="BR165" s="497"/>
      <c r="BS165" s="497"/>
      <c r="BT165" s="497"/>
      <c r="BU165" s="497"/>
      <c r="BV165" s="497"/>
      <c r="BW165" s="497"/>
      <c r="BX165" s="497"/>
      <c r="BY165" s="497"/>
      <c r="BZ165" s="497" t="str">
        <f t="shared" si="79"/>
        <v/>
      </c>
      <c r="CA165" s="497"/>
      <c r="CB165" s="497"/>
      <c r="CC165" s="497"/>
      <c r="CD165" s="497"/>
      <c r="CE165" s="497"/>
      <c r="CF165" s="497"/>
      <c r="CG165" s="497"/>
      <c r="CH165" s="497"/>
      <c r="CI165" s="497"/>
      <c r="CJ165" s="497"/>
      <c r="CK165" s="497"/>
      <c r="CL165" s="497"/>
      <c r="CM165" s="1347"/>
      <c r="CN165" s="1347"/>
      <c r="CO165" s="1347"/>
      <c r="CP165" s="1347"/>
      <c r="CQ165" s="516"/>
    </row>
    <row r="166" spans="21:95" s="473" customFormat="1">
      <c r="U166" s="510">
        <f t="shared" si="89"/>
        <v>17</v>
      </c>
      <c r="V166" s="497" t="str">
        <f t="shared" si="72"/>
        <v/>
      </c>
      <c r="W166" s="497"/>
      <c r="X166" s="497"/>
      <c r="Y166" s="497"/>
      <c r="Z166" s="497"/>
      <c r="AA166" s="497"/>
      <c r="AB166" s="497"/>
      <c r="AC166" s="497"/>
      <c r="AD166" s="497"/>
      <c r="AE166" s="497"/>
      <c r="AF166" s="497"/>
      <c r="AG166" s="497"/>
      <c r="AH166" s="497"/>
      <c r="AI166" s="497"/>
      <c r="AJ166" s="497" t="str">
        <f t="shared" si="74"/>
        <v/>
      </c>
      <c r="AK166" s="497"/>
      <c r="AL166" s="497"/>
      <c r="AM166" s="497"/>
      <c r="AN166" s="497"/>
      <c r="AO166" s="497"/>
      <c r="AP166" s="497"/>
      <c r="AQ166" s="497"/>
      <c r="AR166" s="497"/>
      <c r="AS166" s="497"/>
      <c r="AT166" s="497"/>
      <c r="AU166" s="497"/>
      <c r="AV166" s="497"/>
      <c r="AW166" s="497"/>
      <c r="AX166" s="497" t="str">
        <f t="shared" si="76"/>
        <v/>
      </c>
      <c r="AY166" s="497"/>
      <c r="AZ166" s="497"/>
      <c r="BA166" s="511"/>
      <c r="BB166" s="511"/>
      <c r="BC166" s="511"/>
      <c r="BD166" s="511"/>
      <c r="BE166" s="511"/>
      <c r="BF166" s="511"/>
      <c r="BG166" s="511"/>
      <c r="BH166" s="511"/>
      <c r="BI166" s="511"/>
      <c r="BJ166" s="511"/>
      <c r="BK166" s="511"/>
      <c r="BL166" s="497" t="str">
        <f t="shared" si="78"/>
        <v/>
      </c>
      <c r="BM166" s="497"/>
      <c r="BN166" s="497"/>
      <c r="BO166" s="497"/>
      <c r="BP166" s="497"/>
      <c r="BQ166" s="497"/>
      <c r="BR166" s="497"/>
      <c r="BS166" s="497"/>
      <c r="BT166" s="497"/>
      <c r="BU166" s="497"/>
      <c r="BV166" s="497"/>
      <c r="BW166" s="497"/>
      <c r="BX166" s="497"/>
      <c r="BY166" s="497"/>
      <c r="BZ166" s="497" t="str">
        <f t="shared" si="79"/>
        <v/>
      </c>
      <c r="CA166" s="497"/>
      <c r="CB166" s="497"/>
      <c r="CC166" s="497"/>
      <c r="CD166" s="497"/>
      <c r="CE166" s="497"/>
      <c r="CF166" s="497"/>
      <c r="CG166" s="497"/>
      <c r="CH166" s="497"/>
      <c r="CI166" s="497"/>
      <c r="CJ166" s="497"/>
      <c r="CK166" s="497"/>
      <c r="CL166" s="497"/>
      <c r="CM166" s="1347"/>
      <c r="CN166" s="1347"/>
      <c r="CO166" s="1347"/>
      <c r="CP166" s="1347"/>
      <c r="CQ166" s="516"/>
    </row>
    <row r="167" spans="21:95" s="473" customFormat="1">
      <c r="U167" s="510">
        <f t="shared" si="89"/>
        <v>18</v>
      </c>
      <c r="V167" s="497" t="str">
        <f t="shared" si="72"/>
        <v/>
      </c>
      <c r="W167" s="497"/>
      <c r="X167" s="497"/>
      <c r="Y167" s="497"/>
      <c r="Z167" s="497"/>
      <c r="AA167" s="497"/>
      <c r="AB167" s="497"/>
      <c r="AC167" s="497"/>
      <c r="AD167" s="497"/>
      <c r="AE167" s="497"/>
      <c r="AF167" s="497"/>
      <c r="AG167" s="497"/>
      <c r="AH167" s="497"/>
      <c r="AI167" s="497"/>
      <c r="AJ167" s="497" t="str">
        <f t="shared" si="74"/>
        <v/>
      </c>
      <c r="AK167" s="497"/>
      <c r="AL167" s="497"/>
      <c r="AM167" s="497"/>
      <c r="AN167" s="497"/>
      <c r="AO167" s="497"/>
      <c r="AP167" s="497"/>
      <c r="AQ167" s="497"/>
      <c r="AR167" s="497"/>
      <c r="AS167" s="497"/>
      <c r="AT167" s="497"/>
      <c r="AU167" s="497"/>
      <c r="AV167" s="497"/>
      <c r="AW167" s="497"/>
      <c r="AX167" s="497" t="str">
        <f t="shared" si="76"/>
        <v/>
      </c>
      <c r="AY167" s="497"/>
      <c r="AZ167" s="497"/>
      <c r="BA167" s="511"/>
      <c r="BB167" s="511"/>
      <c r="BC167" s="511"/>
      <c r="BD167" s="511"/>
      <c r="BE167" s="511"/>
      <c r="BF167" s="511"/>
      <c r="BG167" s="511"/>
      <c r="BH167" s="511"/>
      <c r="BI167" s="511"/>
      <c r="BJ167" s="511"/>
      <c r="BK167" s="511"/>
      <c r="BL167" s="497" t="str">
        <f t="shared" si="78"/>
        <v/>
      </c>
      <c r="BM167" s="497"/>
      <c r="BN167" s="497"/>
      <c r="BO167" s="497"/>
      <c r="BP167" s="497"/>
      <c r="BQ167" s="497"/>
      <c r="BR167" s="497"/>
      <c r="BS167" s="497"/>
      <c r="BT167" s="497"/>
      <c r="BU167" s="497"/>
      <c r="BV167" s="497"/>
      <c r="BW167" s="497"/>
      <c r="BX167" s="497"/>
      <c r="BY167" s="497"/>
      <c r="BZ167" s="497" t="str">
        <f t="shared" si="79"/>
        <v/>
      </c>
      <c r="CA167" s="497"/>
      <c r="CB167" s="497"/>
      <c r="CC167" s="497"/>
      <c r="CD167" s="497"/>
      <c r="CE167" s="497"/>
      <c r="CF167" s="497"/>
      <c r="CG167" s="497"/>
      <c r="CH167" s="497"/>
      <c r="CI167" s="497"/>
      <c r="CJ167" s="497"/>
      <c r="CK167" s="497"/>
      <c r="CL167" s="497"/>
      <c r="CM167" s="1347"/>
      <c r="CN167" s="1347"/>
      <c r="CO167" s="1347"/>
      <c r="CP167" s="1347"/>
      <c r="CQ167" s="516"/>
    </row>
    <row r="168" spans="21:95" s="473" customFormat="1">
      <c r="U168" s="510">
        <f t="shared" si="89"/>
        <v>19</v>
      </c>
      <c r="V168" s="497" t="str">
        <f t="shared" si="72"/>
        <v/>
      </c>
      <c r="W168" s="497"/>
      <c r="X168" s="497"/>
      <c r="Y168" s="497"/>
      <c r="Z168" s="497"/>
      <c r="AA168" s="497"/>
      <c r="AB168" s="497"/>
      <c r="AC168" s="497"/>
      <c r="AD168" s="497"/>
      <c r="AE168" s="497"/>
      <c r="AF168" s="497"/>
      <c r="AG168" s="497"/>
      <c r="AH168" s="497"/>
      <c r="AI168" s="497"/>
      <c r="AJ168" s="497" t="str">
        <f t="shared" si="74"/>
        <v/>
      </c>
      <c r="AK168" s="497"/>
      <c r="AL168" s="497"/>
      <c r="AM168" s="497"/>
      <c r="AN168" s="497"/>
      <c r="AO168" s="497"/>
      <c r="AP168" s="497"/>
      <c r="AQ168" s="497"/>
      <c r="AR168" s="497"/>
      <c r="AS168" s="497"/>
      <c r="AT168" s="497"/>
      <c r="AU168" s="497"/>
      <c r="AV168" s="497"/>
      <c r="AW168" s="497"/>
      <c r="AX168" s="497" t="str">
        <f t="shared" si="76"/>
        <v/>
      </c>
      <c r="AY168" s="497"/>
      <c r="AZ168" s="497"/>
      <c r="BA168" s="511"/>
      <c r="BB168" s="511"/>
      <c r="BC168" s="511"/>
      <c r="BD168" s="511"/>
      <c r="BE168" s="511"/>
      <c r="BF168" s="511"/>
      <c r="BG168" s="511"/>
      <c r="BH168" s="511"/>
      <c r="BI168" s="511"/>
      <c r="BJ168" s="511"/>
      <c r="BK168" s="511"/>
      <c r="BL168" s="497" t="str">
        <f t="shared" si="78"/>
        <v/>
      </c>
      <c r="BM168" s="497"/>
      <c r="BN168" s="497"/>
      <c r="BO168" s="497"/>
      <c r="BP168" s="497"/>
      <c r="BQ168" s="497"/>
      <c r="BR168" s="497"/>
      <c r="BS168" s="497"/>
      <c r="BT168" s="497"/>
      <c r="BU168" s="497"/>
      <c r="BV168" s="497"/>
      <c r="BW168" s="497"/>
      <c r="BX168" s="497"/>
      <c r="BY168" s="497"/>
      <c r="BZ168" s="497" t="str">
        <f t="shared" si="79"/>
        <v/>
      </c>
      <c r="CA168" s="497"/>
      <c r="CB168" s="497"/>
      <c r="CC168" s="497"/>
      <c r="CD168" s="497"/>
      <c r="CE168" s="497"/>
      <c r="CF168" s="497"/>
      <c r="CG168" s="497"/>
      <c r="CH168" s="497"/>
      <c r="CI168" s="497"/>
      <c r="CJ168" s="497"/>
      <c r="CK168" s="497"/>
      <c r="CL168" s="497"/>
      <c r="CM168" s="1347"/>
      <c r="CN168" s="1347"/>
      <c r="CO168" s="1347"/>
      <c r="CP168" s="1347"/>
      <c r="CQ168" s="516"/>
    </row>
    <row r="169" spans="21:95" s="473" customFormat="1">
      <c r="U169" s="510">
        <f t="shared" si="89"/>
        <v>20</v>
      </c>
      <c r="V169" s="497"/>
      <c r="W169" s="497"/>
      <c r="X169" s="497"/>
      <c r="Y169" s="497"/>
      <c r="Z169" s="497"/>
      <c r="AA169" s="497"/>
      <c r="AB169" s="497"/>
      <c r="AC169" s="497"/>
      <c r="AD169" s="497"/>
      <c r="AE169" s="497"/>
      <c r="AF169" s="497"/>
      <c r="AG169" s="497"/>
      <c r="AH169" s="497"/>
      <c r="AI169" s="497"/>
      <c r="AJ169" s="497"/>
      <c r="AK169" s="497"/>
      <c r="AL169" s="497"/>
      <c r="AM169" s="497"/>
      <c r="AN169" s="497"/>
      <c r="AO169" s="497"/>
      <c r="AP169" s="497"/>
      <c r="AQ169" s="497"/>
      <c r="AR169" s="497"/>
      <c r="AS169" s="497"/>
      <c r="AT169" s="497"/>
      <c r="AU169" s="497"/>
      <c r="AV169" s="497"/>
      <c r="AW169" s="497"/>
      <c r="AX169" s="497"/>
      <c r="AY169" s="497"/>
      <c r="AZ169" s="497"/>
      <c r="BA169" s="511"/>
      <c r="BB169" s="511"/>
      <c r="BC169" s="511"/>
      <c r="BD169" s="511"/>
      <c r="BE169" s="511"/>
      <c r="BF169" s="511"/>
      <c r="BG169" s="511"/>
      <c r="BH169" s="511"/>
      <c r="BI169" s="511"/>
      <c r="BJ169" s="511"/>
      <c r="BK169" s="511"/>
      <c r="BL169" s="497" t="str">
        <f t="shared" si="78"/>
        <v/>
      </c>
      <c r="BM169" s="497"/>
      <c r="BN169" s="497"/>
      <c r="BO169" s="497"/>
      <c r="BP169" s="497"/>
      <c r="BQ169" s="497"/>
      <c r="BR169" s="497"/>
      <c r="BS169" s="497"/>
      <c r="BT169" s="497"/>
      <c r="BU169" s="497"/>
      <c r="BV169" s="497"/>
      <c r="BW169" s="497"/>
      <c r="BX169" s="497"/>
      <c r="BY169" s="497"/>
      <c r="BZ169" s="497"/>
      <c r="CA169" s="497"/>
      <c r="CB169" s="497"/>
      <c r="CC169" s="497"/>
      <c r="CD169" s="497"/>
      <c r="CE169" s="497"/>
      <c r="CF169" s="497"/>
      <c r="CG169" s="497"/>
      <c r="CH169" s="497"/>
      <c r="CI169" s="497"/>
      <c r="CJ169" s="497"/>
      <c r="CK169" s="497"/>
      <c r="CL169" s="497"/>
      <c r="CM169" s="1347"/>
      <c r="CN169" s="1347"/>
      <c r="CO169" s="1347"/>
      <c r="CP169" s="1347"/>
      <c r="CQ169" s="516"/>
    </row>
    <row r="170" spans="21:95" s="473" customFormat="1">
      <c r="U170" s="510">
        <f t="shared" si="89"/>
        <v>21</v>
      </c>
      <c r="V170" s="497"/>
      <c r="W170" s="497"/>
      <c r="X170" s="497"/>
      <c r="Y170" s="497"/>
      <c r="Z170" s="497"/>
      <c r="AA170" s="497"/>
      <c r="AB170" s="497"/>
      <c r="AC170" s="497"/>
      <c r="AD170" s="497"/>
      <c r="AE170" s="497"/>
      <c r="AF170" s="497"/>
      <c r="AG170" s="497"/>
      <c r="AH170" s="497"/>
      <c r="AI170" s="497"/>
      <c r="AJ170" s="497"/>
      <c r="AK170" s="497"/>
      <c r="AL170" s="497"/>
      <c r="AM170" s="497"/>
      <c r="AN170" s="497"/>
      <c r="AO170" s="497"/>
      <c r="AP170" s="497"/>
      <c r="AQ170" s="497"/>
      <c r="AR170" s="497"/>
      <c r="AS170" s="497"/>
      <c r="AT170" s="497"/>
      <c r="AU170" s="497"/>
      <c r="AV170" s="497"/>
      <c r="AW170" s="497"/>
      <c r="AX170" s="497"/>
      <c r="AY170" s="497"/>
      <c r="AZ170" s="497"/>
      <c r="BA170" s="511"/>
      <c r="BB170" s="511"/>
      <c r="BC170" s="511"/>
      <c r="BD170" s="511"/>
      <c r="BE170" s="511"/>
      <c r="BF170" s="511"/>
      <c r="BG170" s="511"/>
      <c r="BH170" s="511"/>
      <c r="BI170" s="511"/>
      <c r="BJ170" s="511"/>
      <c r="BK170" s="511"/>
      <c r="BL170" s="497" t="str">
        <f t="shared" si="78"/>
        <v/>
      </c>
      <c r="BM170" s="497"/>
      <c r="BN170" s="497"/>
      <c r="BO170" s="497"/>
      <c r="BP170" s="497"/>
      <c r="BQ170" s="497"/>
      <c r="BR170" s="497"/>
      <c r="BS170" s="497"/>
      <c r="BT170" s="497"/>
      <c r="BU170" s="497"/>
      <c r="BV170" s="497"/>
      <c r="BW170" s="497"/>
      <c r="BX170" s="497"/>
      <c r="BY170" s="497"/>
      <c r="BZ170" s="497"/>
      <c r="CA170" s="497"/>
      <c r="CB170" s="497"/>
      <c r="CC170" s="497"/>
      <c r="CD170" s="497"/>
      <c r="CE170" s="497"/>
      <c r="CF170" s="497"/>
      <c r="CG170" s="497"/>
      <c r="CH170" s="497"/>
      <c r="CI170" s="497"/>
      <c r="CJ170" s="497"/>
      <c r="CK170" s="497"/>
      <c r="CL170" s="497"/>
      <c r="CM170" s="1347"/>
      <c r="CN170" s="1347"/>
      <c r="CO170" s="1347"/>
      <c r="CP170" s="1347"/>
      <c r="CQ170" s="516"/>
    </row>
    <row r="171" spans="21:95" s="473" customFormat="1">
      <c r="U171" s="510">
        <f t="shared" si="89"/>
        <v>22</v>
      </c>
      <c r="V171" s="1347"/>
      <c r="W171" s="1347"/>
      <c r="X171" s="1347"/>
      <c r="Y171" s="1347"/>
      <c r="Z171" s="1347"/>
      <c r="AA171" s="1347"/>
      <c r="AB171" s="1347"/>
      <c r="AC171" s="1347"/>
      <c r="AD171" s="497"/>
      <c r="AE171" s="497"/>
      <c r="AF171" s="1347"/>
      <c r="AG171" s="1347"/>
      <c r="AH171" s="1347"/>
      <c r="AI171" s="1347"/>
      <c r="AJ171" s="1347"/>
      <c r="AK171" s="1347"/>
      <c r="AL171" s="1347"/>
      <c r="AM171" s="1347"/>
      <c r="AN171" s="1347"/>
      <c r="AO171" s="1347"/>
      <c r="AP171" s="1347"/>
      <c r="AQ171" s="1347"/>
      <c r="AR171" s="497"/>
      <c r="AS171" s="497"/>
      <c r="AT171" s="1347"/>
      <c r="AU171" s="1347"/>
      <c r="AV171" s="1347"/>
      <c r="AW171" s="1347"/>
      <c r="AX171" s="1347"/>
      <c r="AY171" s="1347"/>
      <c r="AZ171" s="1347"/>
      <c r="BA171" s="515"/>
      <c r="BB171" s="515"/>
      <c r="BC171" s="515"/>
      <c r="BD171" s="515"/>
      <c r="BE171" s="515"/>
      <c r="BF171" s="515"/>
      <c r="BG171" s="511"/>
      <c r="BH171" s="515"/>
      <c r="BI171" s="515"/>
      <c r="BJ171" s="515"/>
      <c r="BK171" s="515"/>
      <c r="BL171" s="497" t="str">
        <f t="shared" si="78"/>
        <v/>
      </c>
      <c r="BM171" s="497"/>
      <c r="BN171" s="497"/>
      <c r="BO171" s="497"/>
      <c r="BP171" s="497"/>
      <c r="BQ171" s="497"/>
      <c r="BR171" s="497"/>
      <c r="BS171" s="497"/>
      <c r="BT171" s="497"/>
      <c r="BU171" s="497"/>
      <c r="BV171" s="1347"/>
      <c r="BW171" s="1347"/>
      <c r="BX171" s="1347"/>
      <c r="BY171" s="1347"/>
      <c r="BZ171" s="1347"/>
      <c r="CA171" s="1347"/>
      <c r="CB171" s="1347"/>
      <c r="CC171" s="1347"/>
      <c r="CD171" s="1347"/>
      <c r="CE171" s="1347"/>
      <c r="CF171" s="1347"/>
      <c r="CG171" s="1347"/>
      <c r="CH171" s="1347"/>
      <c r="CI171" s="497"/>
      <c r="CJ171" s="1347"/>
      <c r="CK171" s="1347"/>
      <c r="CL171" s="1347"/>
      <c r="CM171" s="1347"/>
      <c r="CN171" s="1347"/>
      <c r="CO171" s="1347"/>
      <c r="CP171" s="1347"/>
      <c r="CQ171" s="516"/>
    </row>
    <row r="172" spans="21:95" s="473" customFormat="1">
      <c r="U172" s="510">
        <f t="shared" si="89"/>
        <v>23</v>
      </c>
      <c r="V172" s="1347"/>
      <c r="W172" s="1347"/>
      <c r="X172" s="1347"/>
      <c r="Y172" s="1347"/>
      <c r="Z172" s="1347"/>
      <c r="AA172" s="1347"/>
      <c r="AB172" s="1347"/>
      <c r="AC172" s="1347"/>
      <c r="AD172" s="497"/>
      <c r="AE172" s="497"/>
      <c r="AF172" s="1347"/>
      <c r="AG172" s="1347"/>
      <c r="AH172" s="1347"/>
      <c r="AI172" s="1347"/>
      <c r="AJ172" s="1347"/>
      <c r="AK172" s="1347"/>
      <c r="AL172" s="1347"/>
      <c r="AM172" s="1347"/>
      <c r="AN172" s="1347"/>
      <c r="AO172" s="1347"/>
      <c r="AP172" s="1347"/>
      <c r="AQ172" s="1347"/>
      <c r="AR172" s="497"/>
      <c r="AS172" s="497"/>
      <c r="AT172" s="1347"/>
      <c r="AU172" s="1347"/>
      <c r="AV172" s="1347"/>
      <c r="AW172" s="1347"/>
      <c r="AX172" s="1347"/>
      <c r="AY172" s="1347"/>
      <c r="AZ172" s="1347"/>
      <c r="BA172" s="517"/>
      <c r="BB172" s="517"/>
      <c r="BC172" s="517"/>
      <c r="BD172" s="517"/>
      <c r="BE172" s="517"/>
      <c r="BF172" s="517"/>
      <c r="BG172" s="521"/>
      <c r="BH172" s="517"/>
      <c r="BI172" s="517"/>
      <c r="BJ172" s="517"/>
      <c r="BK172" s="517"/>
      <c r="BL172" s="497" t="str">
        <f t="shared" si="78"/>
        <v/>
      </c>
      <c r="BM172" s="497"/>
      <c r="BN172" s="497"/>
      <c r="BO172" s="497"/>
      <c r="BP172" s="497"/>
      <c r="BQ172" s="497"/>
      <c r="BR172" s="497"/>
      <c r="BS172" s="497"/>
      <c r="BT172" s="497"/>
      <c r="BU172" s="497"/>
      <c r="BV172" s="1347"/>
      <c r="BW172" s="1347"/>
      <c r="BX172" s="1347"/>
      <c r="BY172" s="1347"/>
      <c r="BZ172" s="1347"/>
      <c r="CA172" s="1347"/>
      <c r="CB172" s="1347"/>
      <c r="CC172" s="1347"/>
      <c r="CD172" s="1347"/>
      <c r="CE172" s="1347"/>
      <c r="CF172" s="1347"/>
      <c r="CG172" s="1347"/>
      <c r="CH172" s="1347"/>
      <c r="CI172" s="497"/>
      <c r="CJ172" s="1347"/>
      <c r="CK172" s="1347"/>
      <c r="CL172" s="1347"/>
      <c r="CM172" s="1347"/>
      <c r="CN172" s="1347"/>
      <c r="CO172" s="1347"/>
      <c r="CP172" s="1347"/>
      <c r="CQ172" s="525"/>
    </row>
    <row r="173" spans="21:95" s="473" customFormat="1">
      <c r="U173" s="510">
        <f t="shared" si="89"/>
        <v>24</v>
      </c>
      <c r="V173" s="1347"/>
      <c r="W173" s="1347"/>
      <c r="X173" s="1347"/>
      <c r="Y173" s="1347"/>
      <c r="Z173" s="1347"/>
      <c r="AA173" s="1347"/>
      <c r="AB173" s="1347"/>
      <c r="AC173" s="1347"/>
      <c r="AD173" s="497"/>
      <c r="AE173" s="497"/>
      <c r="AF173" s="1347"/>
      <c r="AG173" s="1347"/>
      <c r="AH173" s="1347"/>
      <c r="AI173" s="1347"/>
      <c r="AJ173" s="1347"/>
      <c r="AK173" s="1347"/>
      <c r="AL173" s="1347"/>
      <c r="AM173" s="1347"/>
      <c r="AN173" s="1347"/>
      <c r="AO173" s="1347"/>
      <c r="AP173" s="1347"/>
      <c r="AQ173" s="1347"/>
      <c r="AR173" s="497"/>
      <c r="AS173" s="497"/>
      <c r="AT173" s="1347"/>
      <c r="AU173" s="1347"/>
      <c r="AV173" s="1347"/>
      <c r="AW173" s="1347"/>
      <c r="AX173" s="1347"/>
      <c r="AY173" s="1347"/>
      <c r="AZ173" s="1347"/>
      <c r="BA173" s="517"/>
      <c r="BB173" s="517"/>
      <c r="BC173" s="517"/>
      <c r="BD173" s="517"/>
      <c r="BE173" s="517"/>
      <c r="BF173" s="517"/>
      <c r="BG173" s="521"/>
      <c r="BH173" s="517"/>
      <c r="BI173" s="517"/>
      <c r="BJ173" s="517"/>
      <c r="BK173" s="517"/>
      <c r="BL173" s="497" t="str">
        <f t="shared" si="78"/>
        <v/>
      </c>
      <c r="BM173" s="497"/>
      <c r="BN173" s="497"/>
      <c r="BO173" s="497"/>
      <c r="BP173" s="497"/>
      <c r="BQ173" s="497"/>
      <c r="BR173" s="497"/>
      <c r="BS173" s="497"/>
      <c r="BT173" s="497"/>
      <c r="BU173" s="497"/>
      <c r="BV173" s="1347"/>
      <c r="BW173" s="1347"/>
      <c r="BX173" s="1347"/>
      <c r="BY173" s="1347"/>
      <c r="BZ173" s="1347"/>
      <c r="CA173" s="1347"/>
      <c r="CB173" s="1347"/>
      <c r="CC173" s="1347"/>
      <c r="CD173" s="1347"/>
      <c r="CE173" s="1347"/>
      <c r="CF173" s="1347"/>
      <c r="CG173" s="1347"/>
      <c r="CH173" s="1347"/>
      <c r="CI173" s="497"/>
      <c r="CJ173" s="1347"/>
      <c r="CK173" s="1347"/>
      <c r="CL173" s="1347"/>
      <c r="CM173" s="1347"/>
      <c r="CN173" s="1347"/>
      <c r="CO173" s="1347"/>
      <c r="CP173" s="1347"/>
      <c r="CQ173" s="525"/>
    </row>
    <row r="174" spans="21:95" s="473" customFormat="1">
      <c r="U174" s="510">
        <f t="shared" si="89"/>
        <v>25</v>
      </c>
      <c r="V174" s="1347"/>
      <c r="W174" s="1347"/>
      <c r="X174" s="1347"/>
      <c r="Y174" s="1347"/>
      <c r="Z174" s="1347"/>
      <c r="AA174" s="1347"/>
      <c r="AB174" s="1347"/>
      <c r="AC174" s="1347"/>
      <c r="AD174" s="497"/>
      <c r="AE174" s="497"/>
      <c r="AF174" s="1347"/>
      <c r="AG174" s="1347"/>
      <c r="AH174" s="1347"/>
      <c r="AI174" s="1347"/>
      <c r="AJ174" s="1347"/>
      <c r="AK174" s="1347"/>
      <c r="AL174" s="1347"/>
      <c r="AM174" s="1347"/>
      <c r="AN174" s="1347"/>
      <c r="AO174" s="1347"/>
      <c r="AP174" s="1347"/>
      <c r="AQ174" s="1347"/>
      <c r="AR174" s="497"/>
      <c r="AS174" s="497"/>
      <c r="AT174" s="1347"/>
      <c r="AU174" s="1347"/>
      <c r="AV174" s="1347"/>
      <c r="AW174" s="1347"/>
      <c r="AX174" s="1347"/>
      <c r="AY174" s="1347"/>
      <c r="AZ174" s="1347"/>
      <c r="BA174" s="517"/>
      <c r="BB174" s="517"/>
      <c r="BC174" s="517"/>
      <c r="BD174" s="517"/>
      <c r="BE174" s="517"/>
      <c r="BF174" s="517"/>
      <c r="BG174" s="521"/>
      <c r="BH174" s="517"/>
      <c r="BI174" s="517"/>
      <c r="BJ174" s="517"/>
      <c r="BK174" s="517"/>
      <c r="BL174" s="517"/>
      <c r="BM174" s="517"/>
      <c r="BN174" s="517"/>
      <c r="BO174" s="517"/>
      <c r="BP174" s="517"/>
      <c r="BQ174" s="517"/>
      <c r="BR174" s="517"/>
      <c r="BS174" s="517"/>
      <c r="BT174" s="521"/>
      <c r="BU174" s="521"/>
      <c r="BV174" s="517"/>
      <c r="BW174" s="517"/>
      <c r="BX174" s="517"/>
      <c r="BY174" s="517"/>
      <c r="BZ174" s="517"/>
      <c r="CA174" s="517"/>
      <c r="CB174" s="517"/>
      <c r="CC174" s="517"/>
      <c r="CD174" s="517"/>
      <c r="CE174" s="517"/>
      <c r="CF174" s="517"/>
      <c r="CG174" s="517"/>
      <c r="CH174" s="517"/>
      <c r="CI174" s="521"/>
      <c r="CJ174" s="517"/>
      <c r="CK174" s="517"/>
      <c r="CL174" s="517"/>
      <c r="CM174" s="517"/>
      <c r="CN174" s="517"/>
      <c r="CO174" s="517"/>
      <c r="CP174" s="517"/>
      <c r="CQ174" s="525"/>
    </row>
    <row r="175" spans="21:95" s="473" customFormat="1">
      <c r="U175" s="510">
        <f t="shared" si="89"/>
        <v>26</v>
      </c>
      <c r="V175" s="1347"/>
      <c r="W175" s="1347"/>
      <c r="X175" s="1347"/>
      <c r="Y175" s="1347"/>
      <c r="Z175" s="1347"/>
      <c r="AA175" s="1347"/>
      <c r="AB175" s="1347"/>
      <c r="AC175" s="1347"/>
      <c r="AD175" s="497"/>
      <c r="AE175" s="497"/>
      <c r="AF175" s="1347"/>
      <c r="AG175" s="1347"/>
      <c r="AH175" s="1347"/>
      <c r="AI175" s="1347"/>
      <c r="AJ175" s="1347"/>
      <c r="AK175" s="1347"/>
      <c r="AL175" s="1347"/>
      <c r="AM175" s="1347"/>
      <c r="AN175" s="1347"/>
      <c r="AO175" s="1347"/>
      <c r="AP175" s="1347"/>
      <c r="AQ175" s="1347"/>
      <c r="AR175" s="497"/>
      <c r="AS175" s="497"/>
      <c r="AT175" s="1347"/>
      <c r="AU175" s="1347"/>
      <c r="AV175" s="1347"/>
      <c r="AW175" s="1347"/>
      <c r="AX175" s="1347"/>
      <c r="AY175" s="1347"/>
      <c r="AZ175" s="1347"/>
      <c r="BA175" s="517"/>
      <c r="BB175" s="517"/>
      <c r="BC175" s="517"/>
      <c r="BD175" s="517"/>
      <c r="BE175" s="517"/>
      <c r="BF175" s="517"/>
      <c r="BG175" s="521"/>
      <c r="BH175" s="517"/>
      <c r="BI175" s="517"/>
      <c r="BJ175" s="517"/>
      <c r="BK175" s="517"/>
      <c r="BL175" s="517"/>
      <c r="BM175" s="517"/>
      <c r="BN175" s="517"/>
      <c r="BO175" s="517"/>
      <c r="BP175" s="517"/>
      <c r="BQ175" s="517"/>
      <c r="BR175" s="517"/>
      <c r="BS175" s="517"/>
      <c r="BT175" s="521"/>
      <c r="BU175" s="521"/>
      <c r="BV175" s="517"/>
      <c r="BW175" s="517"/>
      <c r="BX175" s="517"/>
      <c r="BY175" s="517"/>
      <c r="BZ175" s="517"/>
      <c r="CA175" s="517"/>
      <c r="CB175" s="517"/>
      <c r="CC175" s="517"/>
      <c r="CD175" s="517"/>
      <c r="CE175" s="517"/>
      <c r="CF175" s="517"/>
      <c r="CG175" s="517"/>
      <c r="CH175" s="517"/>
      <c r="CI175" s="521"/>
      <c r="CJ175" s="517"/>
      <c r="CK175" s="517"/>
      <c r="CL175" s="517"/>
      <c r="CM175" s="517"/>
      <c r="CN175" s="517"/>
      <c r="CO175" s="517"/>
      <c r="CP175" s="517"/>
      <c r="CQ175" s="525"/>
    </row>
    <row r="176" spans="21:95" s="473" customFormat="1">
      <c r="U176" s="510">
        <f t="shared" si="89"/>
        <v>27</v>
      </c>
      <c r="V176" s="1347"/>
      <c r="W176" s="1347"/>
      <c r="X176" s="1347"/>
      <c r="Y176" s="1347"/>
      <c r="Z176" s="1347"/>
      <c r="AA176" s="1347"/>
      <c r="AB176" s="1347"/>
      <c r="AC176" s="1347"/>
      <c r="AD176" s="497"/>
      <c r="AE176" s="497"/>
      <c r="AF176" s="1347"/>
      <c r="AG176" s="1347"/>
      <c r="AH176" s="1347"/>
      <c r="AI176" s="1347"/>
      <c r="AJ176" s="1347"/>
      <c r="AK176" s="1347"/>
      <c r="AL176" s="1347"/>
      <c r="AM176" s="1347"/>
      <c r="AN176" s="1347"/>
      <c r="AO176" s="1347"/>
      <c r="AP176" s="1347"/>
      <c r="AQ176" s="1347"/>
      <c r="AR176" s="497"/>
      <c r="AS176" s="497"/>
      <c r="AT176" s="1347"/>
      <c r="AU176" s="1347"/>
      <c r="AV176" s="1347"/>
      <c r="AW176" s="1347"/>
      <c r="AX176" s="1347"/>
      <c r="AY176" s="1347"/>
      <c r="AZ176" s="1347"/>
      <c r="BA176" s="517"/>
      <c r="BB176" s="517"/>
      <c r="BC176" s="517"/>
      <c r="BD176" s="517"/>
      <c r="BE176" s="517"/>
      <c r="BF176" s="517"/>
      <c r="BG176" s="521"/>
      <c r="BH176" s="517"/>
      <c r="BI176" s="517"/>
      <c r="BJ176" s="517"/>
      <c r="BK176" s="517"/>
      <c r="BL176" s="517"/>
      <c r="BM176" s="517"/>
      <c r="BN176" s="517"/>
      <c r="BO176" s="517"/>
      <c r="BP176" s="517"/>
      <c r="BQ176" s="517"/>
      <c r="BR176" s="517"/>
      <c r="BS176" s="517"/>
      <c r="BT176" s="521"/>
      <c r="BU176" s="521"/>
      <c r="BV176" s="517"/>
      <c r="BW176" s="517"/>
      <c r="BX176" s="517"/>
      <c r="BY176" s="517"/>
      <c r="BZ176" s="517"/>
      <c r="CA176" s="517"/>
      <c r="CB176" s="517"/>
      <c r="CC176" s="517"/>
      <c r="CD176" s="517"/>
      <c r="CE176" s="517"/>
      <c r="CF176" s="517"/>
      <c r="CG176" s="517"/>
      <c r="CH176" s="517"/>
      <c r="CI176" s="521"/>
      <c r="CJ176" s="517"/>
      <c r="CK176" s="517"/>
      <c r="CL176" s="517"/>
      <c r="CM176" s="517"/>
      <c r="CN176" s="517"/>
      <c r="CO176" s="517"/>
      <c r="CP176" s="517"/>
      <c r="CQ176" s="525"/>
    </row>
    <row r="177" spans="21:95" s="473" customFormat="1">
      <c r="U177" s="518"/>
      <c r="V177" s="517"/>
      <c r="W177" s="517"/>
      <c r="X177" s="517"/>
      <c r="Y177" s="517"/>
      <c r="Z177" s="517"/>
      <c r="AA177" s="517"/>
      <c r="AB177" s="517"/>
      <c r="AC177" s="517"/>
      <c r="AD177" s="517"/>
      <c r="AE177" s="517"/>
      <c r="AF177" s="517"/>
      <c r="AG177" s="517"/>
      <c r="AH177" s="517"/>
      <c r="AI177" s="517"/>
      <c r="AJ177" s="517"/>
      <c r="AK177" s="517"/>
      <c r="AL177" s="517"/>
      <c r="AM177" s="517"/>
      <c r="AN177" s="517"/>
      <c r="AO177" s="517"/>
      <c r="AP177" s="517"/>
      <c r="AQ177" s="517"/>
      <c r="AR177" s="517"/>
      <c r="AS177" s="517"/>
      <c r="AT177" s="517"/>
      <c r="AU177" s="517"/>
      <c r="AV177" s="517"/>
      <c r="AW177" s="517"/>
      <c r="AX177" s="517"/>
      <c r="AY177" s="517"/>
      <c r="AZ177" s="517"/>
      <c r="BA177" s="517"/>
      <c r="BB177" s="517"/>
      <c r="BC177" s="517"/>
      <c r="BD177" s="517"/>
      <c r="BE177" s="517"/>
      <c r="BF177" s="517"/>
      <c r="BG177" s="517"/>
      <c r="BH177" s="517"/>
      <c r="BI177" s="517"/>
      <c r="BJ177" s="517"/>
      <c r="BK177" s="517"/>
      <c r="BL177" s="517"/>
      <c r="BM177" s="517"/>
      <c r="BN177" s="517"/>
      <c r="BO177" s="517"/>
      <c r="BP177" s="517"/>
      <c r="BQ177" s="517"/>
      <c r="BR177" s="517"/>
      <c r="BS177" s="517"/>
      <c r="BT177" s="517"/>
      <c r="BU177" s="517"/>
      <c r="BV177" s="517"/>
      <c r="BW177" s="517"/>
      <c r="BX177" s="517"/>
      <c r="BY177" s="517"/>
      <c r="BZ177" s="517"/>
      <c r="CA177" s="517"/>
      <c r="CB177" s="517"/>
      <c r="CC177" s="517"/>
      <c r="CD177" s="517"/>
      <c r="CE177" s="517"/>
      <c r="CF177" s="517"/>
      <c r="CG177" s="517"/>
      <c r="CH177" s="517"/>
      <c r="CI177" s="517"/>
      <c r="CJ177" s="517"/>
      <c r="CK177" s="517"/>
      <c r="CL177" s="517"/>
      <c r="CM177" s="517"/>
      <c r="CN177" s="517"/>
      <c r="CO177" s="517"/>
      <c r="CP177" s="517"/>
      <c r="CQ177" s="525"/>
    </row>
    <row r="178" spans="21:95" s="473" customFormat="1">
      <c r="U178" s="518"/>
      <c r="V178" s="517"/>
      <c r="W178" s="517"/>
      <c r="X178" s="517"/>
      <c r="Y178" s="517"/>
      <c r="Z178" s="517"/>
      <c r="AA178" s="517"/>
      <c r="AB178" s="517"/>
      <c r="AC178" s="517"/>
      <c r="AD178" s="517"/>
      <c r="AE178" s="517"/>
      <c r="AF178" s="517"/>
      <c r="AG178" s="517"/>
      <c r="AH178" s="517"/>
      <c r="AI178" s="517"/>
      <c r="AJ178" s="517"/>
      <c r="AK178" s="517"/>
      <c r="AL178" s="517"/>
      <c r="AM178" s="517"/>
      <c r="AN178" s="517"/>
      <c r="AO178" s="517"/>
      <c r="AP178" s="517"/>
      <c r="AQ178" s="517"/>
      <c r="AR178" s="517"/>
      <c r="AS178" s="517"/>
      <c r="AT178" s="517"/>
      <c r="AU178" s="517"/>
      <c r="AV178" s="517"/>
      <c r="AW178" s="517"/>
      <c r="AX178" s="517"/>
      <c r="AY178" s="517"/>
      <c r="AZ178" s="517"/>
      <c r="BA178" s="517"/>
      <c r="BB178" s="517"/>
      <c r="BC178" s="517"/>
      <c r="BD178" s="517"/>
      <c r="BE178" s="517"/>
      <c r="BF178" s="517"/>
      <c r="BG178" s="517"/>
      <c r="BH178" s="517"/>
      <c r="BI178" s="517"/>
      <c r="BJ178" s="517"/>
      <c r="BK178" s="517"/>
      <c r="BL178" s="517"/>
      <c r="BM178" s="517"/>
      <c r="BN178" s="517"/>
      <c r="BO178" s="517"/>
      <c r="BP178" s="517"/>
      <c r="BQ178" s="517"/>
      <c r="BR178" s="517"/>
      <c r="BS178" s="517"/>
      <c r="BT178" s="517"/>
      <c r="BU178" s="517"/>
      <c r="BV178" s="517"/>
      <c r="BW178" s="517"/>
      <c r="BX178" s="517"/>
      <c r="BY178" s="517"/>
      <c r="BZ178" s="517"/>
      <c r="CA178" s="517"/>
      <c r="CB178" s="517"/>
      <c r="CC178" s="517"/>
      <c r="CD178" s="517"/>
      <c r="CE178" s="517"/>
      <c r="CF178" s="517"/>
      <c r="CG178" s="517"/>
      <c r="CH178" s="517"/>
      <c r="CI178" s="517"/>
      <c r="CJ178" s="517"/>
      <c r="CK178" s="517"/>
      <c r="CL178" s="517"/>
      <c r="CM178" s="517"/>
      <c r="CN178" s="517"/>
      <c r="CO178" s="517"/>
      <c r="CP178" s="517"/>
      <c r="CQ178" s="525"/>
    </row>
    <row r="179" spans="21:95" s="473" customFormat="1">
      <c r="U179" s="519"/>
      <c r="V179" s="520"/>
      <c r="W179" s="520"/>
      <c r="X179" s="520"/>
      <c r="Y179" s="520"/>
      <c r="Z179" s="520"/>
      <c r="AA179" s="520"/>
      <c r="AB179" s="520"/>
      <c r="AC179" s="520"/>
      <c r="AD179" s="520"/>
      <c r="AE179" s="520"/>
      <c r="AF179" s="520"/>
      <c r="AG179" s="520"/>
      <c r="AH179" s="520"/>
      <c r="AI179" s="520"/>
      <c r="AJ179" s="520"/>
      <c r="AK179" s="520"/>
      <c r="AL179" s="520"/>
      <c r="AM179" s="520"/>
      <c r="AN179" s="520"/>
      <c r="AO179" s="520"/>
      <c r="AP179" s="520"/>
      <c r="AQ179" s="520"/>
      <c r="AR179" s="520"/>
      <c r="AS179" s="520"/>
      <c r="AT179" s="520"/>
      <c r="AU179" s="520"/>
      <c r="AV179" s="520"/>
      <c r="AW179" s="520"/>
      <c r="AX179" s="520"/>
      <c r="AY179" s="520"/>
      <c r="AZ179" s="520"/>
      <c r="BA179" s="520"/>
      <c r="BB179" s="520"/>
      <c r="BC179" s="520"/>
      <c r="BD179" s="520"/>
      <c r="BE179" s="520"/>
      <c r="BF179" s="520"/>
      <c r="BG179" s="520"/>
      <c r="BH179" s="520"/>
      <c r="BI179" s="520"/>
      <c r="BJ179" s="520"/>
      <c r="BK179" s="520"/>
      <c r="BL179" s="520"/>
      <c r="BM179" s="520"/>
      <c r="BN179" s="520"/>
      <c r="BO179" s="520"/>
      <c r="BP179" s="520"/>
      <c r="BQ179" s="520"/>
      <c r="BR179" s="520"/>
      <c r="BS179" s="520"/>
      <c r="BT179" s="520"/>
      <c r="BU179" s="520"/>
      <c r="BV179" s="520"/>
      <c r="BW179" s="520"/>
      <c r="BX179" s="520"/>
      <c r="BY179" s="520"/>
      <c r="BZ179" s="520"/>
      <c r="CA179" s="520"/>
      <c r="CB179" s="520"/>
      <c r="CC179" s="520"/>
      <c r="CD179" s="520"/>
      <c r="CE179" s="520"/>
      <c r="CF179" s="520"/>
      <c r="CG179" s="520"/>
      <c r="CH179" s="520"/>
      <c r="CI179" s="520"/>
      <c r="CJ179" s="520"/>
      <c r="CK179" s="520"/>
      <c r="CL179" s="520"/>
      <c r="CM179" s="520"/>
      <c r="CN179" s="520"/>
      <c r="CO179" s="520"/>
      <c r="CP179" s="520"/>
      <c r="CQ179" s="526"/>
    </row>
    <row r="180" spans="21:95">
      <c r="U180" s="517"/>
      <c r="V180" s="517"/>
      <c r="W180" s="517"/>
      <c r="X180" s="517"/>
      <c r="Y180" s="517"/>
      <c r="Z180" s="517"/>
      <c r="AA180" s="517"/>
      <c r="AB180" s="517"/>
      <c r="AC180" s="517"/>
      <c r="AD180" s="517"/>
      <c r="AE180" s="517"/>
      <c r="AF180" s="517"/>
      <c r="AG180" s="517"/>
      <c r="AH180" s="517"/>
      <c r="AI180" s="517"/>
      <c r="AJ180" s="517"/>
      <c r="AK180" s="517"/>
      <c r="AL180" s="517"/>
      <c r="AM180" s="517"/>
      <c r="AN180" s="517"/>
      <c r="AO180" s="517"/>
      <c r="AP180" s="517"/>
      <c r="AQ180" s="517"/>
      <c r="AR180" s="517"/>
      <c r="AS180" s="517"/>
      <c r="AT180" s="517"/>
      <c r="AU180" s="517"/>
      <c r="AV180" s="517"/>
      <c r="AW180" s="517"/>
      <c r="AX180" s="517"/>
      <c r="AY180" s="517"/>
      <c r="AZ180" s="517"/>
      <c r="BA180" s="517"/>
      <c r="BB180" s="517"/>
      <c r="BC180" s="517"/>
      <c r="BD180" s="517"/>
      <c r="BE180" s="517"/>
      <c r="BF180" s="517"/>
      <c r="BG180" s="517"/>
      <c r="BH180" s="517"/>
      <c r="BI180" s="517"/>
      <c r="BJ180" s="517"/>
      <c r="BK180" s="517"/>
      <c r="BL180" s="517"/>
      <c r="BM180" s="517"/>
      <c r="BN180" s="517"/>
      <c r="BO180" s="517"/>
      <c r="BP180" s="517"/>
      <c r="BQ180" s="517"/>
      <c r="BR180" s="517"/>
      <c r="BS180" s="517"/>
      <c r="BT180" s="517"/>
      <c r="BU180" s="517"/>
      <c r="BV180" s="517"/>
      <c r="BW180" s="517"/>
      <c r="BX180" s="517"/>
      <c r="BY180" s="517"/>
      <c r="BZ180" s="517"/>
      <c r="CA180" s="517"/>
      <c r="CB180" s="517"/>
      <c r="CC180" s="517"/>
      <c r="CD180" s="517"/>
      <c r="CE180" s="517"/>
      <c r="CF180" s="517"/>
      <c r="CG180" s="517"/>
      <c r="CH180" s="517"/>
      <c r="CI180" s="517"/>
      <c r="CJ180" s="517"/>
      <c r="CK180" s="517"/>
      <c r="CL180" s="517"/>
      <c r="CM180" s="517"/>
      <c r="CN180" s="517"/>
      <c r="CO180" s="517"/>
      <c r="CP180" s="517"/>
      <c r="CQ180" s="517"/>
    </row>
  </sheetData>
  <mergeCells count="9">
    <mergeCell ref="M45:N45"/>
    <mergeCell ref="O45:P45"/>
    <mergeCell ref="Q45:R45"/>
    <mergeCell ref="S45:T45"/>
    <mergeCell ref="C45:D45"/>
    <mergeCell ref="E45:F45"/>
    <mergeCell ref="G45:H45"/>
    <mergeCell ref="I45:J45"/>
    <mergeCell ref="K45:L45"/>
  </mergeCells>
  <phoneticPr fontId="93" type="noConversion"/>
  <hyperlinks>
    <hyperlink ref="N1" location="Content!A1" display="content" xr:uid="{00000000-0004-0000-1200-000000000000}"/>
  </hyperlink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G167"/>
  <sheetViews>
    <sheetView topLeftCell="A4" zoomScale="70" zoomScaleNormal="70" workbookViewId="0">
      <selection activeCell="U87" sqref="U87"/>
    </sheetView>
  </sheetViews>
  <sheetFormatPr defaultColWidth="9" defaultRowHeight="14.4"/>
  <cols>
    <col min="1" max="1" width="12.77734375" customWidth="1"/>
    <col min="2" max="2" width="10.77734375" customWidth="1"/>
    <col min="3" max="3" width="7.5546875" customWidth="1"/>
    <col min="4" max="4" width="10.77734375" customWidth="1"/>
    <col min="5" max="5" width="7.5546875" customWidth="1"/>
    <col min="6" max="6" width="10.77734375" customWidth="1"/>
    <col min="7" max="7" width="7.5546875" customWidth="1"/>
    <col min="8" max="8" width="10.77734375" customWidth="1"/>
    <col min="9" max="9" width="7.5546875" customWidth="1"/>
    <col min="10" max="10" width="10.77734375" customWidth="1"/>
    <col min="11" max="11" width="7.5546875" customWidth="1"/>
    <col min="12" max="12" width="10.77734375" customWidth="1"/>
    <col min="13" max="13" width="7.5546875" customWidth="1"/>
    <col min="14" max="14" width="10.77734375" customWidth="1"/>
    <col min="15" max="15" width="7.5546875" customWidth="1"/>
    <col min="16" max="16" width="10.77734375" customWidth="1"/>
    <col min="17" max="17" width="7.5546875" customWidth="1"/>
    <col min="18" max="18" width="10.77734375" customWidth="1"/>
    <col min="19" max="19" width="7.5546875" customWidth="1"/>
    <col min="20" max="20" width="10.77734375" customWidth="1"/>
    <col min="21" max="21" width="7.5546875" customWidth="1"/>
    <col min="22" max="22" width="10.77734375" customWidth="1"/>
    <col min="23" max="23" width="7.5546875" customWidth="1"/>
    <col min="24" max="24" width="10.77734375" customWidth="1"/>
    <col min="25" max="25" width="7.5546875" customWidth="1"/>
    <col min="26" max="26" width="10.77734375" customWidth="1"/>
    <col min="27" max="27" width="7.5546875" customWidth="1"/>
    <col min="28" max="28" width="10.109375" customWidth="1"/>
    <col min="29" max="29" width="9" customWidth="1"/>
    <col min="30" max="30" width="11" customWidth="1"/>
  </cols>
  <sheetData>
    <row r="1" spans="1:33" ht="21">
      <c r="A1" s="528" t="s">
        <v>47</v>
      </c>
      <c r="AC1" s="57" t="s">
        <v>48</v>
      </c>
    </row>
    <row r="2" spans="1:33" ht="18">
      <c r="A2" s="529" t="s">
        <v>49</v>
      </c>
    </row>
    <row r="3" spans="1:33" ht="18">
      <c r="A3" s="529" t="s">
        <v>50</v>
      </c>
    </row>
    <row r="6" spans="1:33">
      <c r="A6" s="1109" t="s">
        <v>51</v>
      </c>
      <c r="B6" s="1353">
        <v>2008</v>
      </c>
      <c r="C6" s="1354"/>
      <c r="D6" s="1353">
        <v>2009</v>
      </c>
      <c r="E6" s="1354"/>
      <c r="F6" s="1353">
        <v>2010</v>
      </c>
      <c r="G6" s="1354"/>
      <c r="H6" s="1353">
        <v>2011</v>
      </c>
      <c r="I6" s="1354"/>
      <c r="J6" s="1353">
        <v>2012</v>
      </c>
      <c r="K6" s="1354"/>
      <c r="L6" s="1353">
        <v>2013</v>
      </c>
      <c r="M6" s="1354"/>
      <c r="N6" s="1353">
        <v>2014</v>
      </c>
      <c r="O6" s="1354"/>
      <c r="P6" s="1353">
        <v>2015</v>
      </c>
      <c r="Q6" s="1354"/>
      <c r="R6" s="1353">
        <v>2016</v>
      </c>
      <c r="S6" s="1354"/>
      <c r="T6" s="1353">
        <v>2017</v>
      </c>
      <c r="U6" s="1354"/>
      <c r="V6" s="1353">
        <v>2018</v>
      </c>
      <c r="W6" s="1354"/>
      <c r="X6" s="1353">
        <v>2019</v>
      </c>
      <c r="Y6" s="1354"/>
      <c r="Z6" s="1355">
        <v>2020</v>
      </c>
      <c r="AA6" s="1355"/>
      <c r="AB6" s="1357">
        <v>2021</v>
      </c>
      <c r="AC6" s="1358"/>
      <c r="AD6" s="1357">
        <v>2022</v>
      </c>
      <c r="AE6" s="1358"/>
      <c r="AF6" s="1357">
        <v>2023</v>
      </c>
      <c r="AG6" s="1358"/>
    </row>
    <row r="7" spans="1:33">
      <c r="A7" s="809"/>
      <c r="B7" s="1198" t="s">
        <v>52</v>
      </c>
      <c r="C7" s="1201" t="s">
        <v>53</v>
      </c>
      <c r="D7" s="1198" t="s">
        <v>52</v>
      </c>
      <c r="E7" s="1201" t="s">
        <v>53</v>
      </c>
      <c r="F7" s="1198" t="s">
        <v>52</v>
      </c>
      <c r="G7" s="1201" t="s">
        <v>53</v>
      </c>
      <c r="H7" s="1198" t="s">
        <v>52</v>
      </c>
      <c r="I7" s="1201" t="s">
        <v>53</v>
      </c>
      <c r="J7" s="1198" t="s">
        <v>52</v>
      </c>
      <c r="K7" s="1201" t="s">
        <v>53</v>
      </c>
      <c r="L7" s="1198" t="s">
        <v>52</v>
      </c>
      <c r="M7" s="1201" t="s">
        <v>53</v>
      </c>
      <c r="N7" s="1198" t="s">
        <v>52</v>
      </c>
      <c r="O7" s="1201" t="s">
        <v>53</v>
      </c>
      <c r="P7" s="1198" t="s">
        <v>52</v>
      </c>
      <c r="Q7" s="1201" t="s">
        <v>53</v>
      </c>
      <c r="R7" s="1198" t="s">
        <v>52</v>
      </c>
      <c r="S7" s="1201" t="s">
        <v>53</v>
      </c>
      <c r="T7" s="1198" t="s">
        <v>52</v>
      </c>
      <c r="U7" s="1201" t="s">
        <v>53</v>
      </c>
      <c r="V7" s="1198" t="s">
        <v>52</v>
      </c>
      <c r="W7" s="1201" t="s">
        <v>53</v>
      </c>
      <c r="X7" s="1198" t="s">
        <v>52</v>
      </c>
      <c r="Y7" s="1201" t="s">
        <v>53</v>
      </c>
      <c r="Z7" s="1198" t="s">
        <v>52</v>
      </c>
      <c r="AA7" s="1123" t="s">
        <v>53</v>
      </c>
      <c r="AB7" s="1283" t="s">
        <v>52</v>
      </c>
      <c r="AC7" s="1284" t="s">
        <v>53</v>
      </c>
      <c r="AD7" s="1283" t="s">
        <v>52</v>
      </c>
      <c r="AE7" s="1284" t="s">
        <v>53</v>
      </c>
      <c r="AF7" s="1283" t="s">
        <v>52</v>
      </c>
      <c r="AG7" s="1284" t="s">
        <v>53</v>
      </c>
    </row>
    <row r="8" spans="1:33">
      <c r="A8" s="1118" t="s">
        <v>54</v>
      </c>
      <c r="B8" s="1278">
        <v>2365000</v>
      </c>
      <c r="C8" s="1279">
        <v>0.34974859509021</v>
      </c>
      <c r="D8" s="1278">
        <v>1790613</v>
      </c>
      <c r="E8" s="1279">
        <v>0.25855633161680902</v>
      </c>
      <c r="F8" s="1278">
        <v>1930762</v>
      </c>
      <c r="G8" s="1279">
        <v>0.26089051517026901</v>
      </c>
      <c r="H8" s="1278">
        <v>2005741</v>
      </c>
      <c r="I8" s="1279">
        <v>0.25425133721021598</v>
      </c>
      <c r="J8" s="1278">
        <v>2135765</v>
      </c>
      <c r="K8" s="1279">
        <v>0.25002847664745198</v>
      </c>
      <c r="L8" s="1278">
        <v>2368820</v>
      </c>
      <c r="M8" s="1279">
        <v>0.25069419735884302</v>
      </c>
      <c r="N8" s="1278">
        <v>2484819</v>
      </c>
      <c r="O8" s="1279">
        <v>0.24766497707312399</v>
      </c>
      <c r="P8" s="1278">
        <v>2493883</v>
      </c>
      <c r="Q8" s="1279">
        <v>0.236907424603335</v>
      </c>
      <c r="R8" s="1278">
        <v>3185424</v>
      </c>
      <c r="S8" s="1279">
        <v>0.27063605620970099</v>
      </c>
      <c r="T8" s="1278">
        <v>4361241</v>
      </c>
      <c r="U8" s="1279">
        <v>0.319833830535865</v>
      </c>
      <c r="V8" s="1278">
        <v>4093382</v>
      </c>
      <c r="W8" s="1279">
        <v>0.29494692747735202</v>
      </c>
      <c r="X8" s="1278">
        <v>4641346</v>
      </c>
      <c r="Y8" s="1279">
        <v>0.31180039920374197</v>
      </c>
      <c r="Z8" s="1278">
        <v>4852303</v>
      </c>
      <c r="AA8" s="1285">
        <v>0.306303234775543</v>
      </c>
      <c r="AB8" s="1286">
        <v>4904251</v>
      </c>
      <c r="AC8" s="1287">
        <v>0.3</v>
      </c>
      <c r="AD8" s="1286">
        <v>4831321</v>
      </c>
      <c r="AE8" s="1287">
        <v>0.28045232078757798</v>
      </c>
      <c r="AF8" s="1286">
        <v>5125504</v>
      </c>
      <c r="AG8" s="1287">
        <v>0.27703098469290799</v>
      </c>
    </row>
    <row r="9" spans="1:33">
      <c r="A9" s="1118" t="s">
        <v>55</v>
      </c>
      <c r="B9" s="1278">
        <v>1270000</v>
      </c>
      <c r="C9" s="1279">
        <v>0.18781425613723801</v>
      </c>
      <c r="D9" s="1278">
        <v>1347998</v>
      </c>
      <c r="E9" s="1279">
        <v>0.19464474898082099</v>
      </c>
      <c r="F9" s="1278">
        <v>1423432</v>
      </c>
      <c r="G9" s="1279">
        <v>0.192338521158924</v>
      </c>
      <c r="H9" s="1278">
        <v>1542096</v>
      </c>
      <c r="I9" s="1279">
        <v>0.195478862977087</v>
      </c>
      <c r="J9" s="1278">
        <v>1694435</v>
      </c>
      <c r="K9" s="1279">
        <v>0.19836311664819101</v>
      </c>
      <c r="L9" s="1278">
        <v>1838177</v>
      </c>
      <c r="M9" s="1279">
        <v>0.19453580585206401</v>
      </c>
      <c r="N9" s="1278">
        <v>1920490</v>
      </c>
      <c r="O9" s="1279">
        <v>0.191417609016659</v>
      </c>
      <c r="P9" s="1278">
        <v>1946568</v>
      </c>
      <c r="Q9" s="1279">
        <v>0.18491501473616201</v>
      </c>
      <c r="R9" s="1278">
        <v>1980985</v>
      </c>
      <c r="S9" s="1279">
        <v>0.16830599876517999</v>
      </c>
      <c r="T9" s="1278">
        <v>2013666</v>
      </c>
      <c r="U9" s="1279">
        <v>0.14767322195673999</v>
      </c>
      <c r="V9" s="1278">
        <v>2054308</v>
      </c>
      <c r="W9" s="1279">
        <v>0.14802230348698101</v>
      </c>
      <c r="X9" s="1278">
        <v>2053879</v>
      </c>
      <c r="Y9" s="1279">
        <v>0.137977279029873</v>
      </c>
      <c r="Z9" s="1278">
        <v>2039040</v>
      </c>
      <c r="AA9" s="1285">
        <v>0.1287150756737</v>
      </c>
      <c r="AB9" s="1286">
        <v>2020424</v>
      </c>
      <c r="AC9" s="1287">
        <v>0.12</v>
      </c>
      <c r="AD9" s="1286">
        <v>2029223</v>
      </c>
      <c r="AE9" s="1287">
        <v>0.11779393249704</v>
      </c>
      <c r="AF9" s="1286">
        <v>2063676</v>
      </c>
      <c r="AG9" s="1287">
        <v>0.111540678607825</v>
      </c>
    </row>
    <row r="10" spans="1:33">
      <c r="A10" s="1118" t="s">
        <v>56</v>
      </c>
      <c r="B10" s="1278">
        <v>624000</v>
      </c>
      <c r="C10" s="1279">
        <v>9.2280390417036395E-2</v>
      </c>
      <c r="D10" s="1278">
        <v>640412</v>
      </c>
      <c r="E10" s="1279">
        <v>9.2472565229551898E-2</v>
      </c>
      <c r="F10" s="1278">
        <v>640412</v>
      </c>
      <c r="G10" s="1279">
        <v>8.6534444225244797E-2</v>
      </c>
      <c r="H10" s="1278">
        <v>678005</v>
      </c>
      <c r="I10" s="1279">
        <v>8.5945133437075202E-2</v>
      </c>
      <c r="J10" s="1278">
        <v>738312</v>
      </c>
      <c r="K10" s="1279">
        <v>8.6432273518169497E-2</v>
      </c>
      <c r="L10" s="1278">
        <v>812595</v>
      </c>
      <c r="M10" s="1279">
        <v>8.5997606953170505E-2</v>
      </c>
      <c r="N10" s="1278">
        <v>885904</v>
      </c>
      <c r="O10" s="1279">
        <v>8.8299145269329096E-2</v>
      </c>
      <c r="P10" s="1278">
        <v>912442</v>
      </c>
      <c r="Q10" s="1279">
        <v>8.6677796961572004E-2</v>
      </c>
      <c r="R10" s="1278">
        <v>950526</v>
      </c>
      <c r="S10" s="1279">
        <v>8.0757415014385103E-2</v>
      </c>
      <c r="T10" s="1278">
        <v>970889</v>
      </c>
      <c r="U10" s="1279">
        <v>7.1200639426973897E-2</v>
      </c>
      <c r="V10" s="1278">
        <v>1001163</v>
      </c>
      <c r="W10" s="1279">
        <v>7.2138381112246006E-2</v>
      </c>
      <c r="X10" s="1278">
        <v>1048079</v>
      </c>
      <c r="Y10" s="1279">
        <v>7.0408767326775201E-2</v>
      </c>
      <c r="Z10" s="1278">
        <v>1096721</v>
      </c>
      <c r="AA10" s="1285">
        <v>6.9230876543832601E-2</v>
      </c>
      <c r="AB10" s="1286">
        <v>1153320</v>
      </c>
      <c r="AC10" s="1287">
        <v>7.0000000000000007E-2</v>
      </c>
      <c r="AD10" s="1286">
        <v>1214146</v>
      </c>
      <c r="AE10" s="1287">
        <v>7.0479701819637905E-2</v>
      </c>
      <c r="AF10" s="1286">
        <v>1271759</v>
      </c>
      <c r="AG10" s="1287">
        <v>6.8737952026194593E-2</v>
      </c>
    </row>
    <row r="11" spans="1:33">
      <c r="A11" s="1118" t="s">
        <v>57</v>
      </c>
      <c r="B11" s="1280"/>
      <c r="C11" s="1279">
        <v>0</v>
      </c>
      <c r="D11" s="1280"/>
      <c r="E11" s="1279">
        <v>0</v>
      </c>
      <c r="F11" s="1278">
        <v>564760</v>
      </c>
      <c r="G11" s="1279">
        <v>7.6312112703461596E-2</v>
      </c>
      <c r="H11" s="1278">
        <v>696939</v>
      </c>
      <c r="I11" s="1279">
        <v>8.8345241336718394E-2</v>
      </c>
      <c r="J11" s="1278">
        <v>875385</v>
      </c>
      <c r="K11" s="1279">
        <v>0.102479054591694</v>
      </c>
      <c r="L11" s="1278">
        <v>1033908</v>
      </c>
      <c r="M11" s="1279">
        <v>0.109419346426865</v>
      </c>
      <c r="N11" s="1278">
        <v>1196497</v>
      </c>
      <c r="O11" s="1279">
        <v>0.119256332985647</v>
      </c>
      <c r="P11" s="1278">
        <v>1472374</v>
      </c>
      <c r="Q11" s="1279">
        <v>0.13986876384854899</v>
      </c>
      <c r="R11" s="1278">
        <v>1772203</v>
      </c>
      <c r="S11" s="1279">
        <v>0.15056772056812601</v>
      </c>
      <c r="T11" s="1278">
        <v>2085367</v>
      </c>
      <c r="U11" s="1279">
        <v>0.152931451319265</v>
      </c>
      <c r="V11" s="1278">
        <v>2366314</v>
      </c>
      <c r="W11" s="1279">
        <v>0.17050376528421801</v>
      </c>
      <c r="X11" s="1278">
        <v>2670784</v>
      </c>
      <c r="Y11" s="1279">
        <v>0.179420262438303</v>
      </c>
      <c r="Z11" s="1278">
        <v>3057844</v>
      </c>
      <c r="AA11" s="1285">
        <v>0.19302741577329099</v>
      </c>
      <c r="AB11" s="1286">
        <v>3596901</v>
      </c>
      <c r="AC11" s="1287">
        <v>0.22</v>
      </c>
      <c r="AD11" s="1286">
        <v>4212188</v>
      </c>
      <c r="AE11" s="1287">
        <v>0.24451240151370299</v>
      </c>
      <c r="AF11" s="1286">
        <v>4990633</v>
      </c>
      <c r="AG11" s="1287">
        <v>0.26974127309839602</v>
      </c>
    </row>
    <row r="12" spans="1:33">
      <c r="A12" s="1118" t="s">
        <v>58</v>
      </c>
      <c r="B12" s="1278">
        <v>1873000</v>
      </c>
      <c r="C12" s="1279">
        <v>0.27698905649216199</v>
      </c>
      <c r="D12" s="1278">
        <v>2017318</v>
      </c>
      <c r="E12" s="1279">
        <v>0.29129149726074699</v>
      </c>
      <c r="F12" s="1278">
        <v>2017318</v>
      </c>
      <c r="G12" s="1279">
        <v>0.27258622879581001</v>
      </c>
      <c r="H12" s="1278">
        <v>2113628</v>
      </c>
      <c r="I12" s="1279">
        <v>0.26792728740398403</v>
      </c>
      <c r="J12" s="1278">
        <v>2239231</v>
      </c>
      <c r="K12" s="1279">
        <v>0.26214097327737401</v>
      </c>
      <c r="L12" s="1278">
        <v>2387502</v>
      </c>
      <c r="M12" s="1279">
        <v>0.25267132900880301</v>
      </c>
      <c r="N12" s="1278">
        <v>2527750</v>
      </c>
      <c r="O12" s="1279">
        <v>0.25194396283857701</v>
      </c>
      <c r="P12" s="1278">
        <v>2644697</v>
      </c>
      <c r="Q12" s="1279">
        <v>0.25123406155227201</v>
      </c>
      <c r="R12" s="1278">
        <v>2763055</v>
      </c>
      <c r="S12" s="1279">
        <v>0.23475126334531801</v>
      </c>
      <c r="T12" s="1278">
        <v>2984825</v>
      </c>
      <c r="U12" s="1279">
        <v>0.218893661971263</v>
      </c>
      <c r="V12" s="1278">
        <v>3063494</v>
      </c>
      <c r="W12" s="1279">
        <v>0.22073877850767501</v>
      </c>
      <c r="X12" s="1278">
        <v>3131427</v>
      </c>
      <c r="Y12" s="1279">
        <v>0.210365740601407</v>
      </c>
      <c r="Z12" s="1278">
        <v>3348531</v>
      </c>
      <c r="AA12" s="1285">
        <v>0.21137712897281599</v>
      </c>
      <c r="AB12" s="1286">
        <v>3327540</v>
      </c>
      <c r="AC12" s="1287">
        <v>0.2</v>
      </c>
      <c r="AD12" s="1286">
        <v>3343159</v>
      </c>
      <c r="AE12" s="1287">
        <v>0.19406632271212801</v>
      </c>
      <c r="AF12" s="1286">
        <v>3455220</v>
      </c>
      <c r="AG12" s="1287">
        <v>0.18675295130598499</v>
      </c>
    </row>
    <row r="13" spans="1:33">
      <c r="A13" s="809" t="s">
        <v>59</v>
      </c>
      <c r="B13" s="1281">
        <v>630000</v>
      </c>
      <c r="C13" s="1282">
        <v>9.3167701863354005E-2</v>
      </c>
      <c r="D13" s="1281">
        <v>1129086</v>
      </c>
      <c r="E13" s="1282">
        <v>0.16303485691207201</v>
      </c>
      <c r="F13" s="1281">
        <v>823976</v>
      </c>
      <c r="G13" s="1282">
        <v>0.111338177946291</v>
      </c>
      <c r="H13" s="1281">
        <v>852403</v>
      </c>
      <c r="I13" s="1282">
        <v>0.108052137634919</v>
      </c>
      <c r="J13" s="1281">
        <v>858959</v>
      </c>
      <c r="K13" s="1282">
        <v>0.10055610531712</v>
      </c>
      <c r="L13" s="1281">
        <v>1008040</v>
      </c>
      <c r="M13" s="1282">
        <v>0.10668171440025299</v>
      </c>
      <c r="N13" s="1281">
        <v>1017525</v>
      </c>
      <c r="O13" s="1282">
        <v>0.101417972816664</v>
      </c>
      <c r="P13" s="1281">
        <v>1056861</v>
      </c>
      <c r="Q13" s="1282">
        <v>0.10039693829811</v>
      </c>
      <c r="R13" s="1281">
        <v>1117946</v>
      </c>
      <c r="S13" s="1282">
        <v>9.4981546097289093E-2</v>
      </c>
      <c r="T13" s="1281">
        <v>1219971</v>
      </c>
      <c r="U13" s="1282">
        <v>8.9467194789893401E-2</v>
      </c>
      <c r="V13" s="1281">
        <v>1299707</v>
      </c>
      <c r="W13" s="1282">
        <v>9.3649844131529006E-2</v>
      </c>
      <c r="X13" s="1281">
        <v>1340117</v>
      </c>
      <c r="Y13" s="1282">
        <v>9.0027551399900194E-2</v>
      </c>
      <c r="Z13" s="1281">
        <v>1447062</v>
      </c>
      <c r="AA13" s="1288">
        <v>9.1346268260816904E-2</v>
      </c>
      <c r="AB13" s="1289">
        <v>1442111</v>
      </c>
      <c r="AC13" s="1290">
        <v>0.09</v>
      </c>
      <c r="AD13" s="1289">
        <v>1596852</v>
      </c>
      <c r="AE13" s="1290">
        <v>9.2695320669913206E-2</v>
      </c>
      <c r="AF13" s="1289">
        <v>1594763</v>
      </c>
      <c r="AG13" s="1290">
        <v>8.6196160268690897E-2</v>
      </c>
    </row>
    <row r="71" spans="1:7">
      <c r="A71" s="1241">
        <v>2023</v>
      </c>
      <c r="B71" s="1355" t="s">
        <v>60</v>
      </c>
      <c r="C71" s="1355"/>
      <c r="D71" s="1355"/>
      <c r="E71" s="1355"/>
      <c r="F71" s="1355"/>
      <c r="G71" s="1356"/>
    </row>
    <row r="72" spans="1:7">
      <c r="A72" s="1118" t="s">
        <v>61</v>
      </c>
      <c r="B72" s="1291" t="s">
        <v>54</v>
      </c>
      <c r="C72" s="1292" t="s">
        <v>55</v>
      </c>
      <c r="D72" s="1292" t="s">
        <v>56</v>
      </c>
      <c r="E72" s="1292" t="s">
        <v>57</v>
      </c>
      <c r="F72" s="1292" t="s">
        <v>58</v>
      </c>
      <c r="G72" s="1293" t="s">
        <v>59</v>
      </c>
    </row>
    <row r="73" spans="1:7">
      <c r="A73" s="1294" t="s">
        <v>54</v>
      </c>
      <c r="B73" s="1295">
        <v>0.586038214118349</v>
      </c>
      <c r="C73" s="1296">
        <v>4.6817426766604803E-2</v>
      </c>
      <c r="D73" s="1296">
        <v>3.8806094550933E-2</v>
      </c>
      <c r="E73" s="1296">
        <v>4.8777780293601997E-2</v>
      </c>
      <c r="F73" s="1296">
        <v>0.11550494613946399</v>
      </c>
      <c r="G73" s="1297">
        <v>0.27046711963748399</v>
      </c>
    </row>
    <row r="74" spans="1:7">
      <c r="A74" s="1257" t="s">
        <v>55</v>
      </c>
      <c r="B74" s="1298">
        <v>8.8825459038043703E-2</v>
      </c>
      <c r="C74" s="1285">
        <v>0.79983824980277896</v>
      </c>
      <c r="D74" s="1285">
        <v>8.8617418866310402E-2</v>
      </c>
      <c r="E74" s="1285">
        <v>6.2692247656760194E-2</v>
      </c>
      <c r="F74" s="1285">
        <v>0.15255700071196601</v>
      </c>
      <c r="G74" s="1299">
        <v>8.8428385939479895E-2</v>
      </c>
    </row>
    <row r="75" spans="1:7">
      <c r="A75" s="1257" t="s">
        <v>56</v>
      </c>
      <c r="B75" s="1298">
        <v>3.2296468282707803E-2</v>
      </c>
      <c r="C75" s="1285">
        <v>2.2569918921381101E-2</v>
      </c>
      <c r="D75" s="1285">
        <v>0.76678836163140995</v>
      </c>
      <c r="E75" s="1285">
        <v>1.7131494141123998E-2</v>
      </c>
      <c r="F75" s="1285">
        <v>6.4281579754689996E-2</v>
      </c>
      <c r="G75" s="1299">
        <v>2.2562066214391101E-2</v>
      </c>
    </row>
    <row r="76" spans="1:7">
      <c r="A76" s="1257" t="s">
        <v>57</v>
      </c>
      <c r="B76" s="1298">
        <v>4.0596216930089898E-2</v>
      </c>
      <c r="C76" s="1285">
        <v>1.8977785272494298E-2</v>
      </c>
      <c r="D76" s="1285">
        <v>1.4801546519427E-2</v>
      </c>
      <c r="E76" s="1285">
        <v>0.81927382758860401</v>
      </c>
      <c r="F76" s="1285">
        <v>4.98413993899086E-2</v>
      </c>
      <c r="G76" s="1299">
        <v>5.0931840580692597E-2</v>
      </c>
    </row>
    <row r="77" spans="1:7">
      <c r="A77" s="1257" t="s">
        <v>58</v>
      </c>
      <c r="B77" s="1298">
        <v>0.207443445660972</v>
      </c>
      <c r="C77" s="1285">
        <v>7.3998534653695602E-2</v>
      </c>
      <c r="D77" s="1285">
        <v>6.3663791646058704E-2</v>
      </c>
      <c r="E77" s="1285">
        <v>4.34764487791428E-2</v>
      </c>
      <c r="F77" s="1285">
        <v>0.47555814101562299</v>
      </c>
      <c r="G77" s="1299">
        <v>0.27355022396504203</v>
      </c>
    </row>
    <row r="78" spans="1:7">
      <c r="A78" s="809" t="s">
        <v>59</v>
      </c>
      <c r="B78" s="1300">
        <v>4.4800195969837697E-2</v>
      </c>
      <c r="C78" s="1288">
        <v>3.7798084583044997E-2</v>
      </c>
      <c r="D78" s="1288">
        <v>2.7322786785861201E-2</v>
      </c>
      <c r="E78" s="1288">
        <v>8.6482015407664693E-3</v>
      </c>
      <c r="F78" s="1288">
        <v>0.14225693298834799</v>
      </c>
      <c r="G78" s="1192">
        <v>0.30406036366291</v>
      </c>
    </row>
    <row r="79" spans="1:7">
      <c r="B79" s="1301">
        <v>4831321</v>
      </c>
      <c r="C79" s="1301">
        <v>2029223</v>
      </c>
      <c r="D79" s="1301">
        <v>1214146</v>
      </c>
      <c r="E79" s="1301">
        <v>4212188</v>
      </c>
      <c r="F79" s="1301">
        <v>3343159</v>
      </c>
      <c r="G79" s="1301">
        <v>1596852</v>
      </c>
    </row>
    <row r="80" spans="1:7">
      <c r="B80" s="561"/>
      <c r="C80" s="561"/>
      <c r="D80" s="561"/>
      <c r="E80" s="561"/>
      <c r="F80" s="561"/>
      <c r="G80" s="561"/>
    </row>
    <row r="82" spans="1:7">
      <c r="B82" s="1302"/>
      <c r="C82" s="1302"/>
      <c r="D82" s="1302"/>
      <c r="E82" s="1302"/>
      <c r="F82" s="1302"/>
      <c r="G82" s="1302"/>
    </row>
    <row r="83" spans="1:7">
      <c r="B83" s="1302"/>
      <c r="C83" s="1302"/>
      <c r="D83" s="1302"/>
      <c r="E83" s="1302"/>
      <c r="F83" s="1302"/>
      <c r="G83" s="1302"/>
    </row>
    <row r="84" spans="1:7">
      <c r="B84" s="1302"/>
      <c r="C84" s="1302"/>
      <c r="D84" s="1302"/>
      <c r="E84" s="1302"/>
      <c r="F84" s="1302"/>
      <c r="G84" s="1302"/>
    </row>
    <row r="85" spans="1:7">
      <c r="B85" s="1302"/>
      <c r="C85" s="1302"/>
      <c r="D85" s="1302"/>
      <c r="E85" s="1302"/>
      <c r="F85" s="1302"/>
      <c r="G85" s="1302"/>
    </row>
    <row r="86" spans="1:7">
      <c r="B86" s="1302"/>
      <c r="C86" s="1302"/>
      <c r="D86" s="1302"/>
      <c r="E86" s="1302"/>
      <c r="F86" s="1302"/>
      <c r="G86" s="1302"/>
    </row>
    <row r="87" spans="1:7">
      <c r="B87" s="1302"/>
      <c r="C87" s="1302"/>
      <c r="D87" s="1302"/>
      <c r="E87" s="1302"/>
      <c r="F87" s="1302"/>
      <c r="G87" s="1302"/>
    </row>
    <row r="92" spans="1:7">
      <c r="A92" s="1241">
        <v>2022</v>
      </c>
      <c r="B92" s="1355" t="s">
        <v>60</v>
      </c>
      <c r="C92" s="1355"/>
      <c r="D92" s="1355"/>
      <c r="E92" s="1355"/>
      <c r="F92" s="1355"/>
      <c r="G92" s="1356"/>
    </row>
    <row r="93" spans="1:7">
      <c r="A93" s="1118" t="s">
        <v>61</v>
      </c>
      <c r="B93" s="1291" t="s">
        <v>54</v>
      </c>
      <c r="C93" s="1292" t="s">
        <v>55</v>
      </c>
      <c r="D93" s="1292" t="s">
        <v>56</v>
      </c>
      <c r="E93" s="1292" t="s">
        <v>57</v>
      </c>
      <c r="F93" s="1292" t="s">
        <v>58</v>
      </c>
      <c r="G93" s="1293" t="s">
        <v>59</v>
      </c>
    </row>
    <row r="94" spans="1:7">
      <c r="A94" s="1294" t="s">
        <v>54</v>
      </c>
      <c r="B94" s="1303">
        <v>0.55657752453742104</v>
      </c>
      <c r="C94" s="1304">
        <v>6.0409329088030199E-2</v>
      </c>
      <c r="D94" s="1304">
        <v>5.7316385344101897E-2</v>
      </c>
      <c r="E94" s="1304">
        <v>5.0627607314773199E-2</v>
      </c>
      <c r="F94" s="1304">
        <v>0.14518124923164</v>
      </c>
      <c r="G94" s="1272">
        <v>0.25597808517292903</v>
      </c>
    </row>
    <row r="95" spans="1:7">
      <c r="A95" s="1257" t="s">
        <v>55</v>
      </c>
      <c r="B95" s="1305">
        <v>9.2003029030883698E-2</v>
      </c>
      <c r="C95" s="1306">
        <v>0.80692117130547003</v>
      </c>
      <c r="D95" s="1306">
        <v>9.2540765278640302E-2</v>
      </c>
      <c r="E95" s="1306">
        <v>7.2305414668101198E-2</v>
      </c>
      <c r="F95" s="1306">
        <v>0.16047935500525101</v>
      </c>
      <c r="G95" s="1275">
        <v>9.9827714450171204E-2</v>
      </c>
    </row>
    <row r="96" spans="1:7">
      <c r="A96" s="1257" t="s">
        <v>56</v>
      </c>
      <c r="B96" s="1305">
        <v>3.0228650874808499E-2</v>
      </c>
      <c r="C96" s="1306">
        <v>2.1163765638374899E-2</v>
      </c>
      <c r="D96" s="1306">
        <v>0.76615497641964003</v>
      </c>
      <c r="E96" s="1306">
        <v>1.8229243329120199E-2</v>
      </c>
      <c r="F96" s="1306">
        <v>6.2498074426014398E-2</v>
      </c>
      <c r="G96" s="1275">
        <v>2.1776183855359E-2</v>
      </c>
    </row>
    <row r="97" spans="1:7">
      <c r="A97" s="1257" t="s">
        <v>57</v>
      </c>
      <c r="B97" s="1305">
        <v>3.3900749823150701E-2</v>
      </c>
      <c r="C97" s="1306">
        <v>1.5734593980060298E-2</v>
      </c>
      <c r="D97" s="1306">
        <v>1.33155320694546E-2</v>
      </c>
      <c r="E97" s="1306">
        <v>0.79565608182730696</v>
      </c>
      <c r="F97" s="1306">
        <v>4.3850142933674403E-2</v>
      </c>
      <c r="G97" s="1275">
        <v>3.9158494820920299E-2</v>
      </c>
    </row>
    <row r="98" spans="1:7">
      <c r="A98" s="1257" t="s">
        <v>58</v>
      </c>
      <c r="B98" s="1305">
        <v>0.20600281445227001</v>
      </c>
      <c r="C98" s="1306">
        <v>7.2719459615823406E-2</v>
      </c>
      <c r="D98" s="1306">
        <v>6.26366186603588E-2</v>
      </c>
      <c r="E98" s="1306">
        <v>4.9214090159318602E-2</v>
      </c>
      <c r="F98" s="1306">
        <v>0.47418893328136702</v>
      </c>
      <c r="G98" s="1275">
        <v>0.28569569982626902</v>
      </c>
    </row>
    <row r="99" spans="1:7">
      <c r="A99" s="809" t="s">
        <v>59</v>
      </c>
      <c r="B99" s="1307">
        <v>8.1287231281466199E-2</v>
      </c>
      <c r="C99" s="1308">
        <v>2.3051680372241E-2</v>
      </c>
      <c r="D99" s="1308">
        <v>1.8035722227804599E-2</v>
      </c>
      <c r="E99" s="1308">
        <v>1.39675627013799E-2</v>
      </c>
      <c r="F99" s="1308">
        <v>0.113802245122054</v>
      </c>
      <c r="G99" s="1277">
        <v>0.29756382187435099</v>
      </c>
    </row>
    <row r="100" spans="1:7">
      <c r="B100" s="1301">
        <v>4831321</v>
      </c>
      <c r="C100" s="1301">
        <v>2029223</v>
      </c>
      <c r="D100" s="1301">
        <v>1214146</v>
      </c>
      <c r="E100" s="1301">
        <v>4212188</v>
      </c>
      <c r="F100" s="1301">
        <v>3343159</v>
      </c>
      <c r="G100" s="1301">
        <v>1596852</v>
      </c>
    </row>
    <row r="101" spans="1:7">
      <c r="B101" s="561"/>
      <c r="C101" s="561"/>
      <c r="D101" s="561"/>
      <c r="E101" s="561"/>
      <c r="F101" s="561"/>
      <c r="G101" s="561"/>
    </row>
    <row r="112" spans="1:7">
      <c r="A112" s="1241">
        <v>2021</v>
      </c>
      <c r="B112" s="1355" t="s">
        <v>60</v>
      </c>
      <c r="C112" s="1355"/>
      <c r="D112" s="1355"/>
      <c r="E112" s="1355"/>
      <c r="F112" s="1355"/>
      <c r="G112" s="1356"/>
    </row>
    <row r="113" spans="1:7">
      <c r="A113" s="1118" t="s">
        <v>61</v>
      </c>
      <c r="B113" s="1291" t="s">
        <v>54</v>
      </c>
      <c r="C113" s="1292" t="s">
        <v>55</v>
      </c>
      <c r="D113" s="1292" t="s">
        <v>56</v>
      </c>
      <c r="E113" s="1292" t="s">
        <v>57</v>
      </c>
      <c r="F113" s="1292" t="s">
        <v>58</v>
      </c>
      <c r="G113" s="1293" t="s">
        <v>59</v>
      </c>
    </row>
    <row r="114" spans="1:7">
      <c r="A114" s="1294" t="s">
        <v>54</v>
      </c>
      <c r="B114" s="1303">
        <v>0.61</v>
      </c>
      <c r="C114" s="1304">
        <v>6.7505787037036996E-2</v>
      </c>
      <c r="D114" s="1304">
        <v>6.3621659474013895E-2</v>
      </c>
      <c r="E114" s="1304">
        <v>0.06</v>
      </c>
      <c r="F114" s="1304">
        <v>0.15</v>
      </c>
      <c r="G114" s="1272">
        <v>0.32</v>
      </c>
    </row>
    <row r="115" spans="1:7">
      <c r="A115" s="1257" t="s">
        <v>55</v>
      </c>
      <c r="B115" s="1305">
        <v>0.08</v>
      </c>
      <c r="C115" s="1306">
        <v>0.81</v>
      </c>
      <c r="D115" s="1306">
        <v>0.10213171809421</v>
      </c>
      <c r="E115" s="1306">
        <v>0.08</v>
      </c>
      <c r="F115" s="1306">
        <v>0.17166217660587199</v>
      </c>
      <c r="G115" s="1275">
        <v>9.6148273553514907E-2</v>
      </c>
    </row>
    <row r="116" spans="1:7">
      <c r="A116" s="1257" t="s">
        <v>56</v>
      </c>
      <c r="B116" s="1305">
        <v>0.03</v>
      </c>
      <c r="C116" s="1306">
        <v>1.9707313245448801E-2</v>
      </c>
      <c r="D116" s="1306">
        <v>0.77</v>
      </c>
      <c r="E116" s="1306">
        <v>2.15419753264064E-2</v>
      </c>
      <c r="F116" s="1306">
        <v>5.7545646462737E-2</v>
      </c>
      <c r="G116" s="1275">
        <v>1.9367119505869002E-2</v>
      </c>
    </row>
    <row r="117" spans="1:7">
      <c r="A117" s="1257" t="s">
        <v>57</v>
      </c>
      <c r="B117" s="1305">
        <v>0.03</v>
      </c>
      <c r="C117" s="1306">
        <v>1.06143086942875E-2</v>
      </c>
      <c r="D117" s="1306">
        <v>1.00399281129841E-2</v>
      </c>
      <c r="E117" s="1306">
        <v>0.77</v>
      </c>
      <c r="F117" s="1306">
        <v>0.04</v>
      </c>
      <c r="G117" s="1275">
        <v>0.03</v>
      </c>
    </row>
    <row r="118" spans="1:7">
      <c r="A118" s="1257" t="s">
        <v>58</v>
      </c>
      <c r="B118" s="1305">
        <v>0.20063196239244299</v>
      </c>
      <c r="C118" s="1306">
        <v>7.1394381669805398E-2</v>
      </c>
      <c r="D118" s="1306">
        <v>6.20075661904897E-2</v>
      </c>
      <c r="E118" s="1306">
        <v>0.05</v>
      </c>
      <c r="F118" s="1306">
        <v>0.48373110762498001</v>
      </c>
      <c r="G118" s="1275">
        <v>0.35</v>
      </c>
    </row>
    <row r="119" spans="1:7">
      <c r="A119" s="809" t="s">
        <v>59</v>
      </c>
      <c r="B119" s="1307">
        <v>0.05</v>
      </c>
      <c r="C119" s="1308">
        <v>1.33302926867546E-2</v>
      </c>
      <c r="D119" s="1308">
        <v>1.17933366827115E-2</v>
      </c>
      <c r="E119" s="1308">
        <v>1.02703080994321E-2</v>
      </c>
      <c r="F119" s="1308">
        <v>9.9785665671297694E-2</v>
      </c>
      <c r="G119" s="1277">
        <v>0.18</v>
      </c>
    </row>
    <row r="137" spans="1:7">
      <c r="A137" s="1241">
        <v>2020</v>
      </c>
      <c r="B137" s="1355" t="s">
        <v>60</v>
      </c>
      <c r="C137" s="1355"/>
      <c r="D137" s="1355"/>
      <c r="E137" s="1355"/>
      <c r="F137" s="1355"/>
      <c r="G137" s="1356"/>
    </row>
    <row r="138" spans="1:7">
      <c r="A138" s="1118" t="s">
        <v>61</v>
      </c>
      <c r="B138" s="1291" t="s">
        <v>54</v>
      </c>
      <c r="C138" s="1292" t="s">
        <v>55</v>
      </c>
      <c r="D138" s="1292" t="s">
        <v>56</v>
      </c>
      <c r="E138" s="1292" t="s">
        <v>57</v>
      </c>
      <c r="F138" s="1292" t="s">
        <v>58</v>
      </c>
      <c r="G138" s="1293" t="s">
        <v>59</v>
      </c>
    </row>
    <row r="139" spans="1:7">
      <c r="A139" s="1294" t="s">
        <v>54</v>
      </c>
      <c r="B139" s="1303">
        <v>0.61582151191697299</v>
      </c>
      <c r="C139" s="1304">
        <v>6.7505787037036996E-2</v>
      </c>
      <c r="D139" s="1304">
        <v>6.3621659474013895E-2</v>
      </c>
      <c r="E139" s="1304">
        <v>6.8627765183573802E-2</v>
      </c>
      <c r="F139" s="1304">
        <v>0.15592053413655699</v>
      </c>
      <c r="G139" s="1272">
        <v>0.28886663630926301</v>
      </c>
    </row>
    <row r="140" spans="1:7">
      <c r="A140" s="1257" t="s">
        <v>55</v>
      </c>
      <c r="B140" s="1305">
        <v>8.6166255324676505E-2</v>
      </c>
      <c r="C140" s="1306">
        <v>0.81744791666666705</v>
      </c>
      <c r="D140" s="1306">
        <v>0.10213171809421</v>
      </c>
      <c r="E140" s="1306">
        <v>9.3684962346019002E-2</v>
      </c>
      <c r="F140" s="1306">
        <v>0.17166217660587199</v>
      </c>
      <c r="G140" s="1275">
        <v>9.6148273553514907E-2</v>
      </c>
    </row>
    <row r="141" spans="1:7">
      <c r="A141" s="1257" t="s">
        <v>56</v>
      </c>
      <c r="B141" s="1305">
        <v>2.7488712357728699E-2</v>
      </c>
      <c r="C141" s="1306">
        <v>1.9707313245448801E-2</v>
      </c>
      <c r="D141" s="1306">
        <v>0.76040579144559095</v>
      </c>
      <c r="E141" s="1306">
        <v>2.15419753264064E-2</v>
      </c>
      <c r="F141" s="1306">
        <v>5.7545646462737E-2</v>
      </c>
      <c r="G141" s="1275">
        <v>1.9367119505869002E-2</v>
      </c>
    </row>
    <row r="142" spans="1:7">
      <c r="A142" s="1257" t="s">
        <v>57</v>
      </c>
      <c r="B142" s="1305">
        <v>2.6386263566447E-2</v>
      </c>
      <c r="C142" s="1306">
        <v>1.06143086942875E-2</v>
      </c>
      <c r="D142" s="1306">
        <v>1.00399281129841E-2</v>
      </c>
      <c r="E142" s="1306">
        <v>0.74533658355364096</v>
      </c>
      <c r="F142" s="1306">
        <v>3.13548694985556E-2</v>
      </c>
      <c r="G142" s="1275">
        <v>2.4244764418458301E-2</v>
      </c>
    </row>
    <row r="143" spans="1:7">
      <c r="A143" s="1257" t="s">
        <v>58</v>
      </c>
      <c r="B143" s="1305">
        <v>0.20063196239244299</v>
      </c>
      <c r="C143" s="1306">
        <v>7.1394381669805398E-2</v>
      </c>
      <c r="D143" s="1306">
        <v>6.20075661904897E-2</v>
      </c>
      <c r="E143" s="1306">
        <v>6.0538405490927601E-2</v>
      </c>
      <c r="F143" s="1306">
        <v>0.48373110762498001</v>
      </c>
      <c r="G143" s="1275">
        <v>0.29152528824069301</v>
      </c>
    </row>
    <row r="144" spans="1:7">
      <c r="A144" s="809" t="s">
        <v>59</v>
      </c>
      <c r="B144" s="1307">
        <v>4.3505294441731998E-2</v>
      </c>
      <c r="C144" s="1308">
        <v>1.33302926867546E-2</v>
      </c>
      <c r="D144" s="1308">
        <v>1.17933366827115E-2</v>
      </c>
      <c r="E144" s="1308">
        <v>1.02703080994321E-2</v>
      </c>
      <c r="F144" s="1308">
        <v>9.9785665671297694E-2</v>
      </c>
      <c r="G144" s="1277">
        <v>0.27984791797220199</v>
      </c>
    </row>
    <row r="145" spans="1:8">
      <c r="A145" s="560" t="s">
        <v>62</v>
      </c>
      <c r="B145" s="1309">
        <v>4904251</v>
      </c>
      <c r="C145" s="1309">
        <v>2020424</v>
      </c>
      <c r="D145" s="1309">
        <v>1153320</v>
      </c>
      <c r="E145" s="1309">
        <v>3596901</v>
      </c>
      <c r="F145" s="1309">
        <v>3327540</v>
      </c>
      <c r="G145" s="1309">
        <v>1442111</v>
      </c>
      <c r="H145" s="561"/>
    </row>
    <row r="146" spans="1:8">
      <c r="B146" s="1310"/>
    </row>
    <row r="159" spans="1:8">
      <c r="A159" s="1241">
        <v>2019</v>
      </c>
      <c r="B159" s="1355" t="s">
        <v>60</v>
      </c>
      <c r="C159" s="1355"/>
      <c r="D159" s="1355"/>
      <c r="E159" s="1355"/>
      <c r="F159" s="1355"/>
      <c r="G159" s="1356"/>
    </row>
    <row r="160" spans="1:8">
      <c r="A160" s="1118" t="s">
        <v>61</v>
      </c>
      <c r="B160" s="1291" t="s">
        <v>54</v>
      </c>
      <c r="C160" s="1292" t="s">
        <v>55</v>
      </c>
      <c r="D160" s="1292" t="s">
        <v>56</v>
      </c>
      <c r="E160" s="1292" t="s">
        <v>57</v>
      </c>
      <c r="F160" s="1292" t="s">
        <v>58</v>
      </c>
      <c r="G160" s="1293" t="s">
        <v>59</v>
      </c>
    </row>
    <row r="161" spans="1:7">
      <c r="A161" s="1294" t="s">
        <v>54</v>
      </c>
      <c r="B161" s="1303">
        <v>0.62</v>
      </c>
      <c r="C161" s="1304">
        <v>6.7628131939612798E-2</v>
      </c>
      <c r="D161" s="1304">
        <v>5.48202950350117E-2</v>
      </c>
      <c r="E161" s="1304">
        <v>7.5433655436006802E-2</v>
      </c>
      <c r="F161" s="1304">
        <v>0.15452028739613</v>
      </c>
      <c r="G161" s="1272">
        <v>0.24</v>
      </c>
    </row>
    <row r="162" spans="1:7">
      <c r="A162" s="1257" t="s">
        <v>55</v>
      </c>
      <c r="B162" s="1305">
        <v>0.08</v>
      </c>
      <c r="C162" s="1306">
        <v>0.82064133281464002</v>
      </c>
      <c r="D162" s="1306">
        <v>0.106947090820444</v>
      </c>
      <c r="E162" s="1306">
        <v>0.10361976108887901</v>
      </c>
      <c r="F162" s="1306">
        <v>0.17448754194174099</v>
      </c>
      <c r="G162" s="1275">
        <v>8.4281751604554297E-2</v>
      </c>
    </row>
    <row r="163" spans="1:7">
      <c r="A163" s="1257" t="s">
        <v>56</v>
      </c>
      <c r="B163" s="1305">
        <v>0.02</v>
      </c>
      <c r="C163" s="1306">
        <v>1.90741518852863E-2</v>
      </c>
      <c r="D163" s="1306">
        <v>0.75513200817877302</v>
      </c>
      <c r="E163" s="1306">
        <v>2.2703071457669401E-2</v>
      </c>
      <c r="F163" s="1306">
        <v>5.5722199495629302E-2</v>
      </c>
      <c r="G163" s="1275">
        <v>0.01</v>
      </c>
    </row>
    <row r="164" spans="1:7">
      <c r="A164" s="1257" t="s">
        <v>57</v>
      </c>
      <c r="B164" s="1305">
        <v>0.02</v>
      </c>
      <c r="C164" s="1306">
        <v>8.6509477919585308E-3</v>
      </c>
      <c r="D164" s="1306">
        <v>8.8695604052747897E-3</v>
      </c>
      <c r="E164" s="1306">
        <v>0.72118224461431502</v>
      </c>
      <c r="F164" s="1306">
        <v>2.6927978841595201E-2</v>
      </c>
      <c r="G164" s="1275">
        <v>2.0339442052282001E-2</v>
      </c>
    </row>
    <row r="165" spans="1:7">
      <c r="A165" s="1257" t="s">
        <v>58</v>
      </c>
      <c r="B165" s="1305">
        <v>0.17</v>
      </c>
      <c r="C165" s="1306">
        <v>7.1207700161499299E-2</v>
      </c>
      <c r="D165" s="1306">
        <v>6.3075397942330705E-2</v>
      </c>
      <c r="E165" s="1306">
        <v>6.6628750209676305E-2</v>
      </c>
      <c r="F165" s="1306">
        <v>0.49051279177193002</v>
      </c>
      <c r="G165" s="1275">
        <v>0.3</v>
      </c>
    </row>
    <row r="166" spans="1:7">
      <c r="A166" s="809" t="s">
        <v>59</v>
      </c>
      <c r="B166" s="1307">
        <v>0.08</v>
      </c>
      <c r="C166" s="1308">
        <v>1.2797735407003E-2</v>
      </c>
      <c r="D166" s="1308">
        <v>1.11556476181662E-2</v>
      </c>
      <c r="E166" s="1308">
        <v>1.0432517193453301E-2</v>
      </c>
      <c r="F166" s="1308">
        <v>9.7829200552974699E-2</v>
      </c>
      <c r="G166" s="1277">
        <v>0.35</v>
      </c>
    </row>
    <row r="167" spans="1:7">
      <c r="B167" s="1311">
        <v>4631346</v>
      </c>
      <c r="C167" s="1311">
        <v>2053879</v>
      </c>
      <c r="D167" s="1311">
        <v>1048079</v>
      </c>
      <c r="E167" s="1311">
        <v>2670784</v>
      </c>
      <c r="F167" s="1311">
        <v>3131427</v>
      </c>
      <c r="G167" s="1311">
        <v>1340117</v>
      </c>
    </row>
  </sheetData>
  <mergeCells count="21">
    <mergeCell ref="B159:G159"/>
    <mergeCell ref="AF6:AG6"/>
    <mergeCell ref="B71:G71"/>
    <mergeCell ref="B92:G92"/>
    <mergeCell ref="B112:G112"/>
    <mergeCell ref="B137:G137"/>
    <mergeCell ref="V6:W6"/>
    <mergeCell ref="X6:Y6"/>
    <mergeCell ref="Z6:AA6"/>
    <mergeCell ref="AB6:AC6"/>
    <mergeCell ref="AD6:AE6"/>
    <mergeCell ref="L6:M6"/>
    <mergeCell ref="N6:O6"/>
    <mergeCell ref="P6:Q6"/>
    <mergeCell ref="R6:S6"/>
    <mergeCell ref="T6:U6"/>
    <mergeCell ref="B6:C6"/>
    <mergeCell ref="D6:E6"/>
    <mergeCell ref="F6:G6"/>
    <mergeCell ref="H6:I6"/>
    <mergeCell ref="J6:K6"/>
  </mergeCells>
  <phoneticPr fontId="93" type="noConversion"/>
  <hyperlinks>
    <hyperlink ref="AC1" location="Content!A1" display="content" xr:uid="{00000000-0004-0000-0100-000000000000}"/>
  </hyperlinks>
  <pageMargins left="0.7" right="0.7" top="0.75" bottom="0.75" header="0.3" footer="0.3"/>
  <pageSetup paperSize="9"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Q136"/>
  <sheetViews>
    <sheetView topLeftCell="C82" zoomScale="70" zoomScaleNormal="70" workbookViewId="0">
      <selection activeCell="AB114" sqref="AB114"/>
    </sheetView>
  </sheetViews>
  <sheetFormatPr defaultColWidth="10.109375" defaultRowHeight="14.4"/>
  <cols>
    <col min="1" max="1" width="12.77734375" style="423" customWidth="1"/>
    <col min="2" max="5" width="6.77734375" style="423" customWidth="1"/>
    <col min="6" max="7" width="6.77734375" style="424" customWidth="1"/>
    <col min="8" max="9" width="6.77734375" style="425" customWidth="1"/>
    <col min="10" max="17" width="7.21875" style="424" customWidth="1"/>
    <col min="18" max="16384" width="10.109375" style="424"/>
  </cols>
  <sheetData>
    <row r="1" spans="1:16" s="422" customFormat="1" ht="18">
      <c r="A1" s="426" t="s">
        <v>47</v>
      </c>
      <c r="B1" s="426"/>
      <c r="C1" s="426"/>
      <c r="D1" s="426"/>
      <c r="E1" s="426"/>
      <c r="H1" s="427"/>
      <c r="I1" s="427"/>
      <c r="O1" s="57" t="s">
        <v>48</v>
      </c>
    </row>
    <row r="2" spans="1:16" s="422" customFormat="1" ht="15">
      <c r="A2" s="428" t="s">
        <v>417</v>
      </c>
      <c r="H2" s="427"/>
      <c r="I2" s="427"/>
    </row>
    <row r="3" spans="1:16" s="422" customFormat="1" ht="15.6">
      <c r="A3" s="429" t="s">
        <v>434</v>
      </c>
      <c r="B3" s="426"/>
      <c r="C3" s="426"/>
      <c r="D3" s="426"/>
      <c r="E3" s="426"/>
      <c r="H3" s="427"/>
      <c r="I3" s="427"/>
    </row>
    <row r="4" spans="1:16" s="422" customFormat="1" ht="15.6">
      <c r="A4" s="429" t="s">
        <v>435</v>
      </c>
      <c r="B4" s="426"/>
      <c r="C4" s="426"/>
      <c r="D4" s="426"/>
      <c r="E4" s="426"/>
      <c r="H4" s="427"/>
      <c r="I4" s="427"/>
    </row>
    <row r="5" spans="1:16" s="422" customFormat="1" ht="15">
      <c r="A5" s="428" t="s">
        <v>436</v>
      </c>
      <c r="H5" s="427"/>
      <c r="I5" s="427"/>
    </row>
    <row r="7" spans="1:16" ht="19.2">
      <c r="A7" s="430" t="s">
        <v>437</v>
      </c>
      <c r="B7" s="431"/>
      <c r="C7" s="431"/>
      <c r="D7" s="432"/>
      <c r="E7" s="431"/>
      <c r="F7" s="2"/>
      <c r="G7" s="2"/>
      <c r="H7" s="1"/>
      <c r="I7" s="1"/>
      <c r="J7" s="2"/>
      <c r="K7" s="2"/>
      <c r="L7" s="2"/>
      <c r="M7" s="2"/>
    </row>
    <row r="8" spans="1:16">
      <c r="A8" s="433" t="s">
        <v>438</v>
      </c>
      <c r="B8" s="434">
        <v>2010</v>
      </c>
      <c r="C8" s="435">
        <v>2011</v>
      </c>
      <c r="D8" s="435">
        <v>2012</v>
      </c>
      <c r="E8" s="435">
        <v>2013</v>
      </c>
      <c r="F8" s="435">
        <v>2014</v>
      </c>
      <c r="G8" s="435">
        <v>2015</v>
      </c>
      <c r="H8" s="435">
        <v>2016</v>
      </c>
      <c r="I8" s="435">
        <v>2017</v>
      </c>
      <c r="J8" s="435">
        <v>2018</v>
      </c>
      <c r="K8" s="435">
        <v>2019</v>
      </c>
      <c r="L8" s="435">
        <v>2020</v>
      </c>
      <c r="M8" s="435">
        <v>2021</v>
      </c>
      <c r="N8" s="435">
        <v>2022</v>
      </c>
      <c r="O8" s="435">
        <v>2023</v>
      </c>
      <c r="P8" s="435">
        <v>2024</v>
      </c>
    </row>
    <row r="9" spans="1:16">
      <c r="A9" s="436">
        <v>1</v>
      </c>
      <c r="B9" s="437">
        <v>1</v>
      </c>
      <c r="C9" s="437">
        <v>1</v>
      </c>
      <c r="D9" s="438">
        <v>0.99998783550923898</v>
      </c>
      <c r="E9" s="437">
        <v>1</v>
      </c>
      <c r="F9" s="437">
        <v>0.999970288755482</v>
      </c>
      <c r="G9" s="438">
        <v>0.99996238787503899</v>
      </c>
      <c r="H9" s="438">
        <v>1</v>
      </c>
      <c r="I9" s="438">
        <v>0.999983983966652</v>
      </c>
      <c r="J9" s="438">
        <v>0.99996915620180704</v>
      </c>
      <c r="K9" s="438">
        <v>0.99999940635450002</v>
      </c>
      <c r="L9" s="438">
        <v>0.99997520875842205</v>
      </c>
      <c r="M9" s="438">
        <v>1</v>
      </c>
      <c r="N9" s="459">
        <v>1</v>
      </c>
      <c r="O9" s="459">
        <v>1</v>
      </c>
      <c r="P9" s="459">
        <v>1</v>
      </c>
    </row>
    <row r="10" spans="1:16">
      <c r="A10" s="439">
        <v>2</v>
      </c>
      <c r="B10" s="440">
        <v>0.99</v>
      </c>
      <c r="C10" s="440">
        <v>0.99</v>
      </c>
      <c r="D10" s="441">
        <v>0.98698456793685096</v>
      </c>
      <c r="E10" s="440">
        <v>1</v>
      </c>
      <c r="F10" s="440">
        <v>0.99982389335067701</v>
      </c>
      <c r="G10" s="441">
        <v>0.999810949582431</v>
      </c>
      <c r="H10" s="441">
        <v>1</v>
      </c>
      <c r="I10" s="441">
        <v>0.99990953105487201</v>
      </c>
      <c r="J10" s="441">
        <v>0.99991598736873</v>
      </c>
      <c r="K10" s="441">
        <v>0.99597603097582199</v>
      </c>
      <c r="L10" s="441">
        <v>0.99483948203558903</v>
      </c>
      <c r="M10" s="441">
        <v>0.99431171375243399</v>
      </c>
      <c r="N10" s="460">
        <v>0.99332642055146503</v>
      </c>
      <c r="O10" s="460">
        <v>0.99157544865005398</v>
      </c>
      <c r="P10" s="460">
        <v>0.99261173665973901</v>
      </c>
    </row>
    <row r="11" spans="1:16">
      <c r="A11" s="439">
        <v>3</v>
      </c>
      <c r="B11" s="440">
        <v>0.91</v>
      </c>
      <c r="C11" s="440">
        <v>0.9</v>
      </c>
      <c r="D11" s="441">
        <v>0.90348661150295395</v>
      </c>
      <c r="E11" s="440">
        <v>1</v>
      </c>
      <c r="F11" s="440">
        <v>0.98589742273861003</v>
      </c>
      <c r="G11" s="441">
        <v>0.98537383235385101</v>
      </c>
      <c r="H11" s="441">
        <v>0.99</v>
      </c>
      <c r="I11" s="441">
        <v>0.99943554304092497</v>
      </c>
      <c r="J11" s="441">
        <v>0.986916648307263</v>
      </c>
      <c r="K11" s="441">
        <v>0.97449196887928202</v>
      </c>
      <c r="L11" s="441">
        <v>0.96915114064519203</v>
      </c>
      <c r="M11" s="441">
        <v>0.964449631873455</v>
      </c>
      <c r="N11" s="460">
        <v>0.95814505448869203</v>
      </c>
      <c r="O11" s="460">
        <v>0.94137135116588899</v>
      </c>
      <c r="P11" s="460">
        <v>0.94828585587125702</v>
      </c>
    </row>
    <row r="12" spans="1:16">
      <c r="A12" s="439">
        <v>4</v>
      </c>
      <c r="B12" s="442">
        <v>0.76</v>
      </c>
      <c r="C12" s="440">
        <v>0.75</v>
      </c>
      <c r="D12" s="441">
        <v>0.75164565576563303</v>
      </c>
      <c r="E12" s="440">
        <v>0.98389067871547098</v>
      </c>
      <c r="F12" s="440">
        <v>0.94443370642804703</v>
      </c>
      <c r="G12" s="441">
        <v>0.94616584879795496</v>
      </c>
      <c r="H12" s="441">
        <v>0.95</v>
      </c>
      <c r="I12" s="441">
        <v>0.99039459414365605</v>
      </c>
      <c r="J12" s="441">
        <v>0.96206697830447196</v>
      </c>
      <c r="K12" s="441">
        <v>0.924287932986255</v>
      </c>
      <c r="L12" s="441">
        <v>0.91256439105590004</v>
      </c>
      <c r="M12" s="441">
        <v>0.90113744476769397</v>
      </c>
      <c r="N12" s="460">
        <v>0.882645864652292</v>
      </c>
      <c r="O12" s="460">
        <v>0.83189091063302101</v>
      </c>
      <c r="P12" s="460">
        <v>0.84648467386273196</v>
      </c>
    </row>
    <row r="13" spans="1:16">
      <c r="A13" s="439">
        <v>5</v>
      </c>
      <c r="B13" s="442">
        <v>0.65</v>
      </c>
      <c r="C13" s="440">
        <v>0.63</v>
      </c>
      <c r="D13" s="441">
        <v>0.62191438628846796</v>
      </c>
      <c r="E13" s="440">
        <v>0.90988059032929602</v>
      </c>
      <c r="F13" s="440">
        <v>0.86411303414897001</v>
      </c>
      <c r="G13" s="441">
        <v>0.86082379632670902</v>
      </c>
      <c r="H13" s="441">
        <v>0.87</v>
      </c>
      <c r="I13" s="441">
        <v>0.952398625080637</v>
      </c>
      <c r="J13" s="441">
        <v>0.90251507800471298</v>
      </c>
      <c r="K13" s="441">
        <v>0.85203355660159297</v>
      </c>
      <c r="L13" s="441">
        <v>0.83005870701561602</v>
      </c>
      <c r="M13" s="441">
        <v>0.81284051446114103</v>
      </c>
      <c r="N13" s="460">
        <v>0.78101855526987896</v>
      </c>
      <c r="O13" s="460">
        <v>0.702107166719519</v>
      </c>
      <c r="P13" s="460">
        <v>0.71669267133460401</v>
      </c>
    </row>
    <row r="14" spans="1:16">
      <c r="A14" s="439">
        <v>6</v>
      </c>
      <c r="B14" s="442">
        <v>0.56999999999999995</v>
      </c>
      <c r="C14" s="440">
        <v>0.54</v>
      </c>
      <c r="D14" s="441">
        <v>0.53207171301892997</v>
      </c>
      <c r="E14" s="440">
        <v>0.84771206646019104</v>
      </c>
      <c r="F14" s="440">
        <v>0.80016487989998197</v>
      </c>
      <c r="G14" s="441">
        <v>0.79378800256812398</v>
      </c>
      <c r="H14" s="441">
        <v>0.8</v>
      </c>
      <c r="I14" s="441">
        <v>0.90693684822346499</v>
      </c>
      <c r="J14" s="441">
        <v>0.84232676137528595</v>
      </c>
      <c r="K14" s="441">
        <v>0.78089261408609101</v>
      </c>
      <c r="L14" s="441">
        <v>0.75355492354969</v>
      </c>
      <c r="M14" s="441">
        <v>0.72819255613334499</v>
      </c>
      <c r="N14" s="460">
        <v>0.69030378521635904</v>
      </c>
      <c r="O14" s="460">
        <v>0.58916848624356399</v>
      </c>
      <c r="P14" s="460">
        <v>0.59586641139832597</v>
      </c>
    </row>
    <row r="15" spans="1:16">
      <c r="A15" s="439">
        <v>7</v>
      </c>
      <c r="B15" s="442">
        <v>0.51</v>
      </c>
      <c r="C15" s="440">
        <v>0.48</v>
      </c>
      <c r="D15" s="441">
        <v>0.46818063965789097</v>
      </c>
      <c r="E15" s="440">
        <v>0.786140428203423</v>
      </c>
      <c r="F15" s="440">
        <v>0.74229424505485797</v>
      </c>
      <c r="G15" s="441">
        <v>0.73760409884307798</v>
      </c>
      <c r="H15" s="441">
        <v>0.74</v>
      </c>
      <c r="I15" s="441">
        <v>0.85091511283430099</v>
      </c>
      <c r="J15" s="441">
        <v>0.78462610151162104</v>
      </c>
      <c r="K15" s="441">
        <v>0.71871495667058405</v>
      </c>
      <c r="L15" s="441">
        <v>0.68811892327268598</v>
      </c>
      <c r="M15" s="441">
        <v>0.66092017526105895</v>
      </c>
      <c r="N15" s="460">
        <v>0.61895768257538797</v>
      </c>
      <c r="O15" s="460">
        <v>0.50716947096266296</v>
      </c>
      <c r="P15" s="460">
        <v>0.50452578076390098</v>
      </c>
    </row>
    <row r="16" spans="1:16">
      <c r="A16" s="439">
        <v>8</v>
      </c>
      <c r="B16" s="442">
        <v>0.49</v>
      </c>
      <c r="C16" s="440">
        <v>0.45</v>
      </c>
      <c r="D16" s="441">
        <v>0.423534580312112</v>
      </c>
      <c r="E16" s="440">
        <v>0.72178967468489397</v>
      </c>
      <c r="F16" s="440">
        <v>0.68559643009081805</v>
      </c>
      <c r="G16" s="441">
        <v>0.68181842816733496</v>
      </c>
      <c r="H16" s="441">
        <v>0.69</v>
      </c>
      <c r="I16" s="441">
        <v>0.78660072627288102</v>
      </c>
      <c r="J16" s="441">
        <v>0.72454971060297602</v>
      </c>
      <c r="K16" s="441">
        <v>0.66262623991407599</v>
      </c>
      <c r="L16" s="441">
        <v>0.63415063146793704</v>
      </c>
      <c r="M16" s="441">
        <v>0.60429273512191495</v>
      </c>
      <c r="N16" s="460">
        <v>0.56474475532641699</v>
      </c>
      <c r="O16" s="460">
        <v>0.44948805420891003</v>
      </c>
      <c r="P16" s="460">
        <v>0.43773632058733197</v>
      </c>
    </row>
    <row r="17" spans="1:16">
      <c r="A17" s="439">
        <v>9</v>
      </c>
      <c r="B17" s="442">
        <v>0.47</v>
      </c>
      <c r="C17" s="440">
        <v>0.44</v>
      </c>
      <c r="D17" s="441">
        <v>0.39617526130333403</v>
      </c>
      <c r="E17" s="440">
        <v>0.66687051498704997</v>
      </c>
      <c r="F17" s="440">
        <v>0.62816272490999603</v>
      </c>
      <c r="G17" s="441">
        <v>0.62774165979785801</v>
      </c>
      <c r="H17" s="441">
        <v>0.64</v>
      </c>
      <c r="I17" s="441">
        <v>0.73378906239936403</v>
      </c>
      <c r="J17" s="441">
        <v>0.66700655283923604</v>
      </c>
      <c r="K17" s="441">
        <v>0.61120951348977304</v>
      </c>
      <c r="L17" s="441">
        <v>0.58498738165021802</v>
      </c>
      <c r="M17" s="441">
        <v>0.556158634964388</v>
      </c>
      <c r="N17" s="460">
        <v>0.51862021598886998</v>
      </c>
      <c r="O17" s="460">
        <v>0.40318026525829498</v>
      </c>
      <c r="P17" s="460">
        <v>0.390541090138873</v>
      </c>
    </row>
    <row r="18" spans="1:16">
      <c r="A18" s="439">
        <v>10</v>
      </c>
      <c r="B18" s="442">
        <v>0.46</v>
      </c>
      <c r="C18" s="440">
        <v>0.42</v>
      </c>
      <c r="D18" s="441">
        <v>0.38729396824530699</v>
      </c>
      <c r="E18" s="440">
        <v>0.62050218252162403</v>
      </c>
      <c r="F18" s="440">
        <v>0.58145233459648105</v>
      </c>
      <c r="G18" s="441">
        <v>0.57257452112173801</v>
      </c>
      <c r="H18" s="441">
        <v>0.57999999999999996</v>
      </c>
      <c r="I18" s="441">
        <v>0.67761108606930498</v>
      </c>
      <c r="J18" s="441">
        <v>0.61280022584368399</v>
      </c>
      <c r="K18" s="441">
        <v>0.55900952341550703</v>
      </c>
      <c r="L18" s="441">
        <v>0.540753464975957</v>
      </c>
      <c r="M18" s="441">
        <v>0.51191374027181502</v>
      </c>
      <c r="N18" s="460">
        <v>0.47892663652099998</v>
      </c>
      <c r="O18" s="460">
        <v>0.36527147381813901</v>
      </c>
      <c r="P18" s="460">
        <v>0.35142751637416703</v>
      </c>
    </row>
    <row r="19" spans="1:16">
      <c r="A19" s="439">
        <v>11</v>
      </c>
      <c r="B19" s="442">
        <v>0.45</v>
      </c>
      <c r="C19" s="440">
        <v>0.41</v>
      </c>
      <c r="D19" s="441">
        <v>0.37594698009663502</v>
      </c>
      <c r="E19" s="440">
        <v>0.57594133107210699</v>
      </c>
      <c r="F19" s="440">
        <v>0.54115941343400997</v>
      </c>
      <c r="G19" s="441">
        <v>0.52773152471365703</v>
      </c>
      <c r="H19" s="441">
        <v>0.53</v>
      </c>
      <c r="I19" s="441">
        <v>0.62006773628487999</v>
      </c>
      <c r="J19" s="441">
        <v>0.55846558329218698</v>
      </c>
      <c r="K19" s="441">
        <v>0.51250686003123203</v>
      </c>
      <c r="L19" s="441">
        <v>0.49694634390551001</v>
      </c>
      <c r="M19" s="441">
        <v>0.47450874571296298</v>
      </c>
      <c r="N19" s="460">
        <v>0.44478657075903699</v>
      </c>
      <c r="O19" s="460">
        <v>0.33673463241273399</v>
      </c>
      <c r="P19" s="460">
        <v>0.32127733575578299</v>
      </c>
    </row>
    <row r="20" spans="1:16">
      <c r="A20" s="439">
        <v>12</v>
      </c>
      <c r="B20" s="442">
        <v>0.42</v>
      </c>
      <c r="C20" s="440">
        <v>0.41</v>
      </c>
      <c r="D20" s="441">
        <v>0.365318158845994</v>
      </c>
      <c r="E20" s="440">
        <v>0.53321989491956201</v>
      </c>
      <c r="F20" s="440">
        <v>0.50347419493511703</v>
      </c>
      <c r="G20" s="441">
        <v>0.48991433864209999</v>
      </c>
      <c r="H20" s="441">
        <v>0.48</v>
      </c>
      <c r="I20" s="441">
        <v>0.55127091738162903</v>
      </c>
      <c r="J20" s="441">
        <v>0.50603018470440897</v>
      </c>
      <c r="K20" s="441">
        <v>0.47139259816521401</v>
      </c>
      <c r="L20" s="441">
        <v>0.45848417740571801</v>
      </c>
      <c r="M20" s="441">
        <v>0.43799545812076701</v>
      </c>
      <c r="N20" s="460">
        <v>0.41564414450784998</v>
      </c>
      <c r="O20" s="460">
        <v>0.31451690278399902</v>
      </c>
      <c r="P20" s="460">
        <v>0.29829586780502598</v>
      </c>
    </row>
    <row r="21" spans="1:16">
      <c r="A21" s="439">
        <v>13</v>
      </c>
      <c r="B21" s="442">
        <v>0.38</v>
      </c>
      <c r="C21" s="440">
        <v>0.38</v>
      </c>
      <c r="D21" s="441">
        <v>0.35941201502626102</v>
      </c>
      <c r="E21" s="440">
        <v>0.49437633080929999</v>
      </c>
      <c r="F21" s="440">
        <v>0.46652023499693401</v>
      </c>
      <c r="G21" s="441">
        <v>0.45483394778647002</v>
      </c>
      <c r="H21" s="441">
        <v>0.45</v>
      </c>
      <c r="I21" s="441">
        <v>0.49408490675953498</v>
      </c>
      <c r="J21" s="441">
        <v>0.45367627015340201</v>
      </c>
      <c r="K21" s="441">
        <v>0.43291830061599901</v>
      </c>
      <c r="L21" s="441">
        <v>0.42424519392952698</v>
      </c>
      <c r="M21" s="441">
        <v>0.40576037775556401</v>
      </c>
      <c r="N21" s="460">
        <v>0.38701068112926001</v>
      </c>
      <c r="O21" s="460">
        <v>0.29468631134069001</v>
      </c>
      <c r="P21" s="460">
        <v>0.28031942907590801</v>
      </c>
    </row>
    <row r="22" spans="1:16">
      <c r="A22" s="439">
        <v>14</v>
      </c>
      <c r="B22" s="442">
        <v>0.34</v>
      </c>
      <c r="C22" s="440">
        <v>0.35</v>
      </c>
      <c r="D22" s="441">
        <v>0.33790597059845401</v>
      </c>
      <c r="E22" s="440">
        <v>0.445164791349696</v>
      </c>
      <c r="F22" s="440">
        <v>0.43169325672909198</v>
      </c>
      <c r="G22" s="441">
        <v>0.42093821476874699</v>
      </c>
      <c r="H22" s="441">
        <v>0.41</v>
      </c>
      <c r="I22" s="441">
        <v>0.45083466217979201</v>
      </c>
      <c r="J22" s="441">
        <v>0.41083189720890301</v>
      </c>
      <c r="K22" s="441">
        <v>0.39329680247297899</v>
      </c>
      <c r="L22" s="441">
        <v>0.39003621135241701</v>
      </c>
      <c r="M22" s="441">
        <v>0.37578786337786702</v>
      </c>
      <c r="N22" s="460">
        <v>0.361021895403284</v>
      </c>
      <c r="O22" s="460">
        <v>0.27668066531940899</v>
      </c>
      <c r="P22" s="460">
        <v>0.26314982350284599</v>
      </c>
    </row>
    <row r="23" spans="1:16">
      <c r="A23" s="439">
        <v>15</v>
      </c>
      <c r="B23" s="442">
        <v>0.28999999999999998</v>
      </c>
      <c r="C23" s="440">
        <v>0.31</v>
      </c>
      <c r="D23" s="441">
        <v>0.300234368919164</v>
      </c>
      <c r="E23" s="440">
        <v>0.39179894987907798</v>
      </c>
      <c r="F23" s="440">
        <v>0.38784731273919498</v>
      </c>
      <c r="G23" s="441">
        <v>0.39059646760931599</v>
      </c>
      <c r="H23" s="441">
        <v>0.38</v>
      </c>
      <c r="I23" s="441">
        <v>0.40840031120044001</v>
      </c>
      <c r="J23" s="441">
        <v>0.36609569002140202</v>
      </c>
      <c r="K23" s="441">
        <v>0.35315979321888502</v>
      </c>
      <c r="L23" s="441">
        <v>0.35318437733707297</v>
      </c>
      <c r="M23" s="441">
        <v>0.34461099581394999</v>
      </c>
      <c r="N23" s="460">
        <v>0.33449013139471101</v>
      </c>
      <c r="O23" s="460">
        <v>0.25787432429826002</v>
      </c>
      <c r="P23" s="460">
        <v>0.24642072130730699</v>
      </c>
    </row>
    <row r="24" spans="1:16">
      <c r="A24" s="439">
        <v>16</v>
      </c>
      <c r="B24" s="442">
        <v>0.26</v>
      </c>
      <c r="C24" s="440">
        <v>0.27</v>
      </c>
      <c r="D24" s="441">
        <v>0.26353075939383203</v>
      </c>
      <c r="E24" s="440">
        <v>0.34484060763739499</v>
      </c>
      <c r="F24" s="440">
        <v>0.34435387793816302</v>
      </c>
      <c r="G24" s="441">
        <v>0.34850912449465998</v>
      </c>
      <c r="H24" s="441">
        <v>0.34</v>
      </c>
      <c r="I24" s="441">
        <v>0.36399497937959502</v>
      </c>
      <c r="J24" s="441">
        <v>0.32722698640442699</v>
      </c>
      <c r="K24" s="441">
        <v>0.31359932083148001</v>
      </c>
      <c r="L24" s="441">
        <v>0.31524220440067402</v>
      </c>
      <c r="M24" s="441">
        <v>0.31090886633349901</v>
      </c>
      <c r="N24" s="460">
        <v>0.30525326814720199</v>
      </c>
      <c r="O24" s="460">
        <v>0.23457214055511599</v>
      </c>
      <c r="P24" s="460">
        <v>0.225588661961339</v>
      </c>
    </row>
    <row r="25" spans="1:16">
      <c r="A25" s="439">
        <v>17</v>
      </c>
      <c r="B25" s="442">
        <v>0.22</v>
      </c>
      <c r="C25" s="440">
        <v>0.23</v>
      </c>
      <c r="D25" s="441">
        <v>0.22600095888035401</v>
      </c>
      <c r="E25" s="440">
        <v>0.29661014808978298</v>
      </c>
      <c r="F25" s="440">
        <v>0.300774482591606</v>
      </c>
      <c r="G25" s="441">
        <v>0.31315059560134001</v>
      </c>
      <c r="H25" s="441">
        <v>0.31</v>
      </c>
      <c r="I25" s="441">
        <v>0.32160874623604002</v>
      </c>
      <c r="J25" s="441">
        <v>0.28847699695382201</v>
      </c>
      <c r="K25" s="441">
        <v>0.27674093658099802</v>
      </c>
      <c r="L25" s="441">
        <v>0.28087887278475199</v>
      </c>
      <c r="M25" s="441">
        <v>0.27614882783681399</v>
      </c>
      <c r="N25" s="460">
        <v>0.27222147623302101</v>
      </c>
      <c r="O25" s="460">
        <v>0.20921311239808699</v>
      </c>
      <c r="P25" s="460">
        <v>0.206870301514581</v>
      </c>
    </row>
    <row r="26" spans="1:16">
      <c r="A26" s="439">
        <v>18</v>
      </c>
      <c r="B26" s="442">
        <v>0.19</v>
      </c>
      <c r="C26" s="440">
        <v>0.2</v>
      </c>
      <c r="D26" s="441">
        <v>0.19108296989123</v>
      </c>
      <c r="E26" s="440">
        <v>0.26987115380730098</v>
      </c>
      <c r="F26" s="440">
        <v>0.26742469402581898</v>
      </c>
      <c r="G26" s="441">
        <v>0.27681197415352299</v>
      </c>
      <c r="H26" s="441">
        <v>0.28000000000000003</v>
      </c>
      <c r="I26" s="441">
        <v>0.2797202514462</v>
      </c>
      <c r="J26" s="441">
        <v>0.25579627488419898</v>
      </c>
      <c r="K26" s="441">
        <v>0.24220683150204</v>
      </c>
      <c r="L26" s="441">
        <v>0.24532399319853601</v>
      </c>
      <c r="M26" s="441">
        <v>0.243496544382791</v>
      </c>
      <c r="N26" s="460">
        <v>0.23952752655034401</v>
      </c>
      <c r="O26" s="460">
        <v>0.18487589330694401</v>
      </c>
      <c r="P26" s="460">
        <v>0.185765358525491</v>
      </c>
    </row>
    <row r="27" spans="1:16">
      <c r="A27" s="439">
        <v>19</v>
      </c>
      <c r="B27" s="442">
        <v>0.16</v>
      </c>
      <c r="C27" s="440">
        <v>0.17</v>
      </c>
      <c r="D27" s="441">
        <v>0.16117170380266799</v>
      </c>
      <c r="E27" s="440">
        <v>0.23191438028971001</v>
      </c>
      <c r="F27" s="440">
        <v>0.226059154101689</v>
      </c>
      <c r="G27" s="441">
        <v>0.23768575722157301</v>
      </c>
      <c r="H27" s="441">
        <v>0.24</v>
      </c>
      <c r="I27" s="441">
        <v>0.240112086977537</v>
      </c>
      <c r="J27" s="441">
        <v>0.222960741236959</v>
      </c>
      <c r="K27" s="441">
        <v>0.20616964812829899</v>
      </c>
      <c r="L27" s="441">
        <v>0.21349218817992399</v>
      </c>
      <c r="M27" s="441">
        <v>0.20974019775559499</v>
      </c>
      <c r="N27" s="460">
        <v>0.21103066055233499</v>
      </c>
      <c r="O27" s="460">
        <v>0.16424023960513701</v>
      </c>
      <c r="P27" s="460">
        <v>0.15977249149801001</v>
      </c>
    </row>
    <row r="28" spans="1:16">
      <c r="A28" s="443">
        <v>20</v>
      </c>
      <c r="B28" s="444">
        <v>0.13</v>
      </c>
      <c r="C28" s="444">
        <v>0.15</v>
      </c>
      <c r="D28" s="444">
        <v>0.15093303033519201</v>
      </c>
      <c r="E28" s="444">
        <v>0.20263277419555201</v>
      </c>
      <c r="F28" s="444">
        <v>0.18726186368341699</v>
      </c>
      <c r="G28" s="444">
        <v>0.197199002174925</v>
      </c>
      <c r="H28" s="445">
        <v>0.21</v>
      </c>
      <c r="I28" s="445">
        <v>0.211204057639158</v>
      </c>
      <c r="J28" s="445">
        <v>0.20430929782735799</v>
      </c>
      <c r="K28" s="445">
        <v>0.17005515747023001</v>
      </c>
      <c r="L28" s="445">
        <v>0.17892017251200301</v>
      </c>
      <c r="M28" s="445">
        <v>0.18477314807488401</v>
      </c>
      <c r="N28" s="461">
        <v>0.18186645101474799</v>
      </c>
      <c r="O28" s="461">
        <v>0.151950523902976</v>
      </c>
      <c r="P28" s="461">
        <v>0.145276183028339</v>
      </c>
    </row>
    <row r="29" spans="1:16">
      <c r="A29" s="446"/>
      <c r="B29" s="446"/>
      <c r="C29" s="446"/>
      <c r="D29" s="2"/>
      <c r="E29" s="2"/>
      <c r="F29" s="1"/>
      <c r="G29" s="1"/>
      <c r="H29" s="2"/>
      <c r="I29" s="2"/>
      <c r="J29" s="2"/>
      <c r="K29" s="2"/>
      <c r="L29" s="2"/>
      <c r="M29" s="2"/>
    </row>
    <row r="30" spans="1:16">
      <c r="A30" s="446"/>
      <c r="B30" s="446"/>
      <c r="C30" s="446"/>
      <c r="D30" s="2"/>
      <c r="E30" s="2"/>
      <c r="F30" s="1"/>
      <c r="G30" s="1"/>
      <c r="H30" s="2"/>
      <c r="I30" s="2"/>
      <c r="J30" s="2"/>
      <c r="K30" s="2"/>
      <c r="L30" s="2"/>
      <c r="M30" s="2"/>
    </row>
    <row r="31" spans="1:16">
      <c r="A31" s="446"/>
      <c r="B31" s="446"/>
      <c r="C31" s="446"/>
      <c r="D31" s="2"/>
      <c r="E31" s="2"/>
      <c r="F31" s="1"/>
      <c r="G31" s="1"/>
      <c r="H31" s="2"/>
      <c r="I31" s="2"/>
      <c r="J31" s="2"/>
      <c r="K31" s="2"/>
      <c r="L31" s="2"/>
      <c r="M31" s="2"/>
    </row>
    <row r="32" spans="1:16">
      <c r="A32" s="446"/>
      <c r="B32" s="446"/>
      <c r="C32" s="446"/>
      <c r="D32" s="2"/>
      <c r="E32" s="2"/>
      <c r="F32" s="1"/>
      <c r="G32" s="1"/>
      <c r="H32" s="2"/>
      <c r="I32" s="2"/>
      <c r="J32" s="2"/>
      <c r="K32" s="2"/>
      <c r="L32" s="2"/>
      <c r="M32" s="2"/>
    </row>
    <row r="33" spans="1:17" ht="17.399999999999999">
      <c r="A33" s="447" t="s">
        <v>129</v>
      </c>
      <c r="B33" s="447"/>
      <c r="C33" s="447"/>
      <c r="D33" s="4"/>
      <c r="E33" s="4"/>
      <c r="F33" s="448"/>
      <c r="G33" s="448"/>
      <c r="H33" s="4"/>
      <c r="I33" s="4"/>
      <c r="J33" s="4"/>
      <c r="K33" s="4"/>
      <c r="L33" s="4"/>
      <c r="M33" s="4"/>
    </row>
    <row r="34" spans="1:17">
      <c r="A34" s="433" t="s">
        <v>438</v>
      </c>
      <c r="B34" s="434">
        <v>2010</v>
      </c>
      <c r="C34" s="435">
        <v>2011</v>
      </c>
      <c r="D34" s="435">
        <v>2012</v>
      </c>
      <c r="E34" s="435">
        <v>2013</v>
      </c>
      <c r="F34" s="435">
        <v>2014</v>
      </c>
      <c r="G34" s="435">
        <v>2015</v>
      </c>
      <c r="H34" s="435">
        <v>2016</v>
      </c>
      <c r="I34" s="435">
        <v>2017</v>
      </c>
      <c r="J34" s="435">
        <v>2018</v>
      </c>
      <c r="K34" s="435">
        <v>2019</v>
      </c>
      <c r="L34" s="435">
        <v>2020</v>
      </c>
      <c r="M34" s="435">
        <v>2021</v>
      </c>
      <c r="N34" s="435">
        <v>2022</v>
      </c>
      <c r="O34" s="435">
        <v>2023</v>
      </c>
      <c r="P34" s="435">
        <v>2024</v>
      </c>
    </row>
    <row r="35" spans="1:17">
      <c r="A35" s="436">
        <v>1</v>
      </c>
      <c r="B35" s="449">
        <v>1</v>
      </c>
      <c r="C35" s="450">
        <v>1</v>
      </c>
      <c r="D35" s="451">
        <v>1</v>
      </c>
      <c r="E35" s="450">
        <v>1</v>
      </c>
      <c r="F35" s="450">
        <v>1</v>
      </c>
      <c r="G35" s="438">
        <v>1</v>
      </c>
      <c r="H35" s="438">
        <v>1</v>
      </c>
      <c r="I35" s="438">
        <v>1</v>
      </c>
      <c r="J35" s="438">
        <v>1</v>
      </c>
      <c r="K35" s="438">
        <v>1</v>
      </c>
      <c r="L35" s="438">
        <v>0.99966655551850603</v>
      </c>
      <c r="M35" s="438">
        <v>1</v>
      </c>
      <c r="N35" s="462">
        <v>1</v>
      </c>
      <c r="O35" s="462">
        <v>1</v>
      </c>
      <c r="P35" s="462">
        <v>1</v>
      </c>
      <c r="Q35" s="464"/>
    </row>
    <row r="36" spans="1:17">
      <c r="A36" s="439">
        <v>2</v>
      </c>
      <c r="B36" s="442">
        <v>1</v>
      </c>
      <c r="C36" s="452">
        <v>1</v>
      </c>
      <c r="D36" s="453">
        <v>1</v>
      </c>
      <c r="E36" s="452">
        <v>0.99976465050600105</v>
      </c>
      <c r="F36" s="452">
        <v>1</v>
      </c>
      <c r="G36" s="441">
        <v>1</v>
      </c>
      <c r="H36" s="441">
        <v>1</v>
      </c>
      <c r="I36" s="441">
        <v>0.99994622788621801</v>
      </c>
      <c r="J36" s="441">
        <v>0.99983810037776599</v>
      </c>
      <c r="K36" s="441">
        <v>0.99990331625253803</v>
      </c>
      <c r="L36" s="441">
        <v>0.99943342776204003</v>
      </c>
      <c r="M36" s="441">
        <v>0.99983858818465499</v>
      </c>
      <c r="N36" s="463">
        <v>0.99984601170311105</v>
      </c>
      <c r="O36" s="463">
        <v>0.99970814281544895</v>
      </c>
      <c r="P36" s="463">
        <v>0.99989750948037304</v>
      </c>
      <c r="Q36" s="464"/>
    </row>
    <row r="37" spans="1:17">
      <c r="A37" s="439">
        <v>3</v>
      </c>
      <c r="B37" s="442">
        <v>0.999</v>
      </c>
      <c r="C37" s="452">
        <v>0.999</v>
      </c>
      <c r="D37" s="453">
        <v>1</v>
      </c>
      <c r="E37" s="452">
        <v>1</v>
      </c>
      <c r="F37" s="452">
        <v>1</v>
      </c>
      <c r="G37" s="441">
        <v>1</v>
      </c>
      <c r="H37" s="441">
        <v>1</v>
      </c>
      <c r="I37" s="441">
        <v>0.99959893048128301</v>
      </c>
      <c r="J37" s="441">
        <v>0.99987200491501105</v>
      </c>
      <c r="K37" s="441">
        <v>0.99977400619223</v>
      </c>
      <c r="L37" s="441">
        <v>0.998877108685434</v>
      </c>
      <c r="M37" s="441">
        <v>0.99986751808378205</v>
      </c>
      <c r="N37" s="463">
        <v>0.99962627067968901</v>
      </c>
      <c r="O37" s="463">
        <v>0.99960031974420505</v>
      </c>
      <c r="P37" s="463">
        <v>0.99976164938624701</v>
      </c>
      <c r="Q37" s="464"/>
    </row>
    <row r="38" spans="1:17">
      <c r="A38" s="439">
        <v>4</v>
      </c>
      <c r="B38" s="442">
        <v>0.998</v>
      </c>
      <c r="C38" s="452">
        <v>0.998</v>
      </c>
      <c r="D38" s="453">
        <v>0.99942242840907003</v>
      </c>
      <c r="E38" s="452">
        <v>0.99981466961294496</v>
      </c>
      <c r="F38" s="452">
        <v>1</v>
      </c>
      <c r="G38" s="441">
        <v>1</v>
      </c>
      <c r="H38" s="441">
        <v>1</v>
      </c>
      <c r="I38" s="441">
        <v>0.99929292822693805</v>
      </c>
      <c r="J38" s="441">
        <v>0.99935395565288798</v>
      </c>
      <c r="K38" s="441">
        <v>0.99903394841869997</v>
      </c>
      <c r="L38" s="441">
        <v>0.99478305127878897</v>
      </c>
      <c r="M38" s="441">
        <v>0.99892612897756194</v>
      </c>
      <c r="N38" s="463">
        <v>0.99822042218949403</v>
      </c>
      <c r="O38" s="463">
        <v>0.99910236935035202</v>
      </c>
      <c r="P38" s="463">
        <v>0.99894370758637197</v>
      </c>
      <c r="Q38" s="464"/>
    </row>
    <row r="39" spans="1:17">
      <c r="A39" s="439">
        <v>5</v>
      </c>
      <c r="B39" s="442">
        <v>0.996</v>
      </c>
      <c r="C39" s="452">
        <v>0.996</v>
      </c>
      <c r="D39" s="453">
        <v>0.99761062876347895</v>
      </c>
      <c r="E39" s="452">
        <v>0.99816016722905498</v>
      </c>
      <c r="F39" s="452">
        <v>1</v>
      </c>
      <c r="G39" s="441">
        <v>1</v>
      </c>
      <c r="H39" s="441">
        <v>1</v>
      </c>
      <c r="I39" s="441">
        <v>0.99652387662245001</v>
      </c>
      <c r="J39" s="441">
        <v>0.99714225495301101</v>
      </c>
      <c r="K39" s="441">
        <v>0.99606532434572803</v>
      </c>
      <c r="L39" s="441">
        <v>0.99136785758261103</v>
      </c>
      <c r="M39" s="441">
        <v>0.99604693715691694</v>
      </c>
      <c r="N39" s="463">
        <v>0.99503981602671498</v>
      </c>
      <c r="O39" s="463">
        <v>0.99167828252141499</v>
      </c>
      <c r="P39" s="463">
        <v>0.99368977942039904</v>
      </c>
      <c r="Q39" s="464"/>
    </row>
    <row r="40" spans="1:17">
      <c r="A40" s="439">
        <v>6</v>
      </c>
      <c r="B40" s="442">
        <v>0.996</v>
      </c>
      <c r="C40" s="452">
        <v>0.996</v>
      </c>
      <c r="D40" s="453">
        <v>0.99625706609951303</v>
      </c>
      <c r="E40" s="452">
        <v>0.99602641452038099</v>
      </c>
      <c r="F40" s="452">
        <v>1</v>
      </c>
      <c r="G40" s="441">
        <v>1</v>
      </c>
      <c r="H40" s="441">
        <v>1</v>
      </c>
      <c r="I40" s="441">
        <v>0.99079997974307499</v>
      </c>
      <c r="J40" s="441">
        <v>0.99204974008765701</v>
      </c>
      <c r="K40" s="441">
        <v>0.99081035923141203</v>
      </c>
      <c r="L40" s="441">
        <v>0.98001684577075099</v>
      </c>
      <c r="M40" s="441">
        <v>0.98963665086887798</v>
      </c>
      <c r="N40" s="463">
        <v>0.98904138619493498</v>
      </c>
      <c r="O40" s="463">
        <v>0.98851529908421598</v>
      </c>
      <c r="P40" s="463">
        <v>0.98372084136282001</v>
      </c>
      <c r="Q40" s="464"/>
    </row>
    <row r="41" spans="1:17">
      <c r="A41" s="439">
        <v>7</v>
      </c>
      <c r="B41" s="442">
        <v>0.99</v>
      </c>
      <c r="C41" s="452">
        <v>0.99</v>
      </c>
      <c r="D41" s="453">
        <v>0.99179569547060697</v>
      </c>
      <c r="E41" s="452">
        <v>0.99162371535589899</v>
      </c>
      <c r="F41" s="452">
        <v>0.99</v>
      </c>
      <c r="G41" s="441">
        <v>0.99</v>
      </c>
      <c r="H41" s="441">
        <v>0.99</v>
      </c>
      <c r="I41" s="441">
        <v>0.97728590814137495</v>
      </c>
      <c r="J41" s="441">
        <v>0.97880907900575798</v>
      </c>
      <c r="K41" s="441">
        <v>0.97381371793460303</v>
      </c>
      <c r="L41" s="441">
        <v>0.93630049250204295</v>
      </c>
      <c r="M41" s="441">
        <v>0.97313211030864599</v>
      </c>
      <c r="N41" s="463">
        <v>0.97267440891747303</v>
      </c>
      <c r="O41" s="463">
        <v>0.97324423734481003</v>
      </c>
      <c r="P41" s="463">
        <v>0.97338827367156</v>
      </c>
      <c r="Q41" s="464"/>
    </row>
    <row r="42" spans="1:17">
      <c r="A42" s="439">
        <v>8</v>
      </c>
      <c r="B42" s="442">
        <v>0.97199999999999998</v>
      </c>
      <c r="C42" s="452">
        <v>0.98</v>
      </c>
      <c r="D42" s="453">
        <v>0.98293033380817596</v>
      </c>
      <c r="E42" s="452">
        <v>0.98316325282039996</v>
      </c>
      <c r="F42" s="452">
        <v>0.98</v>
      </c>
      <c r="G42" s="441">
        <v>0.99</v>
      </c>
      <c r="H42" s="441">
        <v>0.98</v>
      </c>
      <c r="I42" s="441">
        <v>0.92753819497355805</v>
      </c>
      <c r="J42" s="441">
        <v>0.93545314797487</v>
      </c>
      <c r="K42" s="441">
        <v>0.92255979734667004</v>
      </c>
      <c r="L42" s="441">
        <v>0.88441045265571405</v>
      </c>
      <c r="M42" s="441">
        <v>0.92427669960709602</v>
      </c>
      <c r="N42" s="463">
        <v>0.92487885028504202</v>
      </c>
      <c r="O42" s="463">
        <v>0.92749133934972605</v>
      </c>
      <c r="P42" s="463">
        <v>0.92362773563773604</v>
      </c>
      <c r="Q42" s="464"/>
    </row>
    <row r="43" spans="1:17">
      <c r="A43" s="439">
        <v>9</v>
      </c>
      <c r="B43" s="442">
        <v>0.93200000000000005</v>
      </c>
      <c r="C43" s="452">
        <v>0.94</v>
      </c>
      <c r="D43" s="453">
        <v>0.95187665961493795</v>
      </c>
      <c r="E43" s="452">
        <v>0.95874542704057997</v>
      </c>
      <c r="F43" s="452">
        <v>0.94</v>
      </c>
      <c r="G43" s="441">
        <v>0.97</v>
      </c>
      <c r="H43" s="441">
        <v>0.95</v>
      </c>
      <c r="I43" s="441">
        <v>0.87764022496044702</v>
      </c>
      <c r="J43" s="441">
        <v>0.87264328332238805</v>
      </c>
      <c r="K43" s="441">
        <v>0.87008336008679199</v>
      </c>
      <c r="L43" s="441">
        <v>0.83088495967384601</v>
      </c>
      <c r="M43" s="441">
        <v>0.86286731001860595</v>
      </c>
      <c r="N43" s="463">
        <v>0.86576034390112799</v>
      </c>
      <c r="O43" s="463">
        <v>0.87146437522377396</v>
      </c>
      <c r="P43" s="463">
        <v>0.86386459741289001</v>
      </c>
      <c r="Q43" s="464"/>
    </row>
    <row r="44" spans="1:17">
      <c r="A44" s="439">
        <v>10</v>
      </c>
      <c r="B44" s="442">
        <v>0.90300000000000002</v>
      </c>
      <c r="C44" s="452">
        <v>0.89</v>
      </c>
      <c r="D44" s="453">
        <v>0.89362894086132305</v>
      </c>
      <c r="E44" s="452">
        <v>0.90351497117351698</v>
      </c>
      <c r="F44" s="452">
        <v>0.89</v>
      </c>
      <c r="G44" s="441">
        <v>0.92</v>
      </c>
      <c r="H44" s="441">
        <v>0.9</v>
      </c>
      <c r="I44" s="441">
        <v>0.83908548128731597</v>
      </c>
      <c r="J44" s="441">
        <v>0.83194244604316503</v>
      </c>
      <c r="K44" s="441">
        <v>0.81674449819635897</v>
      </c>
      <c r="L44" s="441">
        <v>0.78579581696713297</v>
      </c>
      <c r="M44" s="441">
        <v>0.81570907763263201</v>
      </c>
      <c r="N44" s="463">
        <v>0.81172866189724902</v>
      </c>
      <c r="O44" s="463">
        <v>0.818293178705923</v>
      </c>
      <c r="P44" s="463">
        <v>0.81361926590413103</v>
      </c>
      <c r="Q44" s="464"/>
    </row>
    <row r="45" spans="1:17">
      <c r="A45" s="439">
        <v>11</v>
      </c>
      <c r="B45" s="442">
        <v>0.88800000000000001</v>
      </c>
      <c r="C45" s="452">
        <v>0.88</v>
      </c>
      <c r="D45" s="453">
        <v>0.82901554404145095</v>
      </c>
      <c r="E45" s="452">
        <v>0.83927589074393905</v>
      </c>
      <c r="F45" s="452">
        <v>0.83</v>
      </c>
      <c r="G45" s="441">
        <v>0.87</v>
      </c>
      <c r="H45" s="441">
        <v>0.86</v>
      </c>
      <c r="I45" s="441">
        <v>0.80182445471025099</v>
      </c>
      <c r="J45" s="441">
        <v>0.78849743480836498</v>
      </c>
      <c r="K45" s="441">
        <v>0.76218398594089198</v>
      </c>
      <c r="L45" s="441">
        <v>0.719899122781821</v>
      </c>
      <c r="M45" s="441">
        <v>0.75357241227345295</v>
      </c>
      <c r="N45" s="463">
        <v>0.75157355674714399</v>
      </c>
      <c r="O45" s="463">
        <v>0.75344230137045398</v>
      </c>
      <c r="P45" s="463">
        <v>0.74890408182855694</v>
      </c>
      <c r="Q45" s="464"/>
    </row>
    <row r="46" spans="1:17">
      <c r="A46" s="439">
        <v>12</v>
      </c>
      <c r="B46" s="442">
        <v>0.83699999999999997</v>
      </c>
      <c r="C46" s="452">
        <v>0.86</v>
      </c>
      <c r="D46" s="453">
        <v>0.84446010976916797</v>
      </c>
      <c r="E46" s="452">
        <v>0.77532079995359604</v>
      </c>
      <c r="F46" s="452">
        <v>0.77</v>
      </c>
      <c r="G46" s="441">
        <v>0.81</v>
      </c>
      <c r="H46" s="441">
        <v>0.81</v>
      </c>
      <c r="I46" s="441">
        <v>0.756017673955791</v>
      </c>
      <c r="J46" s="441">
        <v>0.74447551712662696</v>
      </c>
      <c r="K46" s="441">
        <v>0.71064907816615297</v>
      </c>
      <c r="L46" s="441">
        <v>0.69766987581972895</v>
      </c>
      <c r="M46" s="441">
        <v>0.68460341972782701</v>
      </c>
      <c r="N46" s="463">
        <v>0.68663029249672702</v>
      </c>
      <c r="O46" s="463">
        <v>0.69642475188227204</v>
      </c>
      <c r="P46" s="463">
        <v>0.68364575209100897</v>
      </c>
      <c r="Q46" s="464"/>
    </row>
    <row r="47" spans="1:17">
      <c r="A47" s="439">
        <v>13</v>
      </c>
      <c r="B47" s="442">
        <v>0.76800000000000002</v>
      </c>
      <c r="C47" s="452">
        <v>0.8</v>
      </c>
      <c r="D47" s="453">
        <v>0.82020773880757303</v>
      </c>
      <c r="E47" s="452">
        <v>0.80084313543665397</v>
      </c>
      <c r="F47" s="452">
        <v>0.71</v>
      </c>
      <c r="G47" s="441">
        <v>0.75</v>
      </c>
      <c r="H47" s="441">
        <v>0.75</v>
      </c>
      <c r="I47" s="441">
        <v>0.70191460812304596</v>
      </c>
      <c r="J47" s="441">
        <v>0.69754050823184099</v>
      </c>
      <c r="K47" s="441">
        <v>0.66826830562536799</v>
      </c>
      <c r="L47" s="441">
        <v>0.64765609508590605</v>
      </c>
      <c r="M47" s="441">
        <v>0.63556009033900096</v>
      </c>
      <c r="N47" s="463">
        <v>0.62845290793173503</v>
      </c>
      <c r="O47" s="463">
        <v>0.63625774691222403</v>
      </c>
      <c r="P47" s="463">
        <v>0.63659813084112105</v>
      </c>
      <c r="Q47" s="464"/>
    </row>
    <row r="48" spans="1:17">
      <c r="A48" s="439">
        <v>14</v>
      </c>
      <c r="B48" s="442">
        <v>0.69899999999999995</v>
      </c>
      <c r="C48" s="452">
        <v>0.72</v>
      </c>
      <c r="D48" s="453">
        <v>0.74095565809024799</v>
      </c>
      <c r="E48" s="452">
        <v>0.76426162976976897</v>
      </c>
      <c r="F48" s="452">
        <v>0.73</v>
      </c>
      <c r="G48" s="441">
        <v>0.69</v>
      </c>
      <c r="H48" s="441">
        <v>0.68</v>
      </c>
      <c r="I48" s="441">
        <v>0.64237563140976595</v>
      </c>
      <c r="J48" s="441">
        <v>0.648460897765333</v>
      </c>
      <c r="K48" s="441">
        <v>0.62741688403096896</v>
      </c>
      <c r="L48" s="441">
        <v>0.59165168220318898</v>
      </c>
      <c r="M48" s="441">
        <v>0.58485971413446303</v>
      </c>
      <c r="N48" s="463">
        <v>0.57429622245901102</v>
      </c>
      <c r="O48" s="463">
        <v>0.56910017355702902</v>
      </c>
      <c r="P48" s="463">
        <v>0.57215077313221496</v>
      </c>
      <c r="Q48" s="464"/>
    </row>
    <row r="49" spans="1:17">
      <c r="A49" s="439">
        <v>15</v>
      </c>
      <c r="B49" s="442">
        <v>0.629</v>
      </c>
      <c r="C49" s="452">
        <v>0.65</v>
      </c>
      <c r="D49" s="453">
        <v>0.66309228655424102</v>
      </c>
      <c r="E49" s="452">
        <v>0.68446461857632002</v>
      </c>
      <c r="F49" s="452">
        <v>0.69</v>
      </c>
      <c r="G49" s="441">
        <v>0.7</v>
      </c>
      <c r="H49" s="441">
        <v>0.62</v>
      </c>
      <c r="I49" s="441">
        <v>0.582858919924094</v>
      </c>
      <c r="J49" s="441">
        <v>0.58448321227734201</v>
      </c>
      <c r="K49" s="441">
        <v>0.57479747762216304</v>
      </c>
      <c r="L49" s="441">
        <v>0.54156111790166095</v>
      </c>
      <c r="M49" s="441">
        <v>0.53398346703018196</v>
      </c>
      <c r="N49" s="463">
        <v>0.51828065993070904</v>
      </c>
      <c r="O49" s="463">
        <v>0.51654908607815297</v>
      </c>
      <c r="P49" s="463">
        <v>0.508859296147262</v>
      </c>
      <c r="Q49" s="464"/>
    </row>
    <row r="50" spans="1:17">
      <c r="A50" s="439">
        <v>16</v>
      </c>
      <c r="B50" s="442">
        <v>0.56699999999999995</v>
      </c>
      <c r="C50" s="452">
        <v>0.57999999999999996</v>
      </c>
      <c r="D50" s="453">
        <v>0.59375024791159303</v>
      </c>
      <c r="E50" s="452">
        <v>0.610521635131405</v>
      </c>
      <c r="F50" s="452">
        <v>0.61</v>
      </c>
      <c r="G50" s="441">
        <v>0.67</v>
      </c>
      <c r="H50" s="441">
        <v>0.64</v>
      </c>
      <c r="I50" s="441">
        <v>0.52401262201926702</v>
      </c>
      <c r="J50" s="441">
        <v>0.52264638146416398</v>
      </c>
      <c r="K50" s="441">
        <v>0.50910915075063301</v>
      </c>
      <c r="L50" s="441">
        <v>0.48495304518063098</v>
      </c>
      <c r="M50" s="441">
        <v>0.48915755246822301</v>
      </c>
      <c r="N50" s="463">
        <v>0.47442101523965902</v>
      </c>
      <c r="O50" s="463">
        <v>0.46873086045812401</v>
      </c>
      <c r="P50" s="463">
        <v>0.45849336317377098</v>
      </c>
      <c r="Q50" s="464"/>
    </row>
    <row r="51" spans="1:17">
      <c r="A51" s="439">
        <v>17</v>
      </c>
      <c r="B51" s="442">
        <v>0.499</v>
      </c>
      <c r="C51" s="452">
        <v>0.52</v>
      </c>
      <c r="D51" s="453">
        <v>0.52268730214562098</v>
      </c>
      <c r="E51" s="452">
        <v>0.53873658173054095</v>
      </c>
      <c r="F51" s="452">
        <v>0.53</v>
      </c>
      <c r="G51" s="441">
        <v>0.59</v>
      </c>
      <c r="H51" s="441">
        <v>0.6</v>
      </c>
      <c r="I51" s="441">
        <v>0.53614658130239501</v>
      </c>
      <c r="J51" s="441">
        <v>0.46567376614051098</v>
      </c>
      <c r="K51" s="441">
        <v>0.45240873690352401</v>
      </c>
      <c r="L51" s="441">
        <v>0.41976279571256397</v>
      </c>
      <c r="M51" s="441">
        <v>0.43654780386161501</v>
      </c>
      <c r="N51" s="463">
        <v>0.43367775190041002</v>
      </c>
      <c r="O51" s="463">
        <v>0.426088930804429</v>
      </c>
      <c r="P51" s="463">
        <v>0.41175684702738802</v>
      </c>
      <c r="Q51" s="464"/>
    </row>
    <row r="52" spans="1:17">
      <c r="A52" s="439">
        <v>18</v>
      </c>
      <c r="B52" s="442">
        <v>0.432</v>
      </c>
      <c r="C52" s="452">
        <v>0.45</v>
      </c>
      <c r="D52" s="453">
        <v>0.459987737584304</v>
      </c>
      <c r="E52" s="452">
        <v>0.47030638026476101</v>
      </c>
      <c r="F52" s="452">
        <v>0.46</v>
      </c>
      <c r="G52" s="441">
        <v>0.51</v>
      </c>
      <c r="H52" s="441">
        <v>0.53</v>
      </c>
      <c r="I52" s="441">
        <v>0.49336214412980001</v>
      </c>
      <c r="J52" s="441">
        <v>0.476794263448578</v>
      </c>
      <c r="K52" s="441">
        <v>0.39986409646586701</v>
      </c>
      <c r="L52" s="441">
        <v>0.42176743984229997</v>
      </c>
      <c r="M52" s="441">
        <v>0.38389793709137798</v>
      </c>
      <c r="N52" s="463">
        <v>0.38372683272340902</v>
      </c>
      <c r="O52" s="463">
        <v>0.38724777474378502</v>
      </c>
      <c r="P52" s="463">
        <v>0.37095995017781203</v>
      </c>
      <c r="Q52" s="464"/>
    </row>
    <row r="53" spans="1:17">
      <c r="A53" s="439">
        <v>19</v>
      </c>
      <c r="B53" s="442">
        <v>0.36</v>
      </c>
      <c r="C53" s="452">
        <v>0.38</v>
      </c>
      <c r="D53" s="453">
        <v>0.38812797012898798</v>
      </c>
      <c r="E53" s="452">
        <v>0.40450365768932101</v>
      </c>
      <c r="F53" s="452">
        <v>0.4</v>
      </c>
      <c r="G53" s="441">
        <v>0.44</v>
      </c>
      <c r="H53" s="441">
        <v>0.45</v>
      </c>
      <c r="I53" s="441">
        <v>0.41773243617037797</v>
      </c>
      <c r="J53" s="441">
        <v>0.43244492957960001</v>
      </c>
      <c r="K53" s="441">
        <v>0.40290109144376002</v>
      </c>
      <c r="L53" s="441">
        <v>0.40457373109006101</v>
      </c>
      <c r="M53" s="441">
        <v>0.33511103783276502</v>
      </c>
      <c r="N53" s="463">
        <v>0.33273809159791801</v>
      </c>
      <c r="O53" s="463">
        <v>0.33866284216863202</v>
      </c>
      <c r="P53" s="463">
        <v>0.33289798716418301</v>
      </c>
      <c r="Q53" s="464"/>
    </row>
    <row r="54" spans="1:17">
      <c r="A54" s="443">
        <v>20</v>
      </c>
      <c r="B54" s="444">
        <v>0.27500000000000002</v>
      </c>
      <c r="C54" s="454">
        <v>0.26</v>
      </c>
      <c r="D54" s="455">
        <v>0.30625773378115601</v>
      </c>
      <c r="E54" s="454">
        <v>0.327147451399672</v>
      </c>
      <c r="F54" s="454">
        <v>0.32</v>
      </c>
      <c r="G54" s="445">
        <v>0.38</v>
      </c>
      <c r="H54" s="445">
        <v>0.38</v>
      </c>
      <c r="I54" s="445">
        <v>0.33153409743436602</v>
      </c>
      <c r="J54" s="445">
        <v>0.34564524900940102</v>
      </c>
      <c r="K54" s="445">
        <v>0.33598605426709099</v>
      </c>
      <c r="L54" s="445">
        <v>0.32243524542332003</v>
      </c>
      <c r="M54" s="445">
        <v>0.281243790342741</v>
      </c>
      <c r="N54" s="461">
        <v>0.277830269440763</v>
      </c>
      <c r="O54" s="461">
        <v>0.28061324331596599</v>
      </c>
      <c r="P54" s="461">
        <v>0.28160743162690799</v>
      </c>
      <c r="Q54" s="464"/>
    </row>
    <row r="55" spans="1:17">
      <c r="A55" s="446"/>
      <c r="B55" s="446"/>
      <c r="C55" s="446"/>
      <c r="D55" s="456"/>
      <c r="E55" s="2"/>
      <c r="F55" s="2"/>
      <c r="G55" s="2"/>
      <c r="H55" s="2"/>
      <c r="I55" s="2"/>
      <c r="J55" s="2"/>
      <c r="K55" s="2"/>
      <c r="L55" s="2"/>
      <c r="M55" s="2"/>
    </row>
    <row r="56" spans="1:17">
      <c r="A56" s="446"/>
      <c r="B56" s="446"/>
      <c r="C56" s="446"/>
      <c r="D56" s="2"/>
      <c r="E56" s="456"/>
      <c r="F56" s="1"/>
      <c r="G56" s="2"/>
      <c r="H56" s="2"/>
      <c r="I56" s="2"/>
      <c r="J56" s="2"/>
      <c r="K56" s="2"/>
      <c r="L56" s="2"/>
      <c r="M56" s="2"/>
    </row>
    <row r="57" spans="1:17">
      <c r="A57" s="446"/>
      <c r="B57" s="446"/>
      <c r="C57" s="446"/>
      <c r="D57" s="2"/>
      <c r="E57" s="456"/>
      <c r="F57" s="1"/>
      <c r="G57" s="1"/>
      <c r="H57" s="2"/>
      <c r="I57" s="2"/>
      <c r="J57" s="2"/>
      <c r="K57" s="2"/>
      <c r="L57" s="2"/>
      <c r="M57" s="2"/>
    </row>
    <row r="58" spans="1:17">
      <c r="A58" s="446"/>
      <c r="B58" s="446"/>
      <c r="C58" s="446"/>
      <c r="D58" s="2"/>
      <c r="E58" s="456"/>
      <c r="F58" s="1"/>
      <c r="G58" s="1"/>
      <c r="H58" s="2"/>
      <c r="I58" s="2"/>
      <c r="J58" s="2"/>
      <c r="K58" s="2"/>
      <c r="L58" s="2"/>
      <c r="M58" s="2"/>
    </row>
    <row r="59" spans="1:17" ht="17.399999999999999">
      <c r="A59" s="447" t="s">
        <v>146</v>
      </c>
      <c r="B59" s="447"/>
      <c r="C59" s="447"/>
      <c r="D59" s="2"/>
      <c r="E59" s="2"/>
      <c r="F59" s="1"/>
      <c r="G59" s="1"/>
      <c r="H59" s="2"/>
      <c r="I59" s="2"/>
      <c r="J59" s="2"/>
      <c r="K59" s="2"/>
      <c r="L59" s="2"/>
      <c r="M59" s="2"/>
    </row>
    <row r="60" spans="1:17">
      <c r="A60" s="433" t="s">
        <v>438</v>
      </c>
      <c r="B60" s="434">
        <v>2010</v>
      </c>
      <c r="C60" s="435">
        <v>2011</v>
      </c>
      <c r="D60" s="435">
        <v>2012</v>
      </c>
      <c r="E60" s="435">
        <v>2013</v>
      </c>
      <c r="F60" s="435">
        <v>2014</v>
      </c>
      <c r="G60" s="435">
        <v>2015</v>
      </c>
      <c r="H60" s="435">
        <v>2016</v>
      </c>
      <c r="I60" s="435">
        <v>2017</v>
      </c>
      <c r="J60" s="435">
        <v>2018</v>
      </c>
      <c r="K60" s="435">
        <v>2019</v>
      </c>
      <c r="L60" s="435">
        <v>2020</v>
      </c>
      <c r="M60" s="435">
        <v>2021</v>
      </c>
      <c r="N60" s="435">
        <v>2022</v>
      </c>
      <c r="O60" s="435">
        <v>2023</v>
      </c>
      <c r="P60" s="435">
        <v>2024</v>
      </c>
    </row>
    <row r="61" spans="1:17">
      <c r="A61" s="436">
        <v>1</v>
      </c>
      <c r="B61" s="449">
        <v>1</v>
      </c>
      <c r="C61" s="457">
        <v>0.99984818582055601</v>
      </c>
      <c r="D61" s="457">
        <v>0.99986876640419997</v>
      </c>
      <c r="E61" s="457">
        <v>0.999927373084465</v>
      </c>
      <c r="F61" s="457">
        <v>1</v>
      </c>
      <c r="G61" s="457">
        <v>1</v>
      </c>
      <c r="H61" s="437">
        <v>1</v>
      </c>
      <c r="I61" s="437">
        <v>1</v>
      </c>
      <c r="J61" s="437">
        <v>0.99990594431903701</v>
      </c>
      <c r="K61" s="437">
        <v>1</v>
      </c>
      <c r="L61" s="437">
        <v>0.99992825369493499</v>
      </c>
      <c r="M61" s="437">
        <v>1</v>
      </c>
      <c r="N61" s="462">
        <v>1</v>
      </c>
      <c r="O61" s="462">
        <v>0.99975064416922999</v>
      </c>
      <c r="P61" s="462">
        <v>1</v>
      </c>
    </row>
    <row r="62" spans="1:17">
      <c r="A62" s="439">
        <v>2</v>
      </c>
      <c r="B62" s="442">
        <v>0.99967744908303402</v>
      </c>
      <c r="C62" s="458">
        <v>0.99958375728424798</v>
      </c>
      <c r="D62" s="458">
        <v>0.99943813460689501</v>
      </c>
      <c r="E62" s="458">
        <v>0.99958946922343495</v>
      </c>
      <c r="F62" s="458">
        <v>1</v>
      </c>
      <c r="G62" s="458">
        <v>1</v>
      </c>
      <c r="H62" s="440">
        <v>0.99984721161191703</v>
      </c>
      <c r="I62" s="440">
        <v>0.99983878025749096</v>
      </c>
      <c r="J62" s="440">
        <v>0.99993218959788399</v>
      </c>
      <c r="K62" s="440">
        <v>0.99980415623980001</v>
      </c>
      <c r="L62" s="440">
        <v>0.99989758925096806</v>
      </c>
      <c r="M62" s="440">
        <v>0.99988380649909003</v>
      </c>
      <c r="N62" s="463">
        <v>0.99989097252507597</v>
      </c>
      <c r="O62" s="463">
        <v>0.999672370775473</v>
      </c>
      <c r="P62" s="463">
        <v>0.99974503454781904</v>
      </c>
    </row>
    <row r="63" spans="1:17">
      <c r="A63" s="439">
        <v>3</v>
      </c>
      <c r="B63" s="442">
        <v>0.99944910663459197</v>
      </c>
      <c r="C63" s="458">
        <v>0.99938865963625201</v>
      </c>
      <c r="D63" s="458">
        <v>0.99921957649017501</v>
      </c>
      <c r="E63" s="458">
        <v>0.99810196657352201</v>
      </c>
      <c r="F63" s="458">
        <v>0.99996070340897902</v>
      </c>
      <c r="G63" s="458">
        <v>1</v>
      </c>
      <c r="H63" s="440">
        <v>0.999574424183023</v>
      </c>
      <c r="I63" s="440">
        <v>0.99969989871581699</v>
      </c>
      <c r="J63" s="440">
        <v>0.99969788884726496</v>
      </c>
      <c r="K63" s="440">
        <v>0.99966677774075297</v>
      </c>
      <c r="L63" s="440">
        <v>0.99971900324832197</v>
      </c>
      <c r="M63" s="440">
        <v>0.99968520461699895</v>
      </c>
      <c r="N63" s="463">
        <v>0.99967360438675701</v>
      </c>
      <c r="O63" s="463">
        <v>0.999635754352735</v>
      </c>
      <c r="P63" s="463">
        <v>0.999615407372345</v>
      </c>
    </row>
    <row r="64" spans="1:17">
      <c r="A64" s="439">
        <v>4</v>
      </c>
      <c r="B64" s="442">
        <v>0.99774016057492598</v>
      </c>
      <c r="C64" s="458">
        <v>0.99880979629205802</v>
      </c>
      <c r="D64" s="458">
        <v>0.999003619206705</v>
      </c>
      <c r="E64" s="458">
        <v>0.97946932404850495</v>
      </c>
      <c r="F64" s="458">
        <v>0.97831230283911697</v>
      </c>
      <c r="G64" s="458">
        <v>1</v>
      </c>
      <c r="H64" s="440">
        <v>0.99842790751047095</v>
      </c>
      <c r="I64" s="440">
        <v>0.99694539900725498</v>
      </c>
      <c r="J64" s="440">
        <v>0.99776051188299797</v>
      </c>
      <c r="K64" s="440">
        <v>0.997699074125043</v>
      </c>
      <c r="L64" s="440">
        <v>0.99749460043196503</v>
      </c>
      <c r="M64" s="440">
        <v>0.99743144671757</v>
      </c>
      <c r="N64" s="463">
        <v>0.99751918252914296</v>
      </c>
      <c r="O64" s="463">
        <v>0.997586382113821</v>
      </c>
      <c r="P64" s="463">
        <v>0.99689810840003301</v>
      </c>
    </row>
    <row r="65" spans="1:16">
      <c r="A65" s="439">
        <v>5</v>
      </c>
      <c r="B65" s="442">
        <v>0.97247694721134603</v>
      </c>
      <c r="C65" s="458">
        <v>0.98675905598243696</v>
      </c>
      <c r="D65" s="458">
        <v>0.98969965618162703</v>
      </c>
      <c r="E65" s="458">
        <v>0.94536574425935405</v>
      </c>
      <c r="F65" s="458">
        <v>0.94604379110650205</v>
      </c>
      <c r="G65" s="458">
        <v>0.98</v>
      </c>
      <c r="H65" s="440">
        <v>0.98088478082637898</v>
      </c>
      <c r="I65" s="440">
        <v>0.96892714215229403</v>
      </c>
      <c r="J65" s="440">
        <v>0.97073802617302496</v>
      </c>
      <c r="K65" s="440">
        <v>0.97432805336462203</v>
      </c>
      <c r="L65" s="440">
        <v>0.97404567375589801</v>
      </c>
      <c r="M65" s="440">
        <v>0.97470416993710796</v>
      </c>
      <c r="N65" s="463">
        <v>0.97676043219076003</v>
      </c>
      <c r="O65" s="463">
        <v>0.97760312323419096</v>
      </c>
      <c r="P65" s="463">
        <v>0.97375398109086098</v>
      </c>
    </row>
    <row r="66" spans="1:16">
      <c r="A66" s="439">
        <v>6</v>
      </c>
      <c r="B66" s="442">
        <v>0.87840416752630501</v>
      </c>
      <c r="C66" s="458">
        <v>0.91769690062681197</v>
      </c>
      <c r="D66" s="458">
        <v>0.93078373630915501</v>
      </c>
      <c r="E66" s="458">
        <v>0.84392727432327197</v>
      </c>
      <c r="F66" s="458">
        <v>0.92025416306933605</v>
      </c>
      <c r="G66" s="458">
        <v>0.94</v>
      </c>
      <c r="H66" s="440">
        <v>0.93122848746126297</v>
      </c>
      <c r="I66" s="440">
        <v>0.89991010202374999</v>
      </c>
      <c r="J66" s="440">
        <v>0.90069925799260997</v>
      </c>
      <c r="K66" s="440">
        <v>0.91334954432138604</v>
      </c>
      <c r="L66" s="440">
        <v>0.91553502169751799</v>
      </c>
      <c r="M66" s="440">
        <v>0.91837032001165397</v>
      </c>
      <c r="N66" s="463">
        <v>0.932808963429969</v>
      </c>
      <c r="O66" s="463">
        <v>0.93738235973978801</v>
      </c>
      <c r="P66" s="463">
        <v>0.93682337123361104</v>
      </c>
    </row>
    <row r="67" spans="1:16">
      <c r="A67" s="439">
        <v>7</v>
      </c>
      <c r="B67" s="442">
        <v>0.83278416091229501</v>
      </c>
      <c r="C67" s="458">
        <v>0.83641383354304399</v>
      </c>
      <c r="D67" s="458">
        <v>0.846674703410358</v>
      </c>
      <c r="E67" s="458">
        <v>0.78163186466868595</v>
      </c>
      <c r="F67" s="458">
        <v>0.88668438538205996</v>
      </c>
      <c r="G67" s="458">
        <v>0.88</v>
      </c>
      <c r="H67" s="440">
        <v>0.87050022866351595</v>
      </c>
      <c r="I67" s="440">
        <v>0.85164443325782402</v>
      </c>
      <c r="J67" s="440">
        <v>0.84656896818041405</v>
      </c>
      <c r="K67" s="440">
        <v>0.85501612074202105</v>
      </c>
      <c r="L67" s="440">
        <v>0.86207381041588604</v>
      </c>
      <c r="M67" s="440">
        <v>0.86898292638149399</v>
      </c>
      <c r="N67" s="463">
        <v>0.87660804801727499</v>
      </c>
      <c r="O67" s="463">
        <v>0.89597123477976603</v>
      </c>
      <c r="P67" s="463">
        <v>0.89920569075712897</v>
      </c>
    </row>
    <row r="68" spans="1:16">
      <c r="A68" s="439">
        <v>8</v>
      </c>
      <c r="B68" s="442">
        <v>0.80909245490099102</v>
      </c>
      <c r="C68" s="458">
        <v>0.80723053550061197</v>
      </c>
      <c r="D68" s="458">
        <v>0.79951621454449096</v>
      </c>
      <c r="E68" s="458">
        <v>0.72843737161884603</v>
      </c>
      <c r="F68" s="458">
        <v>0.83862645403660196</v>
      </c>
      <c r="G68" s="458">
        <v>0.83</v>
      </c>
      <c r="H68" s="440">
        <v>0.82277205189062697</v>
      </c>
      <c r="I68" s="440">
        <v>0.81120860171425702</v>
      </c>
      <c r="J68" s="440">
        <v>0.80709506252316598</v>
      </c>
      <c r="K68" s="440">
        <v>0.80481467260761996</v>
      </c>
      <c r="L68" s="440">
        <v>0.80751478128812604</v>
      </c>
      <c r="M68" s="440">
        <v>0.81988930456618703</v>
      </c>
      <c r="N68" s="463">
        <v>0.83540049273178296</v>
      </c>
      <c r="O68" s="463">
        <v>0.84401982798796804</v>
      </c>
      <c r="P68" s="463">
        <v>0.85103309929789395</v>
      </c>
    </row>
    <row r="69" spans="1:16">
      <c r="A69" s="439">
        <v>9</v>
      </c>
      <c r="B69" s="442">
        <v>0.77302922556586595</v>
      </c>
      <c r="C69" s="458">
        <v>0.77734113202948896</v>
      </c>
      <c r="D69" s="458">
        <v>0.76178424959767399</v>
      </c>
      <c r="E69" s="458">
        <v>0.68173577477920799</v>
      </c>
      <c r="F69" s="458">
        <v>0.79073528090621803</v>
      </c>
      <c r="G69" s="458">
        <v>0.74</v>
      </c>
      <c r="H69" s="440">
        <v>0.77381308491090095</v>
      </c>
      <c r="I69" s="440">
        <v>0.74936782413136305</v>
      </c>
      <c r="J69" s="440">
        <v>0.75022419265454199</v>
      </c>
      <c r="K69" s="440">
        <v>0.74887966003476902</v>
      </c>
      <c r="L69" s="440">
        <v>0.74419037325135295</v>
      </c>
      <c r="M69" s="440">
        <v>0.74858563563944502</v>
      </c>
      <c r="N69" s="463">
        <v>0.77355327112300398</v>
      </c>
      <c r="O69" s="463">
        <v>0.79072103332060495</v>
      </c>
      <c r="P69" s="463">
        <v>0.79582063205380704</v>
      </c>
    </row>
    <row r="70" spans="1:16">
      <c r="A70" s="439">
        <v>10</v>
      </c>
      <c r="B70" s="442">
        <v>0.71385938734310495</v>
      </c>
      <c r="C70" s="458">
        <v>0.73589583550053705</v>
      </c>
      <c r="D70" s="458">
        <v>0.71362001183952894</v>
      </c>
      <c r="E70" s="458">
        <v>0.62715464918669594</v>
      </c>
      <c r="F70" s="458">
        <v>0.73697964761939905</v>
      </c>
      <c r="G70" s="458">
        <v>0.67</v>
      </c>
      <c r="H70" s="440">
        <v>0.68091272033606798</v>
      </c>
      <c r="I70" s="440">
        <v>0.69426737990753495</v>
      </c>
      <c r="J70" s="440">
        <v>0.68295017097141897</v>
      </c>
      <c r="K70" s="440">
        <v>0.68940210004933</v>
      </c>
      <c r="L70" s="440">
        <v>0.68522111848011802</v>
      </c>
      <c r="M70" s="440">
        <v>0.68153594047566302</v>
      </c>
      <c r="N70" s="463">
        <v>0.70093521164871198</v>
      </c>
      <c r="O70" s="463">
        <v>0.72577340535414903</v>
      </c>
      <c r="P70" s="463">
        <v>0.73792640143315702</v>
      </c>
    </row>
    <row r="71" spans="1:16">
      <c r="A71" s="439">
        <v>11</v>
      </c>
      <c r="B71" s="442">
        <v>0.61670305887808896</v>
      </c>
      <c r="C71" s="458">
        <v>0.66711133734707095</v>
      </c>
      <c r="D71" s="458">
        <v>0.66774707941900402</v>
      </c>
      <c r="E71" s="458">
        <v>0.58008215331819701</v>
      </c>
      <c r="F71" s="458">
        <v>0.67325434052864397</v>
      </c>
      <c r="G71" s="458">
        <v>0.61</v>
      </c>
      <c r="H71" s="440">
        <v>0.60326775524270004</v>
      </c>
      <c r="I71" s="440">
        <v>0.60128627418278902</v>
      </c>
      <c r="J71" s="440">
        <v>0.62769716964009303</v>
      </c>
      <c r="K71" s="440">
        <v>0.61899693597806804</v>
      </c>
      <c r="L71" s="440">
        <v>0.62159495862610503</v>
      </c>
      <c r="M71" s="440">
        <v>0.62086342047341403</v>
      </c>
      <c r="N71" s="463">
        <v>0.63004889455782298</v>
      </c>
      <c r="O71" s="463">
        <v>0.650648559977</v>
      </c>
      <c r="P71" s="463">
        <v>0.67173239412770702</v>
      </c>
    </row>
    <row r="72" spans="1:16">
      <c r="A72" s="439">
        <v>12</v>
      </c>
      <c r="B72" s="442">
        <v>0.56618938861560097</v>
      </c>
      <c r="C72" s="458">
        <v>0.58009352295563499</v>
      </c>
      <c r="D72" s="458">
        <v>0.60235190873190003</v>
      </c>
      <c r="E72" s="458">
        <v>0.51781389308154002</v>
      </c>
      <c r="F72" s="458">
        <v>0.61746180560140496</v>
      </c>
      <c r="G72" s="458">
        <v>0.55000000000000004</v>
      </c>
      <c r="H72" s="440">
        <v>0.54119706514809296</v>
      </c>
      <c r="I72" s="440">
        <v>0.52238427779410701</v>
      </c>
      <c r="J72" s="440">
        <v>0.54036024016010697</v>
      </c>
      <c r="K72" s="440">
        <v>0.56692930198791402</v>
      </c>
      <c r="L72" s="440">
        <v>0.55979143148954502</v>
      </c>
      <c r="M72" s="440">
        <v>0.56134611125651801</v>
      </c>
      <c r="N72" s="463">
        <v>0.57188091284704801</v>
      </c>
      <c r="O72" s="463">
        <v>0.58257526772190604</v>
      </c>
      <c r="P72" s="463">
        <v>0.60053102433579697</v>
      </c>
    </row>
    <row r="73" spans="1:16">
      <c r="A73" s="439">
        <v>13</v>
      </c>
      <c r="B73" s="442">
        <v>0.515229224628039</v>
      </c>
      <c r="C73" s="458">
        <v>0.52652846099789197</v>
      </c>
      <c r="D73" s="458">
        <v>0.51624995169455501</v>
      </c>
      <c r="E73" s="458">
        <v>0.43713650854989899</v>
      </c>
      <c r="F73" s="458">
        <v>0.56962853002509495</v>
      </c>
      <c r="G73" s="458">
        <v>0.5</v>
      </c>
      <c r="H73" s="440">
        <v>0.49051522096621702</v>
      </c>
      <c r="I73" s="440">
        <v>0.45918201955805299</v>
      </c>
      <c r="J73" s="440">
        <v>0.46301044971265798</v>
      </c>
      <c r="K73" s="440">
        <v>0.48020555370246798</v>
      </c>
      <c r="L73" s="440">
        <v>0.50712104712489103</v>
      </c>
      <c r="M73" s="440">
        <v>0.50184378863624102</v>
      </c>
      <c r="N73" s="463">
        <v>0.51655962471561701</v>
      </c>
      <c r="O73" s="463">
        <v>0.52913464880101901</v>
      </c>
      <c r="P73" s="463">
        <v>0.53869456230015</v>
      </c>
    </row>
    <row r="74" spans="1:16">
      <c r="A74" s="439">
        <v>14</v>
      </c>
      <c r="B74" s="442">
        <v>0.38328559738134199</v>
      </c>
      <c r="C74" s="458">
        <v>0.47566286046061501</v>
      </c>
      <c r="D74" s="458">
        <v>0.45433584400184501</v>
      </c>
      <c r="E74" s="458">
        <v>0.381071585419411</v>
      </c>
      <c r="F74" s="458">
        <v>0.51759348034515795</v>
      </c>
      <c r="G74" s="458">
        <v>0.46</v>
      </c>
      <c r="H74" s="440">
        <v>0.44726500265533697</v>
      </c>
      <c r="I74" s="440">
        <v>0.40831811884136798</v>
      </c>
      <c r="J74" s="440">
        <v>0.396931222648441</v>
      </c>
      <c r="K74" s="440">
        <v>0.41053890516201602</v>
      </c>
      <c r="L74" s="440">
        <v>0.42702426617745198</v>
      </c>
      <c r="M74" s="440">
        <v>0.45213844938398101</v>
      </c>
      <c r="N74" s="463">
        <v>0.46051712089447899</v>
      </c>
      <c r="O74" s="463">
        <v>0.476851991664905</v>
      </c>
      <c r="P74" s="463">
        <v>0.48469899988415599</v>
      </c>
    </row>
    <row r="75" spans="1:16">
      <c r="A75" s="439">
        <v>15</v>
      </c>
      <c r="B75" s="442">
        <v>0.30401711433325401</v>
      </c>
      <c r="C75" s="458">
        <v>0.352140913647429</v>
      </c>
      <c r="D75" s="458">
        <v>0.41864234565511899</v>
      </c>
      <c r="E75" s="458">
        <v>0.34996129281981803</v>
      </c>
      <c r="F75" s="458">
        <v>0.46650415033789</v>
      </c>
      <c r="G75" s="458">
        <v>0.41</v>
      </c>
      <c r="H75" s="440">
        <v>0.40781309577454999</v>
      </c>
      <c r="I75" s="440">
        <v>0.37344662772172099</v>
      </c>
      <c r="J75" s="440">
        <v>0.353597741780937</v>
      </c>
      <c r="K75" s="440">
        <v>0.35081311794262199</v>
      </c>
      <c r="L75" s="440">
        <v>0.36362162107375601</v>
      </c>
      <c r="M75" s="440">
        <v>0.38000333555703802</v>
      </c>
      <c r="N75" s="463">
        <v>0.414696901757308</v>
      </c>
      <c r="O75" s="463">
        <v>0.42501747030048898</v>
      </c>
      <c r="P75" s="463">
        <v>0.43919306616736598</v>
      </c>
    </row>
    <row r="76" spans="1:16">
      <c r="A76" s="439">
        <v>16</v>
      </c>
      <c r="B76" s="442">
        <v>0.28223156285823497</v>
      </c>
      <c r="C76" s="458">
        <v>0.27879940359141703</v>
      </c>
      <c r="D76" s="458">
        <v>0.306969988339027</v>
      </c>
      <c r="E76" s="458">
        <v>0.25494568441725801</v>
      </c>
      <c r="F76" s="458">
        <v>0.437907991811194</v>
      </c>
      <c r="G76" s="458">
        <v>0.35</v>
      </c>
      <c r="H76" s="440">
        <v>0.36139969114137299</v>
      </c>
      <c r="I76" s="440">
        <v>0.34125966237997901</v>
      </c>
      <c r="J76" s="440">
        <v>0.32445186252939801</v>
      </c>
      <c r="K76" s="440">
        <v>0.31402304803832698</v>
      </c>
      <c r="L76" s="440">
        <v>0.30880112377762198</v>
      </c>
      <c r="M76" s="440">
        <v>0.32237008807759698</v>
      </c>
      <c r="N76" s="463">
        <v>0.34723148765843898</v>
      </c>
      <c r="O76" s="463">
        <v>0.38031943287852599</v>
      </c>
      <c r="P76" s="463">
        <v>0.39077568134171897</v>
      </c>
    </row>
    <row r="77" spans="1:16">
      <c r="A77" s="439">
        <v>17</v>
      </c>
      <c r="B77" s="442">
        <v>0.28379538076937399</v>
      </c>
      <c r="C77" s="458">
        <v>0.25423512928289399</v>
      </c>
      <c r="D77" s="458">
        <v>0.24217213734684601</v>
      </c>
      <c r="E77" s="458">
        <v>0.200877325669339</v>
      </c>
      <c r="F77" s="458">
        <v>0.39616063358154402</v>
      </c>
      <c r="G77" s="458">
        <v>0.3</v>
      </c>
      <c r="H77" s="440">
        <v>0.30231659485673401</v>
      </c>
      <c r="I77" s="440">
        <v>0.299996490242875</v>
      </c>
      <c r="J77" s="440">
        <v>0.29659606918783998</v>
      </c>
      <c r="K77" s="440">
        <v>0.287201274561869</v>
      </c>
      <c r="L77" s="440">
        <v>0.276783633303121</v>
      </c>
      <c r="M77" s="440">
        <v>0.26980387919390603</v>
      </c>
      <c r="N77" s="463">
        <v>0.29532854261475899</v>
      </c>
      <c r="O77" s="463">
        <v>0.317878585723816</v>
      </c>
      <c r="P77" s="463">
        <v>0.34729784553626702</v>
      </c>
    </row>
    <row r="78" spans="1:16">
      <c r="A78" s="439">
        <v>18</v>
      </c>
      <c r="B78" s="442">
        <v>0.24966318234610901</v>
      </c>
      <c r="C78" s="458">
        <v>0.25353531584642403</v>
      </c>
      <c r="D78" s="458">
        <v>0.21510635587823199</v>
      </c>
      <c r="E78" s="458">
        <v>0.17098458795058</v>
      </c>
      <c r="F78" s="458">
        <v>0.36492890995260702</v>
      </c>
      <c r="G78" s="458">
        <v>0.26</v>
      </c>
      <c r="H78" s="440">
        <v>0.25468279935879101</v>
      </c>
      <c r="I78" s="440">
        <v>0.24978263809726201</v>
      </c>
      <c r="J78" s="440">
        <v>0.259932612663204</v>
      </c>
      <c r="K78" s="440">
        <v>0.25409892890568098</v>
      </c>
      <c r="L78" s="440">
        <v>0.24768985661178999</v>
      </c>
      <c r="M78" s="440">
        <v>0.23819759160947801</v>
      </c>
      <c r="N78" s="463">
        <v>0.244281160516505</v>
      </c>
      <c r="O78" s="463">
        <v>0.26821604856937298</v>
      </c>
      <c r="P78" s="463">
        <v>0.28753544029352901</v>
      </c>
    </row>
    <row r="79" spans="1:16">
      <c r="A79" s="439">
        <v>19</v>
      </c>
      <c r="B79" s="442">
        <v>0.210014058613604</v>
      </c>
      <c r="C79" s="458">
        <v>0.216957026713124</v>
      </c>
      <c r="D79" s="458">
        <v>0.21368605649042899</v>
      </c>
      <c r="E79" s="458">
        <v>0.15118838849296701</v>
      </c>
      <c r="F79" s="458">
        <v>0.3189111747851</v>
      </c>
      <c r="G79" s="458">
        <v>0.17</v>
      </c>
      <c r="H79" s="440">
        <v>0.212236307335011</v>
      </c>
      <c r="I79" s="440">
        <v>0.19519532708228099</v>
      </c>
      <c r="J79" s="440">
        <v>0.20200166161099001</v>
      </c>
      <c r="K79" s="440">
        <v>0.20932191492348701</v>
      </c>
      <c r="L79" s="440">
        <v>0.20508509827030399</v>
      </c>
      <c r="M79" s="440">
        <v>0.19256505576208199</v>
      </c>
      <c r="N79" s="463">
        <v>0.20084164184902201</v>
      </c>
      <c r="O79" s="463">
        <v>0.206213193581501</v>
      </c>
      <c r="P79" s="463">
        <v>0.22816050596474899</v>
      </c>
    </row>
    <row r="80" spans="1:16">
      <c r="A80" s="443">
        <v>20</v>
      </c>
      <c r="B80" s="444">
        <v>0.17141986593540501</v>
      </c>
      <c r="C80" s="444">
        <v>0.17924732345625599</v>
      </c>
      <c r="D80" s="444">
        <v>0.169477351916376</v>
      </c>
      <c r="E80" s="444">
        <v>2.53193960511034E-2</v>
      </c>
      <c r="F80" s="444">
        <v>0.27968206656731198</v>
      </c>
      <c r="G80" s="444">
        <v>0.12</v>
      </c>
      <c r="H80" s="444">
        <v>0.12609700713949601</v>
      </c>
      <c r="I80" s="444">
        <v>0.14304722275982201</v>
      </c>
      <c r="J80" s="444">
        <v>0.14049496036364401</v>
      </c>
      <c r="K80" s="444">
        <v>0.15029851034642699</v>
      </c>
      <c r="L80" s="444">
        <v>0.15263933735785501</v>
      </c>
      <c r="M80" s="444">
        <v>0.14211931089465801</v>
      </c>
      <c r="N80" s="461">
        <v>0.14695394886579199</v>
      </c>
      <c r="O80" s="461">
        <v>0.15499158358151</v>
      </c>
      <c r="P80" s="461">
        <v>0.16189961640283099</v>
      </c>
    </row>
    <row r="81" spans="1:16">
      <c r="A81" s="446"/>
      <c r="B81" s="446"/>
      <c r="C81" s="446"/>
      <c r="D81" s="2"/>
      <c r="E81" s="2"/>
      <c r="F81" s="1"/>
      <c r="G81" s="1"/>
      <c r="H81" s="2"/>
      <c r="I81" s="2"/>
      <c r="J81" s="2"/>
      <c r="K81" s="2"/>
      <c r="L81" s="2"/>
      <c r="M81" s="2"/>
    </row>
    <row r="82" spans="1:16">
      <c r="A82" s="446"/>
      <c r="B82" s="446"/>
      <c r="C82" s="446"/>
      <c r="D82" s="2"/>
      <c r="E82" s="2"/>
      <c r="F82" s="1"/>
      <c r="G82" s="1"/>
      <c r="H82" s="2"/>
      <c r="I82" s="2"/>
      <c r="J82" s="2"/>
      <c r="K82" s="2"/>
      <c r="L82" s="2"/>
      <c r="M82" s="2"/>
    </row>
    <row r="83" spans="1:16">
      <c r="A83" s="2"/>
      <c r="B83" s="2"/>
      <c r="C83" s="2"/>
      <c r="D83" s="2"/>
      <c r="E83" s="2"/>
      <c r="F83" s="1"/>
      <c r="G83" s="1"/>
      <c r="H83" s="2"/>
      <c r="I83" s="2"/>
      <c r="J83" s="2"/>
      <c r="K83" s="2"/>
      <c r="L83" s="2"/>
      <c r="M83" s="2"/>
    </row>
    <row r="84" spans="1:16" ht="17.399999999999999">
      <c r="A84" s="447"/>
      <c r="B84" s="447"/>
      <c r="C84" s="447"/>
      <c r="D84" s="2"/>
      <c r="E84" s="2"/>
      <c r="F84" s="1"/>
      <c r="G84" s="1"/>
      <c r="H84" s="2"/>
      <c r="I84" s="2"/>
      <c r="J84" s="2"/>
      <c r="K84" s="2"/>
      <c r="L84" s="2"/>
      <c r="M84" s="2"/>
    </row>
    <row r="85" spans="1:16" ht="17.399999999999999">
      <c r="A85" s="430" t="s">
        <v>156</v>
      </c>
      <c r="B85" s="447"/>
      <c r="C85" s="447"/>
      <c r="D85" s="2"/>
      <c r="E85" s="2"/>
      <c r="F85" s="1"/>
      <c r="G85" s="1"/>
      <c r="H85" s="2"/>
      <c r="I85" s="2"/>
      <c r="J85" s="2"/>
      <c r="K85" s="2"/>
      <c r="L85" s="2"/>
      <c r="M85" s="2"/>
    </row>
    <row r="86" spans="1:16">
      <c r="A86" s="433" t="s">
        <v>438</v>
      </c>
      <c r="B86" s="434">
        <v>2010</v>
      </c>
      <c r="C86" s="435">
        <v>2011</v>
      </c>
      <c r="D86" s="435">
        <v>2012</v>
      </c>
      <c r="E86" s="435">
        <v>2013</v>
      </c>
      <c r="F86" s="435">
        <v>2014</v>
      </c>
      <c r="G86" s="435">
        <v>2015</v>
      </c>
      <c r="H86" s="435">
        <v>2016</v>
      </c>
      <c r="I86" s="435">
        <v>2017</v>
      </c>
      <c r="J86" s="435">
        <v>2018</v>
      </c>
      <c r="K86" s="435">
        <v>2019</v>
      </c>
      <c r="L86" s="435">
        <v>2020</v>
      </c>
      <c r="M86" s="435">
        <v>2021</v>
      </c>
      <c r="N86" s="435">
        <v>2022</v>
      </c>
      <c r="O86" s="435">
        <v>2023</v>
      </c>
      <c r="P86" s="435">
        <v>2024</v>
      </c>
    </row>
    <row r="87" spans="1:16">
      <c r="A87" s="436">
        <v>1</v>
      </c>
      <c r="B87" s="465"/>
      <c r="C87" s="437">
        <v>1</v>
      </c>
      <c r="D87" s="438">
        <v>1</v>
      </c>
      <c r="E87" s="437">
        <v>1</v>
      </c>
      <c r="F87" s="437">
        <v>0.99988728584310205</v>
      </c>
      <c r="G87" s="438">
        <v>1</v>
      </c>
      <c r="H87" s="437">
        <v>1</v>
      </c>
      <c r="I87" s="437">
        <v>1</v>
      </c>
      <c r="J87" s="437">
        <v>1</v>
      </c>
      <c r="K87" s="437">
        <v>1</v>
      </c>
      <c r="L87" s="437">
        <v>1</v>
      </c>
      <c r="M87" s="437">
        <v>0.99980803685692299</v>
      </c>
      <c r="N87" s="462">
        <v>0.99985964173552999</v>
      </c>
      <c r="O87" s="437">
        <v>0.99994853478533896</v>
      </c>
      <c r="P87" s="437">
        <v>0.99998188635499097</v>
      </c>
    </row>
    <row r="88" spans="1:16">
      <c r="A88" s="439">
        <v>2</v>
      </c>
      <c r="B88" s="466"/>
      <c r="C88" s="440">
        <v>0.99959966882998597</v>
      </c>
      <c r="D88" s="441">
        <v>0.97029992517578001</v>
      </c>
      <c r="E88" s="440">
        <v>1</v>
      </c>
      <c r="F88" s="440">
        <v>0.99979850896635103</v>
      </c>
      <c r="G88" s="441">
        <v>1</v>
      </c>
      <c r="H88" s="440">
        <v>1</v>
      </c>
      <c r="I88" s="440">
        <v>1</v>
      </c>
      <c r="J88" s="440">
        <v>1</v>
      </c>
      <c r="K88" s="440">
        <v>0.99992277395937901</v>
      </c>
      <c r="L88" s="440">
        <v>1.00002347610719</v>
      </c>
      <c r="M88" s="440">
        <v>0.99975569037827305</v>
      </c>
      <c r="N88" s="463">
        <v>0.999572699531179</v>
      </c>
      <c r="O88" s="440">
        <v>0.99989968863351797</v>
      </c>
      <c r="P88" s="440">
        <v>0.99980897327286899</v>
      </c>
    </row>
    <row r="89" spans="1:16">
      <c r="A89" s="439">
        <v>3</v>
      </c>
      <c r="B89" s="466"/>
      <c r="C89" s="440">
        <v>0.972939621737265</v>
      </c>
      <c r="D89" s="441">
        <v>0.88451138641854699</v>
      </c>
      <c r="E89" s="440">
        <v>0.99995490213763905</v>
      </c>
      <c r="F89" s="440">
        <v>0.99967251108424005</v>
      </c>
      <c r="G89" s="441">
        <v>0.99982843040213298</v>
      </c>
      <c r="H89" s="440">
        <v>0.99970679207533697</v>
      </c>
      <c r="I89" s="440">
        <v>0.999391623739183</v>
      </c>
      <c r="J89" s="440">
        <v>0.999391623739183</v>
      </c>
      <c r="K89" s="440">
        <v>0.998176887343316</v>
      </c>
      <c r="L89" s="440">
        <v>0.99888147086581103</v>
      </c>
      <c r="M89" s="440">
        <v>0.99872821986707405</v>
      </c>
      <c r="N89" s="463">
        <v>0.99694045847458101</v>
      </c>
      <c r="O89" s="440">
        <v>0.99893112128196104</v>
      </c>
      <c r="P89" s="440">
        <v>0.99558881667926702</v>
      </c>
    </row>
    <row r="90" spans="1:16">
      <c r="A90" s="439">
        <v>4</v>
      </c>
      <c r="B90" s="466"/>
      <c r="C90" s="440">
        <v>0.89365683152945197</v>
      </c>
      <c r="D90" s="441">
        <v>0.77024052274142196</v>
      </c>
      <c r="E90" s="440">
        <v>0.97996433531660998</v>
      </c>
      <c r="F90" s="440">
        <v>0.99628088196227704</v>
      </c>
      <c r="G90" s="441">
        <v>0.98242888321680899</v>
      </c>
      <c r="H90" s="440">
        <v>0.98326113778139901</v>
      </c>
      <c r="I90" s="440">
        <v>0.98397839284661803</v>
      </c>
      <c r="J90" s="440">
        <v>0.98397839284661803</v>
      </c>
      <c r="K90" s="440">
        <v>0.98532067912383803</v>
      </c>
      <c r="L90" s="440">
        <v>0.98917544545908298</v>
      </c>
      <c r="M90" s="440">
        <v>0.99126951849909595</v>
      </c>
      <c r="N90" s="463">
        <v>0.98525580490397502</v>
      </c>
      <c r="O90" s="440">
        <v>0.98984383111763996</v>
      </c>
      <c r="P90" s="440">
        <v>0.97915029015780997</v>
      </c>
    </row>
    <row r="91" spans="1:16">
      <c r="A91" s="439">
        <v>5</v>
      </c>
      <c r="B91" s="466"/>
      <c r="C91" s="440">
        <v>0.78103319878953603</v>
      </c>
      <c r="D91" s="441">
        <v>0.63902854172735402</v>
      </c>
      <c r="E91" s="440">
        <v>0.95932914353600296</v>
      </c>
      <c r="F91" s="440">
        <v>0.97499076797697704</v>
      </c>
      <c r="G91" s="441">
        <v>0.95033891969977102</v>
      </c>
      <c r="H91" s="440">
        <v>0.95143926442729798</v>
      </c>
      <c r="I91" s="440">
        <v>0.94586270680391304</v>
      </c>
      <c r="J91" s="440">
        <v>0.94586270680391304</v>
      </c>
      <c r="K91" s="440">
        <v>0.95448172298815603</v>
      </c>
      <c r="L91" s="440">
        <v>0.96034504233655804</v>
      </c>
      <c r="M91" s="440">
        <v>0.97228638594929495</v>
      </c>
      <c r="N91" s="463">
        <v>0.96794757895010597</v>
      </c>
      <c r="O91" s="440">
        <v>0.97661538923662095</v>
      </c>
      <c r="P91" s="440">
        <v>0.963174530751428</v>
      </c>
    </row>
    <row r="92" spans="1:16">
      <c r="A92" s="439">
        <v>6</v>
      </c>
      <c r="B92" s="466"/>
      <c r="C92" s="440">
        <v>0.65141916682330803</v>
      </c>
      <c r="D92" s="441">
        <v>0.51141040799191195</v>
      </c>
      <c r="E92" s="440">
        <v>0.93964604767348303</v>
      </c>
      <c r="F92" s="440">
        <v>0.93558660624370604</v>
      </c>
      <c r="G92" s="441">
        <v>0.90841837278169502</v>
      </c>
      <c r="H92" s="440">
        <v>0.91231288617109396</v>
      </c>
      <c r="I92" s="440">
        <v>0.92022864011035899</v>
      </c>
      <c r="J92" s="440">
        <v>0.92022864011035899</v>
      </c>
      <c r="K92" s="440">
        <v>0.91542951822584795</v>
      </c>
      <c r="L92" s="440">
        <v>0.92942128040153404</v>
      </c>
      <c r="M92" s="440">
        <v>0.93775950911628603</v>
      </c>
      <c r="N92" s="463">
        <v>0.94748834871922005</v>
      </c>
      <c r="O92" s="440">
        <v>0.95878355512873303</v>
      </c>
      <c r="P92" s="440">
        <v>0.94559124708792397</v>
      </c>
    </row>
    <row r="93" spans="1:16">
      <c r="A93" s="439">
        <v>7</v>
      </c>
      <c r="B93" s="466"/>
      <c r="C93" s="440">
        <v>0.51414144747698098</v>
      </c>
      <c r="D93" s="441">
        <v>0.39165966974531202</v>
      </c>
      <c r="E93" s="440">
        <v>0.90102309899236699</v>
      </c>
      <c r="F93" s="440">
        <v>0.86574260617293897</v>
      </c>
      <c r="G93" s="441">
        <v>0.86814376695502304</v>
      </c>
      <c r="H93" s="440">
        <v>0.85281276659808303</v>
      </c>
      <c r="I93" s="440">
        <v>0.87246096055153799</v>
      </c>
      <c r="J93" s="440">
        <v>0.87246096055153799</v>
      </c>
      <c r="K93" s="440">
        <v>0.87132594999384405</v>
      </c>
      <c r="L93" s="440">
        <v>0.88106750999427497</v>
      </c>
      <c r="M93" s="440">
        <v>0.89882428519468505</v>
      </c>
      <c r="N93" s="463">
        <v>0.90572156786370495</v>
      </c>
      <c r="O93" s="440">
        <v>0.93501315749367497</v>
      </c>
      <c r="P93" s="440">
        <v>0.91938187667836901</v>
      </c>
    </row>
    <row r="94" spans="1:16">
      <c r="A94" s="439">
        <v>8</v>
      </c>
      <c r="B94" s="466"/>
      <c r="C94" s="440">
        <v>0.38761670944996801</v>
      </c>
      <c r="D94" s="441">
        <v>0.29076806205269701</v>
      </c>
      <c r="E94" s="440">
        <v>0.84779244424214795</v>
      </c>
      <c r="F94" s="440">
        <v>0.78286440446558903</v>
      </c>
      <c r="G94" s="441">
        <v>0.82251416127652399</v>
      </c>
      <c r="H94" s="440">
        <v>0.801485709728322</v>
      </c>
      <c r="I94" s="440">
        <v>0.80421752397558899</v>
      </c>
      <c r="J94" s="440">
        <v>0.80421752397558899</v>
      </c>
      <c r="K94" s="440">
        <v>0.83544555099915396</v>
      </c>
      <c r="L94" s="440">
        <v>0.829046292611752</v>
      </c>
      <c r="M94" s="440">
        <v>0.842306107634052</v>
      </c>
      <c r="N94" s="463">
        <v>0.857578295328012</v>
      </c>
      <c r="O94" s="440">
        <v>0.88381537978708502</v>
      </c>
      <c r="P94" s="440">
        <v>0.88406541622890999</v>
      </c>
    </row>
    <row r="95" spans="1:16">
      <c r="A95" s="439">
        <v>9</v>
      </c>
      <c r="B95" s="466"/>
      <c r="C95" s="440">
        <v>0.285493519370146</v>
      </c>
      <c r="D95" s="441">
        <v>0.21179823734699599</v>
      </c>
      <c r="E95" s="440">
        <v>0.79084529327451103</v>
      </c>
      <c r="F95" s="440">
        <v>0.71619648325795504</v>
      </c>
      <c r="G95" s="441">
        <v>0.78389012620638499</v>
      </c>
      <c r="H95" s="440">
        <v>0.76559623644917196</v>
      </c>
      <c r="I95" s="440">
        <v>0.75521488661818104</v>
      </c>
      <c r="J95" s="440">
        <v>0.75521488661818104</v>
      </c>
      <c r="K95" s="440">
        <v>0.78241954375592604</v>
      </c>
      <c r="L95" s="440">
        <v>0.79819927077907604</v>
      </c>
      <c r="M95" s="440">
        <v>0.79251905176278203</v>
      </c>
      <c r="N95" s="463">
        <v>0.80310281741675804</v>
      </c>
      <c r="O95" s="440">
        <v>0.83413450916642795</v>
      </c>
      <c r="P95" s="440">
        <v>0.82325319308790401</v>
      </c>
    </row>
    <row r="96" spans="1:16">
      <c r="A96" s="439">
        <v>10</v>
      </c>
      <c r="B96" s="466"/>
      <c r="C96" s="440">
        <v>0.204056976165229</v>
      </c>
      <c r="D96" s="441">
        <v>0.14994659492680401</v>
      </c>
      <c r="E96" s="440">
        <v>0.73668513471247898</v>
      </c>
      <c r="F96" s="440">
        <v>0.66517895737874999</v>
      </c>
      <c r="G96" s="441">
        <v>0.73926385322286303</v>
      </c>
      <c r="H96" s="440">
        <v>0.72925141045539099</v>
      </c>
      <c r="I96" s="440">
        <v>0.71802054154995298</v>
      </c>
      <c r="J96" s="440">
        <v>0.71802054154995298</v>
      </c>
      <c r="K96" s="440">
        <v>0.710009290499242</v>
      </c>
      <c r="L96" s="440">
        <v>0.74259099767023695</v>
      </c>
      <c r="M96" s="440">
        <v>0.75943665239287395</v>
      </c>
      <c r="N96" s="463">
        <v>0.75277340475020305</v>
      </c>
      <c r="O96" s="440">
        <v>0.77830823072190003</v>
      </c>
      <c r="P96" s="440">
        <v>0.76898671884950698</v>
      </c>
    </row>
    <row r="97" spans="1:16">
      <c r="A97" s="439">
        <v>11</v>
      </c>
      <c r="B97" s="466"/>
      <c r="C97" s="440">
        <v>0.14693588818276901</v>
      </c>
      <c r="D97" s="441">
        <v>0.10736190361955</v>
      </c>
      <c r="E97" s="440">
        <v>0.67142743686133299</v>
      </c>
      <c r="F97" s="440">
        <v>0.60715303136249499</v>
      </c>
      <c r="G97" s="441">
        <v>0.67489983588671598</v>
      </c>
      <c r="H97" s="440">
        <v>0.67049055392884405</v>
      </c>
      <c r="I97" s="440">
        <v>0.66281719657944305</v>
      </c>
      <c r="J97" s="440">
        <v>0.66281719657944305</v>
      </c>
      <c r="K97" s="440">
        <v>0.64795918367346905</v>
      </c>
      <c r="L97" s="440">
        <v>0.66017114210261696</v>
      </c>
      <c r="M97" s="440">
        <v>0.69310310686917098</v>
      </c>
      <c r="N97" s="463">
        <v>0.71121694584955997</v>
      </c>
      <c r="O97" s="440">
        <v>0.722375549154047</v>
      </c>
      <c r="P97" s="440">
        <v>0.70092187268591</v>
      </c>
    </row>
    <row r="98" spans="1:16">
      <c r="A98" s="439">
        <v>12</v>
      </c>
      <c r="B98" s="466"/>
      <c r="C98" s="440">
        <v>0.107996148785447</v>
      </c>
      <c r="D98" s="441">
        <v>7.8443199278031894E-2</v>
      </c>
      <c r="E98" s="440">
        <v>0.61735714159307697</v>
      </c>
      <c r="F98" s="440">
        <v>0.55464008254430697</v>
      </c>
      <c r="G98" s="441">
        <v>0.61918675432188897</v>
      </c>
      <c r="H98" s="440">
        <v>0.61534949550289897</v>
      </c>
      <c r="I98" s="440">
        <v>0.61702400102438504</v>
      </c>
      <c r="J98" s="440">
        <v>0.61702400102438504</v>
      </c>
      <c r="K98" s="440">
        <v>0.60125755194030395</v>
      </c>
      <c r="L98" s="440">
        <v>0.595294498888156</v>
      </c>
      <c r="M98" s="440">
        <v>0.61573344906109395</v>
      </c>
      <c r="N98" s="463">
        <v>0.64941096421479005</v>
      </c>
      <c r="O98" s="440">
        <v>0.68111963638818296</v>
      </c>
      <c r="P98" s="440">
        <v>0.65202457143007098</v>
      </c>
    </row>
    <row r="99" spans="1:16">
      <c r="A99" s="439">
        <v>13</v>
      </c>
      <c r="B99" s="466"/>
      <c r="C99" s="440">
        <v>8.0267117027275597E-2</v>
      </c>
      <c r="D99" s="441">
        <v>5.7926512334572799E-2</v>
      </c>
      <c r="E99" s="440">
        <v>0.56861427714457102</v>
      </c>
      <c r="F99" s="440">
        <v>0.50846664471289704</v>
      </c>
      <c r="G99" s="441">
        <v>0.56929766767690104</v>
      </c>
      <c r="H99" s="440">
        <v>0.56707868888643598</v>
      </c>
      <c r="I99" s="440">
        <v>0.56715968777356296</v>
      </c>
      <c r="J99" s="440">
        <v>0.56715968777356296</v>
      </c>
      <c r="K99" s="440">
        <v>0.55802072690118198</v>
      </c>
      <c r="L99" s="440">
        <v>0.54273242794875498</v>
      </c>
      <c r="M99" s="440">
        <v>0.55082351627491499</v>
      </c>
      <c r="N99" s="463">
        <v>0.57093078223916005</v>
      </c>
      <c r="O99" s="440">
        <v>0.61813549801017498</v>
      </c>
      <c r="P99" s="440">
        <v>0.60954896422753302</v>
      </c>
    </row>
    <row r="100" spans="1:16">
      <c r="A100" s="439">
        <v>14</v>
      </c>
      <c r="B100" s="466"/>
      <c r="C100" s="440">
        <v>5.9332236129385901E-2</v>
      </c>
      <c r="D100" s="441">
        <v>4.2566413635143401E-2</v>
      </c>
      <c r="E100" s="440">
        <v>0.51345928258319395</v>
      </c>
      <c r="F100" s="440">
        <v>0.45172782955123802</v>
      </c>
      <c r="G100" s="441">
        <v>0.51999929393490096</v>
      </c>
      <c r="H100" s="440">
        <v>0.51541467650890105</v>
      </c>
      <c r="I100" s="440">
        <v>0.51531517629812496</v>
      </c>
      <c r="J100" s="440">
        <v>0.51531517629812496</v>
      </c>
      <c r="K100" s="440">
        <v>0.51511308897183095</v>
      </c>
      <c r="L100" s="440">
        <v>0.499128443377993</v>
      </c>
      <c r="M100" s="440">
        <v>0.49477413417048</v>
      </c>
      <c r="N100" s="463">
        <v>0.50878917837709603</v>
      </c>
      <c r="O100" s="440">
        <v>0.53618159755556705</v>
      </c>
      <c r="P100" s="440">
        <v>0.537002175202689</v>
      </c>
    </row>
    <row r="101" spans="1:16">
      <c r="A101" s="439">
        <v>15</v>
      </c>
      <c r="B101" s="466"/>
      <c r="C101" s="440">
        <v>4.2297355661959801E-2</v>
      </c>
      <c r="D101" s="441">
        <v>2.99296880801019E-2</v>
      </c>
      <c r="E101" s="440">
        <v>0.48307573415765098</v>
      </c>
      <c r="F101" s="440">
        <v>0.38150166164309501</v>
      </c>
      <c r="G101" s="441">
        <v>0.46889745862176302</v>
      </c>
      <c r="H101" s="440">
        <v>0.47108006561888099</v>
      </c>
      <c r="I101" s="440">
        <v>0.46692965154503602</v>
      </c>
      <c r="J101" s="440">
        <v>0.46692965154503602</v>
      </c>
      <c r="K101" s="440">
        <v>0.46609498320452197</v>
      </c>
      <c r="L101" s="440">
        <v>0.461887339885379</v>
      </c>
      <c r="M101" s="440">
        <v>0.45196920429856702</v>
      </c>
      <c r="N101" s="463">
        <v>0.46469649903450599</v>
      </c>
      <c r="O101" s="440">
        <v>0.47249785139464001</v>
      </c>
      <c r="P101" s="440">
        <v>0.46841135885242102</v>
      </c>
    </row>
    <row r="102" spans="1:16">
      <c r="A102" s="439">
        <v>16</v>
      </c>
      <c r="B102" s="466"/>
      <c r="C102" s="440">
        <v>2.8129362928185801E-2</v>
      </c>
      <c r="D102" s="441">
        <v>1.9464578442628101E-2</v>
      </c>
      <c r="E102" s="440">
        <v>0.44323905462998803</v>
      </c>
      <c r="F102" s="440">
        <v>0.32816548816373098</v>
      </c>
      <c r="G102" s="441">
        <v>0.42105587763661001</v>
      </c>
      <c r="H102" s="440">
        <v>0.42195092758827102</v>
      </c>
      <c r="I102" s="440">
        <v>0.42366486238693901</v>
      </c>
      <c r="J102" s="440">
        <v>0.42366486238693901</v>
      </c>
      <c r="K102" s="440">
        <v>0.41768500781645601</v>
      </c>
      <c r="L102" s="440">
        <v>0.42110053333818698</v>
      </c>
      <c r="M102" s="440">
        <v>0.48758997501212098</v>
      </c>
      <c r="N102" s="463">
        <v>0.42096827100852902</v>
      </c>
      <c r="O102" s="440">
        <v>0.423300860754389</v>
      </c>
      <c r="P102" s="440">
        <v>0.41782033468927698</v>
      </c>
    </row>
    <row r="103" spans="1:16">
      <c r="A103" s="439">
        <v>17</v>
      </c>
      <c r="B103" s="466"/>
      <c r="C103" s="440">
        <v>1.7360597942670902E-2</v>
      </c>
      <c r="D103" s="441">
        <v>1.16177453349098E-2</v>
      </c>
      <c r="E103" s="440">
        <v>0.40590994825168097</v>
      </c>
      <c r="F103" s="440">
        <v>0.29528740081285099</v>
      </c>
      <c r="G103" s="441">
        <v>0.38730109686389602</v>
      </c>
      <c r="H103" s="440">
        <v>0.37600961834884999</v>
      </c>
      <c r="I103" s="440">
        <v>0.37406973126899401</v>
      </c>
      <c r="J103" s="440">
        <v>0.37406973126899401</v>
      </c>
      <c r="K103" s="440">
        <v>0.36777787997845002</v>
      </c>
      <c r="L103" s="440">
        <v>0.38484314804622999</v>
      </c>
      <c r="M103" s="440">
        <v>0.33014839927079698</v>
      </c>
      <c r="N103" s="463">
        <v>0.38355003056857601</v>
      </c>
      <c r="O103" s="440">
        <v>0.38075143034145997</v>
      </c>
      <c r="P103" s="440">
        <v>0.37021938833373202</v>
      </c>
    </row>
    <row r="104" spans="1:16">
      <c r="A104" s="439">
        <v>18</v>
      </c>
      <c r="B104" s="466"/>
      <c r="C104" s="440">
        <v>9.4587206908080205E-3</v>
      </c>
      <c r="D104" s="441">
        <v>5.8294350485786298E-3</v>
      </c>
      <c r="E104" s="440">
        <v>0.35958727429062798</v>
      </c>
      <c r="F104" s="440">
        <v>0.20880469692940301</v>
      </c>
      <c r="G104" s="441">
        <v>0.34899935442220797</v>
      </c>
      <c r="H104" s="440">
        <v>0.34308880308880302</v>
      </c>
      <c r="I104" s="440">
        <v>0.33092882024723302</v>
      </c>
      <c r="J104" s="440">
        <v>0.33092882024723302</v>
      </c>
      <c r="K104" s="440">
        <v>0.335048548821964</v>
      </c>
      <c r="L104" s="440">
        <v>0.34402922316829598</v>
      </c>
      <c r="M104" s="440">
        <v>0.35315248502265401</v>
      </c>
      <c r="N104" s="463">
        <v>0.33822785275960698</v>
      </c>
      <c r="O104" s="440">
        <v>0.34443591834124698</v>
      </c>
      <c r="P104" s="440">
        <v>0.33327260006413401</v>
      </c>
    </row>
    <row r="105" spans="1:16">
      <c r="A105" s="439">
        <v>19</v>
      </c>
      <c r="B105" s="466"/>
      <c r="C105" s="440">
        <v>3.9631350952687699E-3</v>
      </c>
      <c r="D105" s="441">
        <v>1.8928814178904099E-3</v>
      </c>
      <c r="E105" s="440">
        <v>0.32460435739124299</v>
      </c>
      <c r="F105" s="440">
        <v>0.154028999286903</v>
      </c>
      <c r="G105" s="441">
        <v>0.31752018956429201</v>
      </c>
      <c r="H105" s="440">
        <v>0.30253872633390699</v>
      </c>
      <c r="I105" s="440">
        <v>0.30112342199745201</v>
      </c>
      <c r="J105" s="440">
        <v>0.30112342199745201</v>
      </c>
      <c r="K105" s="440">
        <v>0.28475046652949898</v>
      </c>
      <c r="L105" s="440">
        <v>0.31933039647577099</v>
      </c>
      <c r="M105" s="440">
        <v>0.32797314531142402</v>
      </c>
      <c r="N105" s="463">
        <v>0.29585987261146501</v>
      </c>
      <c r="O105" s="440">
        <v>0.30962214370286101</v>
      </c>
      <c r="P105" s="440">
        <v>0.29729924148569697</v>
      </c>
    </row>
    <row r="106" spans="1:16">
      <c r="A106" s="443">
        <v>20</v>
      </c>
      <c r="B106" s="467"/>
      <c r="C106" s="444">
        <v>1.35739529331074E-3</v>
      </c>
      <c r="D106" s="444">
        <v>8.4534233508684706E-5</v>
      </c>
      <c r="E106" s="444">
        <v>0.26851607221488299</v>
      </c>
      <c r="F106" s="444">
        <v>0.115042669723602</v>
      </c>
      <c r="G106" s="444">
        <v>0.27060777911439499</v>
      </c>
      <c r="H106" s="444">
        <v>0.26862640816129202</v>
      </c>
      <c r="I106" s="444">
        <v>0.25834767641996598</v>
      </c>
      <c r="J106" s="444">
        <v>0.25834767641996598</v>
      </c>
      <c r="K106" s="444">
        <v>0.24607797811681301</v>
      </c>
      <c r="L106" s="444">
        <v>0.26590909090909098</v>
      </c>
      <c r="M106" s="444">
        <v>0.31869776724460502</v>
      </c>
      <c r="N106" s="461">
        <v>0.248711158869658</v>
      </c>
      <c r="O106" s="444">
        <v>0.27659204671857601</v>
      </c>
      <c r="P106" s="444">
        <v>0.263431687875822</v>
      </c>
    </row>
    <row r="107" spans="1:16">
      <c r="A107" s="446"/>
      <c r="B107" s="446"/>
      <c r="C107" s="2"/>
      <c r="D107" s="2"/>
      <c r="E107" s="1"/>
      <c r="F107" s="1"/>
      <c r="G107" s="2"/>
      <c r="H107" s="2"/>
      <c r="I107" s="2"/>
      <c r="J107" s="2"/>
      <c r="K107" s="2"/>
      <c r="L107" s="2"/>
      <c r="M107" s="2"/>
    </row>
    <row r="108" spans="1:16">
      <c r="A108" s="446"/>
      <c r="B108" s="446"/>
      <c r="C108" s="2"/>
      <c r="D108" s="2"/>
      <c r="E108" s="1"/>
      <c r="F108" s="1"/>
      <c r="G108" s="2"/>
      <c r="H108" s="2"/>
      <c r="I108" s="2"/>
      <c r="J108" s="2"/>
      <c r="K108" s="2"/>
      <c r="L108" s="2"/>
      <c r="M108" s="2"/>
    </row>
    <row r="109" spans="1:16">
      <c r="A109" s="2"/>
      <c r="B109" s="2"/>
      <c r="C109" s="2"/>
      <c r="D109" s="2"/>
      <c r="E109" s="1"/>
      <c r="F109" s="1"/>
      <c r="G109" s="2"/>
      <c r="H109" s="2"/>
      <c r="I109" s="2"/>
      <c r="J109" s="2"/>
      <c r="K109" s="2"/>
      <c r="L109" s="2"/>
      <c r="M109" s="2"/>
    </row>
    <row r="110" spans="1:16" ht="17.399999999999999">
      <c r="A110" s="447"/>
      <c r="B110" s="447"/>
      <c r="C110" s="2"/>
      <c r="D110" s="2"/>
      <c r="E110" s="1"/>
      <c r="F110" s="1"/>
      <c r="G110" s="2"/>
      <c r="H110" s="2"/>
      <c r="I110" s="2"/>
      <c r="J110" s="2"/>
      <c r="K110" s="2"/>
      <c r="L110" s="2"/>
      <c r="M110" s="2"/>
    </row>
    <row r="111" spans="1:16" ht="17.399999999999999">
      <c r="A111" s="447" t="s">
        <v>170</v>
      </c>
      <c r="B111" s="447"/>
      <c r="C111" s="2"/>
      <c r="D111" s="2"/>
      <c r="E111" s="1"/>
      <c r="F111" s="1"/>
      <c r="G111" s="2"/>
      <c r="H111" s="2"/>
      <c r="I111" s="2"/>
      <c r="J111" s="2"/>
      <c r="K111" s="2"/>
      <c r="L111" s="2"/>
      <c r="M111" s="2"/>
    </row>
    <row r="112" spans="1:16">
      <c r="A112" s="433" t="s">
        <v>438</v>
      </c>
      <c r="B112" s="434">
        <v>2010</v>
      </c>
      <c r="C112" s="435">
        <v>2011</v>
      </c>
      <c r="D112" s="435">
        <v>2012</v>
      </c>
      <c r="E112" s="435">
        <v>2013</v>
      </c>
      <c r="F112" s="435">
        <v>2014</v>
      </c>
      <c r="G112" s="435">
        <v>2015</v>
      </c>
      <c r="H112" s="435">
        <v>2016</v>
      </c>
      <c r="I112" s="435">
        <v>2017</v>
      </c>
      <c r="J112" s="435">
        <v>2018</v>
      </c>
      <c r="K112" s="435">
        <v>2019</v>
      </c>
      <c r="L112" s="435">
        <v>2020</v>
      </c>
      <c r="M112" s="435">
        <v>2021</v>
      </c>
      <c r="N112" s="435">
        <v>2022</v>
      </c>
      <c r="O112" s="435">
        <v>2023</v>
      </c>
      <c r="P112" s="435">
        <v>2024</v>
      </c>
    </row>
    <row r="113" spans="1:16">
      <c r="A113" s="436">
        <v>1</v>
      </c>
      <c r="B113" s="468">
        <v>1</v>
      </c>
      <c r="C113" s="437">
        <v>1</v>
      </c>
      <c r="D113" s="438">
        <v>1</v>
      </c>
      <c r="E113" s="437">
        <v>1</v>
      </c>
      <c r="F113" s="437">
        <v>1</v>
      </c>
      <c r="G113" s="438">
        <v>1</v>
      </c>
      <c r="H113" s="437">
        <v>1</v>
      </c>
      <c r="I113" s="437">
        <v>1</v>
      </c>
      <c r="J113" s="437">
        <v>1</v>
      </c>
      <c r="K113" s="437">
        <v>1</v>
      </c>
      <c r="L113" s="437">
        <v>1</v>
      </c>
      <c r="M113" s="437">
        <v>1</v>
      </c>
      <c r="N113" s="462">
        <v>1</v>
      </c>
      <c r="O113" s="462">
        <v>1</v>
      </c>
      <c r="P113" s="462">
        <v>1</v>
      </c>
    </row>
    <row r="114" spans="1:16">
      <c r="A114" s="439">
        <v>2</v>
      </c>
      <c r="B114" s="469">
        <v>1</v>
      </c>
      <c r="C114" s="440">
        <v>1</v>
      </c>
      <c r="D114" s="441">
        <v>1</v>
      </c>
      <c r="E114" s="440">
        <v>1</v>
      </c>
      <c r="F114" s="440">
        <v>1</v>
      </c>
      <c r="G114" s="441">
        <v>1</v>
      </c>
      <c r="H114" s="440">
        <v>1</v>
      </c>
      <c r="I114" s="440">
        <v>1</v>
      </c>
      <c r="J114" s="440">
        <v>1</v>
      </c>
      <c r="K114" s="440">
        <v>1</v>
      </c>
      <c r="L114" s="440">
        <v>1</v>
      </c>
      <c r="M114" s="440">
        <v>1</v>
      </c>
      <c r="N114" s="463">
        <v>1</v>
      </c>
      <c r="O114" s="463">
        <v>1</v>
      </c>
      <c r="P114" s="463">
        <v>1</v>
      </c>
    </row>
    <row r="115" spans="1:16">
      <c r="A115" s="439">
        <v>3</v>
      </c>
      <c r="B115" s="469">
        <v>1</v>
      </c>
      <c r="C115" s="440">
        <v>1</v>
      </c>
      <c r="D115" s="441">
        <v>1</v>
      </c>
      <c r="E115" s="440">
        <v>1</v>
      </c>
      <c r="F115" s="440">
        <v>1</v>
      </c>
      <c r="G115" s="441">
        <v>1</v>
      </c>
      <c r="H115" s="440">
        <v>1</v>
      </c>
      <c r="I115" s="440">
        <v>1</v>
      </c>
      <c r="J115" s="440">
        <v>1</v>
      </c>
      <c r="K115" s="440">
        <v>1</v>
      </c>
      <c r="L115" s="440">
        <v>1</v>
      </c>
      <c r="M115" s="440">
        <v>1</v>
      </c>
      <c r="N115" s="463">
        <v>1</v>
      </c>
      <c r="O115" s="463">
        <v>1</v>
      </c>
      <c r="P115" s="463">
        <v>1</v>
      </c>
    </row>
    <row r="116" spans="1:16">
      <c r="A116" s="439">
        <v>4</v>
      </c>
      <c r="B116" s="469">
        <v>1</v>
      </c>
      <c r="C116" s="440">
        <v>1</v>
      </c>
      <c r="D116" s="441">
        <v>1</v>
      </c>
      <c r="E116" s="440">
        <v>1</v>
      </c>
      <c r="F116" s="440">
        <v>1</v>
      </c>
      <c r="G116" s="441">
        <v>1</v>
      </c>
      <c r="H116" s="440">
        <v>1</v>
      </c>
      <c r="I116" s="440">
        <v>1</v>
      </c>
      <c r="J116" s="440">
        <v>1</v>
      </c>
      <c r="K116" s="440">
        <v>1</v>
      </c>
      <c r="L116" s="440">
        <v>1</v>
      </c>
      <c r="M116" s="440">
        <v>1</v>
      </c>
      <c r="N116" s="463">
        <v>1</v>
      </c>
      <c r="O116" s="463">
        <v>1</v>
      </c>
      <c r="P116" s="463">
        <v>0.99639999999999995</v>
      </c>
    </row>
    <row r="117" spans="1:16">
      <c r="A117" s="439">
        <v>5</v>
      </c>
      <c r="B117" s="469">
        <v>0.99900582842571795</v>
      </c>
      <c r="C117" s="440">
        <v>0.99900582842571795</v>
      </c>
      <c r="D117" s="441">
        <v>0.999</v>
      </c>
      <c r="E117" s="440">
        <v>1</v>
      </c>
      <c r="F117" s="440">
        <v>1</v>
      </c>
      <c r="G117" s="441">
        <v>1</v>
      </c>
      <c r="H117" s="440">
        <v>1</v>
      </c>
      <c r="I117" s="440">
        <v>1</v>
      </c>
      <c r="J117" s="440">
        <v>0.99853574504737297</v>
      </c>
      <c r="K117" s="440">
        <v>0.99463545965176603</v>
      </c>
      <c r="L117" s="440">
        <v>0.99</v>
      </c>
      <c r="M117" s="440">
        <v>0.99313954128945803</v>
      </c>
      <c r="N117" s="463">
        <v>0.998</v>
      </c>
      <c r="O117" s="463">
        <v>0.998</v>
      </c>
      <c r="P117" s="463">
        <v>0.96799999999999997</v>
      </c>
    </row>
    <row r="118" spans="1:16">
      <c r="A118" s="439">
        <v>6</v>
      </c>
      <c r="B118" s="469">
        <v>0.98272619189904997</v>
      </c>
      <c r="C118" s="440">
        <v>0.99</v>
      </c>
      <c r="D118" s="441">
        <v>0.98699999999999999</v>
      </c>
      <c r="E118" s="440">
        <v>0.98</v>
      </c>
      <c r="F118" s="440">
        <v>0.99</v>
      </c>
      <c r="G118" s="441">
        <v>0.99</v>
      </c>
      <c r="H118" s="440">
        <v>0.99</v>
      </c>
      <c r="I118" s="440">
        <v>0.98</v>
      </c>
      <c r="J118" s="440">
        <v>0.97987719742310597</v>
      </c>
      <c r="K118" s="440">
        <v>0.96809322165831202</v>
      </c>
      <c r="L118" s="440">
        <v>0.96</v>
      </c>
      <c r="M118" s="440">
        <v>0.95974279130376094</v>
      </c>
      <c r="N118" s="463">
        <v>0.97499999999999998</v>
      </c>
      <c r="O118" s="463">
        <v>0.97499999999999998</v>
      </c>
      <c r="P118" s="463">
        <v>0.93300000000000005</v>
      </c>
    </row>
    <row r="119" spans="1:16">
      <c r="A119" s="439">
        <v>7</v>
      </c>
      <c r="B119" s="469">
        <v>0.94738104347130903</v>
      </c>
      <c r="C119" s="440">
        <v>0.96</v>
      </c>
      <c r="D119" s="441">
        <v>0.96099999999999997</v>
      </c>
      <c r="E119" s="440">
        <v>0.95</v>
      </c>
      <c r="F119" s="440">
        <v>0.96</v>
      </c>
      <c r="G119" s="441">
        <v>0.96</v>
      </c>
      <c r="H119" s="440">
        <v>0.95</v>
      </c>
      <c r="I119" s="440">
        <v>0.95</v>
      </c>
      <c r="J119" s="440">
        <v>0.93838815047493296</v>
      </c>
      <c r="K119" s="440">
        <v>0.925916775491476</v>
      </c>
      <c r="L119" s="440">
        <v>0.93</v>
      </c>
      <c r="M119" s="440">
        <v>0.92264284203393698</v>
      </c>
      <c r="N119" s="463">
        <v>0.93400000000000005</v>
      </c>
      <c r="O119" s="463">
        <v>0.93400000000000005</v>
      </c>
      <c r="P119" s="463">
        <v>0.91239999999999999</v>
      </c>
    </row>
    <row r="120" spans="1:16">
      <c r="A120" s="439">
        <v>8</v>
      </c>
      <c r="B120" s="469">
        <v>0.91089717763311395</v>
      </c>
      <c r="C120" s="440">
        <v>0.92</v>
      </c>
      <c r="D120" s="441">
        <v>0.92500000000000004</v>
      </c>
      <c r="E120" s="440">
        <v>0.92</v>
      </c>
      <c r="F120" s="440">
        <v>0.93</v>
      </c>
      <c r="G120" s="441">
        <v>0.92</v>
      </c>
      <c r="H120" s="440">
        <v>0.92</v>
      </c>
      <c r="I120" s="440">
        <v>0.91</v>
      </c>
      <c r="J120" s="440">
        <v>0.90401040321520998</v>
      </c>
      <c r="K120" s="440">
        <v>0.88960854590419602</v>
      </c>
      <c r="L120" s="440">
        <v>0.89</v>
      </c>
      <c r="M120" s="440">
        <v>0.89165070682832703</v>
      </c>
      <c r="N120" s="463">
        <v>0.9</v>
      </c>
      <c r="O120" s="463">
        <v>0.89800000000000002</v>
      </c>
      <c r="P120" s="463">
        <v>0.89800000000000002</v>
      </c>
    </row>
    <row r="121" spans="1:16">
      <c r="A121" s="439">
        <v>9</v>
      </c>
      <c r="B121" s="469">
        <v>0.89018528820660903</v>
      </c>
      <c r="C121" s="440">
        <v>0.89</v>
      </c>
      <c r="D121" s="441">
        <v>0.89300000000000002</v>
      </c>
      <c r="E121" s="440">
        <v>0.89</v>
      </c>
      <c r="F121" s="440">
        <v>0.91</v>
      </c>
      <c r="G121" s="441">
        <v>0.88</v>
      </c>
      <c r="H121" s="440">
        <v>0.88</v>
      </c>
      <c r="I121" s="440">
        <v>0.88</v>
      </c>
      <c r="J121" s="440">
        <v>0.87372929332709803</v>
      </c>
      <c r="K121" s="440">
        <v>0.86752007510957196</v>
      </c>
      <c r="L121" s="440">
        <v>0.86</v>
      </c>
      <c r="M121" s="440">
        <v>0.86144249844349996</v>
      </c>
      <c r="N121" s="463">
        <v>0.87</v>
      </c>
      <c r="O121" s="463">
        <v>0.87</v>
      </c>
      <c r="P121" s="463">
        <v>0.8478</v>
      </c>
    </row>
    <row r="122" spans="1:16">
      <c r="A122" s="439">
        <v>10</v>
      </c>
      <c r="B122" s="469">
        <v>0.84088925868052</v>
      </c>
      <c r="C122" s="440">
        <v>0.85</v>
      </c>
      <c r="D122" s="441">
        <v>0.84899999999999998</v>
      </c>
      <c r="E122" s="440">
        <v>0.86</v>
      </c>
      <c r="F122" s="440">
        <v>0.87</v>
      </c>
      <c r="G122" s="441">
        <v>0.83</v>
      </c>
      <c r="H122" s="440">
        <v>0.86</v>
      </c>
      <c r="I122" s="440">
        <v>0.85</v>
      </c>
      <c r="J122" s="440">
        <v>0.84896446253142899</v>
      </c>
      <c r="K122" s="440">
        <v>0.82589903266300702</v>
      </c>
      <c r="L122" s="440">
        <v>0.82</v>
      </c>
      <c r="M122" s="440">
        <v>0.811854897953321</v>
      </c>
      <c r="N122" s="463">
        <v>0.81599999999999995</v>
      </c>
      <c r="O122" s="463">
        <v>0.82899999999999996</v>
      </c>
      <c r="P122" s="463">
        <v>0.78100000000000003</v>
      </c>
    </row>
    <row r="123" spans="1:16">
      <c r="A123" s="439">
        <v>11</v>
      </c>
      <c r="B123" s="469">
        <v>0.75745922362203</v>
      </c>
      <c r="C123" s="440">
        <v>0.77</v>
      </c>
      <c r="D123" s="441">
        <v>0.77500000000000002</v>
      </c>
      <c r="E123" s="440">
        <v>0.79</v>
      </c>
      <c r="F123" s="440">
        <v>0.8</v>
      </c>
      <c r="G123" s="441">
        <v>0.76</v>
      </c>
      <c r="H123" s="440">
        <v>0.82</v>
      </c>
      <c r="I123" s="440">
        <v>0.81</v>
      </c>
      <c r="J123" s="440">
        <v>0.79546149488954498</v>
      </c>
      <c r="K123" s="440">
        <v>0.77933590813655096</v>
      </c>
      <c r="L123" s="440">
        <v>0.76</v>
      </c>
      <c r="M123" s="440">
        <v>0.75665672126855699</v>
      </c>
      <c r="N123" s="463">
        <v>0.747</v>
      </c>
      <c r="O123" s="463">
        <v>0.76500000000000001</v>
      </c>
      <c r="P123" s="463">
        <v>0.73040000000000005</v>
      </c>
    </row>
    <row r="124" spans="1:16">
      <c r="A124" s="439">
        <v>12</v>
      </c>
      <c r="B124" s="469">
        <v>0.70988842741497804</v>
      </c>
      <c r="C124" s="440">
        <v>0.72</v>
      </c>
      <c r="D124" s="441">
        <v>0.72699999999999998</v>
      </c>
      <c r="E124" s="440">
        <v>0.73</v>
      </c>
      <c r="F124" s="440">
        <v>0.74</v>
      </c>
      <c r="G124" s="441">
        <v>0.7</v>
      </c>
      <c r="H124" s="440">
        <v>0.76</v>
      </c>
      <c r="I124" s="440">
        <v>0.76</v>
      </c>
      <c r="J124" s="440">
        <v>0.74648795280138602</v>
      </c>
      <c r="K124" s="440">
        <v>0.71566420876922998</v>
      </c>
      <c r="L124" s="440">
        <v>0.71</v>
      </c>
      <c r="M124" s="440">
        <v>0.69299083363691005</v>
      </c>
      <c r="N124" s="463">
        <v>0.69299999999999995</v>
      </c>
      <c r="O124" s="463">
        <v>0.70299999999999996</v>
      </c>
      <c r="P124" s="463">
        <v>0.69479999999999997</v>
      </c>
    </row>
    <row r="125" spans="1:16">
      <c r="A125" s="439">
        <v>13</v>
      </c>
      <c r="B125" s="469">
        <v>0.69015324995596306</v>
      </c>
      <c r="C125" s="440">
        <v>0.69015324995596306</v>
      </c>
      <c r="D125" s="441">
        <v>0.69699999999999995</v>
      </c>
      <c r="E125" s="440">
        <v>0.71</v>
      </c>
      <c r="F125" s="440">
        <v>0.71</v>
      </c>
      <c r="G125" s="441">
        <v>0.67</v>
      </c>
      <c r="H125" s="440">
        <v>0.71</v>
      </c>
      <c r="I125" s="440">
        <v>0.71</v>
      </c>
      <c r="J125" s="440">
        <v>0.70459063750859396</v>
      </c>
      <c r="K125" s="440">
        <v>0.67707215941909404</v>
      </c>
      <c r="L125" s="440">
        <v>0.66</v>
      </c>
      <c r="M125" s="440">
        <v>0.65745612898208905</v>
      </c>
      <c r="N125" s="463">
        <v>0.64400000000000002</v>
      </c>
      <c r="O125" s="463">
        <v>0.66100000000000003</v>
      </c>
      <c r="P125" s="463">
        <v>0.64359999999999995</v>
      </c>
    </row>
    <row r="126" spans="1:16">
      <c r="A126" s="439">
        <v>14</v>
      </c>
      <c r="B126" s="469">
        <v>0.64014049656604199</v>
      </c>
      <c r="C126" s="440">
        <v>0.65</v>
      </c>
      <c r="D126" s="441">
        <v>0.64900000000000002</v>
      </c>
      <c r="E126" s="440">
        <v>0.65</v>
      </c>
      <c r="F126" s="440">
        <v>0.65</v>
      </c>
      <c r="G126" s="441">
        <v>0.65</v>
      </c>
      <c r="H126" s="440">
        <v>0.65</v>
      </c>
      <c r="I126" s="440">
        <v>0.66</v>
      </c>
      <c r="J126" s="440">
        <v>0.649606341907778</v>
      </c>
      <c r="K126" s="440">
        <v>0.63670378049365495</v>
      </c>
      <c r="L126" s="440">
        <v>0.62</v>
      </c>
      <c r="M126" s="440">
        <v>0.61210975878731999</v>
      </c>
      <c r="N126" s="463">
        <v>0.60799999999999998</v>
      </c>
      <c r="O126" s="463">
        <v>0.60699999999999998</v>
      </c>
      <c r="P126" s="463">
        <v>0.58279999999999998</v>
      </c>
    </row>
    <row r="127" spans="1:16">
      <c r="A127" s="439">
        <v>15</v>
      </c>
      <c r="B127" s="469">
        <v>0.53234792016467303</v>
      </c>
      <c r="C127" s="440">
        <v>0.55000000000000004</v>
      </c>
      <c r="D127" s="441">
        <v>0.57099999999999995</v>
      </c>
      <c r="E127" s="440">
        <v>0.56999999999999995</v>
      </c>
      <c r="F127" s="440">
        <v>0.56999999999999995</v>
      </c>
      <c r="G127" s="441">
        <v>0.57999999999999996</v>
      </c>
      <c r="H127" s="440">
        <v>0.56999999999999995</v>
      </c>
      <c r="I127" s="440">
        <v>0.57999999999999996</v>
      </c>
      <c r="J127" s="440">
        <v>0.58054034081029404</v>
      </c>
      <c r="K127" s="440">
        <v>0.56742614844054995</v>
      </c>
      <c r="L127" s="440">
        <v>0.56999999999999995</v>
      </c>
      <c r="M127" s="440">
        <v>0.56054026734879103</v>
      </c>
      <c r="N127" s="463">
        <v>0.54900000000000004</v>
      </c>
      <c r="O127" s="463">
        <v>0.56399999999999995</v>
      </c>
      <c r="P127" s="463">
        <v>0.53620000000000001</v>
      </c>
    </row>
    <row r="128" spans="1:16">
      <c r="A128" s="439">
        <v>16</v>
      </c>
      <c r="B128" s="469">
        <v>0.51211520400709598</v>
      </c>
      <c r="C128" s="440">
        <v>0.5</v>
      </c>
      <c r="D128" s="441">
        <v>0.51400000000000001</v>
      </c>
      <c r="E128" s="440">
        <v>0.53</v>
      </c>
      <c r="F128" s="440">
        <v>0.53</v>
      </c>
      <c r="G128" s="441">
        <v>0.54</v>
      </c>
      <c r="H128" s="440">
        <v>0.52</v>
      </c>
      <c r="I128" s="440">
        <v>0.52</v>
      </c>
      <c r="J128" s="440">
        <v>0.51248058109753503</v>
      </c>
      <c r="K128" s="440">
        <v>0.50369500956355395</v>
      </c>
      <c r="L128" s="440">
        <v>0.5</v>
      </c>
      <c r="M128" s="440">
        <v>0.50619067161991504</v>
      </c>
      <c r="N128" s="463">
        <v>0.48699999999999999</v>
      </c>
      <c r="O128" s="463">
        <v>0.502</v>
      </c>
      <c r="P128" s="463">
        <v>0.50460000000000005</v>
      </c>
    </row>
    <row r="129" spans="1:16">
      <c r="A129" s="439">
        <v>17</v>
      </c>
      <c r="B129" s="469">
        <v>0.48728820429671699</v>
      </c>
      <c r="C129" s="452">
        <v>0.5</v>
      </c>
      <c r="D129" s="453">
        <v>0.48499999999999999</v>
      </c>
      <c r="E129" s="452">
        <v>0.5</v>
      </c>
      <c r="F129" s="452">
        <v>0.51</v>
      </c>
      <c r="G129" s="453">
        <v>0.53</v>
      </c>
      <c r="H129" s="440">
        <v>0.5</v>
      </c>
      <c r="I129" s="440">
        <v>0.49</v>
      </c>
      <c r="J129" s="440">
        <v>0.47599572990121602</v>
      </c>
      <c r="K129" s="440">
        <v>0.46175525884872098</v>
      </c>
      <c r="L129" s="440">
        <v>0.46</v>
      </c>
      <c r="M129" s="440">
        <v>0.45015290851516099</v>
      </c>
      <c r="N129" s="463">
        <v>0.44400000000000001</v>
      </c>
      <c r="O129" s="463">
        <v>0.44700000000000001</v>
      </c>
      <c r="P129" s="463">
        <v>0.48280000000000001</v>
      </c>
    </row>
    <row r="130" spans="1:16">
      <c r="A130" s="439">
        <v>18</v>
      </c>
      <c r="B130" s="469">
        <v>0.47011316017795501</v>
      </c>
      <c r="C130" s="452">
        <v>0.48</v>
      </c>
      <c r="D130" s="453">
        <v>0.498</v>
      </c>
      <c r="E130" s="452">
        <v>0.48</v>
      </c>
      <c r="F130" s="452">
        <v>0.5</v>
      </c>
      <c r="G130" s="453">
        <v>0.5</v>
      </c>
      <c r="H130" s="440">
        <v>0.5</v>
      </c>
      <c r="I130" s="440">
        <v>0.48</v>
      </c>
      <c r="J130" s="440">
        <v>0.46490249000547901</v>
      </c>
      <c r="K130" s="440">
        <v>0.44978875039468302</v>
      </c>
      <c r="L130" s="440">
        <v>0.44</v>
      </c>
      <c r="M130" s="440">
        <v>0.42</v>
      </c>
      <c r="N130" s="463">
        <v>0.41099999999999998</v>
      </c>
      <c r="O130" s="463">
        <v>0.41699999999999998</v>
      </c>
      <c r="P130" s="463">
        <v>0.46639999999999998</v>
      </c>
    </row>
    <row r="131" spans="1:16">
      <c r="A131" s="439">
        <v>19</v>
      </c>
      <c r="B131" s="469">
        <v>0.45118114024536898</v>
      </c>
      <c r="C131" s="452">
        <v>0.47</v>
      </c>
      <c r="D131" s="453">
        <v>0.48199999999999998</v>
      </c>
      <c r="E131" s="452">
        <v>0.5</v>
      </c>
      <c r="F131" s="452">
        <v>0.48</v>
      </c>
      <c r="G131" s="453">
        <v>0.51</v>
      </c>
      <c r="H131" s="440">
        <v>0.5</v>
      </c>
      <c r="I131" s="440">
        <v>0.49</v>
      </c>
      <c r="J131" s="440">
        <v>0.46691770629430301</v>
      </c>
      <c r="K131" s="440">
        <v>0.45084420723664198</v>
      </c>
      <c r="L131" s="440">
        <v>0.44</v>
      </c>
      <c r="M131" s="440">
        <v>0.424855459920014</v>
      </c>
      <c r="N131" s="463">
        <v>0.40300000000000002</v>
      </c>
      <c r="O131" s="463">
        <v>0.39500000000000002</v>
      </c>
      <c r="P131" s="463">
        <v>0.45279999999999998</v>
      </c>
    </row>
    <row r="132" spans="1:16">
      <c r="A132" s="443">
        <v>20</v>
      </c>
      <c r="B132" s="470">
        <v>0.44053579621391997</v>
      </c>
      <c r="C132" s="454">
        <v>0.45</v>
      </c>
      <c r="D132" s="455">
        <v>0.46700000000000003</v>
      </c>
      <c r="E132" s="454">
        <v>0.48</v>
      </c>
      <c r="F132" s="454">
        <v>0.47</v>
      </c>
      <c r="G132" s="455">
        <v>0.47</v>
      </c>
      <c r="H132" s="444">
        <v>0.49</v>
      </c>
      <c r="I132" s="472">
        <v>0.49</v>
      </c>
      <c r="J132" s="472">
        <v>0.48671191243344503</v>
      </c>
      <c r="K132" s="472">
        <v>0.46007456516985201</v>
      </c>
      <c r="L132" s="472">
        <v>0.44</v>
      </c>
      <c r="M132" s="472">
        <v>0.43</v>
      </c>
      <c r="N132" s="461">
        <v>0.40899999999999997</v>
      </c>
      <c r="O132" s="461">
        <v>0.39500000000000002</v>
      </c>
      <c r="P132" s="461">
        <v>0.4446</v>
      </c>
    </row>
    <row r="135" spans="1:16" ht="18">
      <c r="A135" s="471" t="s">
        <v>439</v>
      </c>
    </row>
    <row r="136" spans="1:16">
      <c r="A136" s="395" t="s">
        <v>440</v>
      </c>
      <c r="H136" s="424"/>
      <c r="I136" s="424"/>
    </row>
  </sheetData>
  <phoneticPr fontId="93" type="noConversion"/>
  <hyperlinks>
    <hyperlink ref="O1" location="Content!A1" display="content" xr:uid="{00000000-0004-0000-1300-000000000000}"/>
  </hyperlinks>
  <pageMargins left="0.75" right="0.75" top="1" bottom="1" header="0.51180555555555596" footer="0.51180555555555596"/>
  <pageSetup paperSize="9"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AN96"/>
  <sheetViews>
    <sheetView zoomScale="85" zoomScaleNormal="85" workbookViewId="0">
      <pane xSplit="2" ySplit="6" topLeftCell="C7" activePane="bottomRight" state="frozenSplit"/>
      <selection pane="topRight"/>
      <selection pane="bottomLeft"/>
      <selection pane="bottomRight" activeCell="AE102" sqref="AE102"/>
    </sheetView>
  </sheetViews>
  <sheetFormatPr defaultColWidth="8.77734375" defaultRowHeight="13.8"/>
  <cols>
    <col min="1" max="1" width="28.33203125" style="2" customWidth="1"/>
    <col min="2" max="2" width="12" style="2" customWidth="1"/>
    <col min="3" max="16" width="10.77734375" style="2" customWidth="1"/>
    <col min="17" max="18" width="10.77734375" style="1" customWidth="1"/>
    <col min="19" max="19" width="19.21875" style="1" customWidth="1"/>
    <col min="20" max="21" width="10.77734375" style="1" customWidth="1"/>
    <col min="22" max="26" width="10.33203125" style="2" customWidth="1"/>
    <col min="27" max="27" width="10.21875" style="2" customWidth="1"/>
    <col min="28" max="32" width="9.77734375" style="2" customWidth="1"/>
    <col min="33" max="33" width="10" style="2" customWidth="1"/>
    <col min="34" max="34" width="9.109375" style="2" customWidth="1"/>
    <col min="35" max="16384" width="8.77734375" style="2"/>
  </cols>
  <sheetData>
    <row r="1" spans="1:40" ht="18">
      <c r="A1" s="3" t="s">
        <v>47</v>
      </c>
      <c r="AG1" s="57" t="s">
        <v>48</v>
      </c>
    </row>
    <row r="2" spans="1:40">
      <c r="A2" s="2" t="s">
        <v>417</v>
      </c>
    </row>
    <row r="3" spans="1:40">
      <c r="A3" s="4" t="s">
        <v>441</v>
      </c>
      <c r="H3" s="175"/>
    </row>
    <row r="4" spans="1:40">
      <c r="A4" s="4" t="s">
        <v>442</v>
      </c>
      <c r="H4" s="175"/>
    </row>
    <row r="6" spans="1:40" s="172" customFormat="1" ht="13.2">
      <c r="A6" s="176" t="s">
        <v>443</v>
      </c>
      <c r="B6" s="176" t="s">
        <v>94</v>
      </c>
      <c r="C6" s="177">
        <v>1996</v>
      </c>
      <c r="D6" s="178">
        <v>1997</v>
      </c>
      <c r="E6" s="178">
        <v>1998</v>
      </c>
      <c r="F6" s="178">
        <v>1999</v>
      </c>
      <c r="G6" s="178">
        <v>2000</v>
      </c>
      <c r="H6" s="178">
        <v>2001</v>
      </c>
      <c r="I6" s="178">
        <v>2002</v>
      </c>
      <c r="J6" s="178">
        <v>2003</v>
      </c>
      <c r="K6" s="204">
        <v>2004</v>
      </c>
      <c r="L6" s="205">
        <v>2005</v>
      </c>
      <c r="M6" s="205">
        <v>2006</v>
      </c>
      <c r="N6" s="206">
        <v>2007</v>
      </c>
      <c r="O6" s="178">
        <v>2008</v>
      </c>
      <c r="P6" s="178">
        <v>2009</v>
      </c>
      <c r="Q6" s="205">
        <v>2010</v>
      </c>
      <c r="R6" s="256">
        <v>2011</v>
      </c>
      <c r="S6" s="176" t="s">
        <v>443</v>
      </c>
      <c r="T6" s="177" t="s">
        <v>94</v>
      </c>
      <c r="U6" s="257">
        <v>2011</v>
      </c>
      <c r="V6" s="204">
        <v>2012</v>
      </c>
      <c r="W6" s="258">
        <v>2013</v>
      </c>
      <c r="X6" s="258">
        <v>2014</v>
      </c>
      <c r="Y6" s="258">
        <v>2015</v>
      </c>
      <c r="Z6" s="338">
        <v>2016</v>
      </c>
      <c r="AA6" s="338">
        <v>2017</v>
      </c>
      <c r="AB6" s="338">
        <v>2018</v>
      </c>
      <c r="AC6" s="338">
        <v>2019</v>
      </c>
      <c r="AD6" s="338">
        <v>2020</v>
      </c>
      <c r="AE6" s="338">
        <v>2021</v>
      </c>
      <c r="AF6" s="176">
        <v>2022</v>
      </c>
      <c r="AG6" s="176">
        <v>2023</v>
      </c>
      <c r="AH6" s="176">
        <v>2024</v>
      </c>
      <c r="AI6" s="39"/>
      <c r="AJ6" s="39"/>
      <c r="AK6" s="39"/>
      <c r="AL6" s="39"/>
      <c r="AM6" s="39"/>
      <c r="AN6" s="39"/>
    </row>
    <row r="7" spans="1:40" s="39" customFormat="1" ht="15.6">
      <c r="A7" s="179" t="s">
        <v>444</v>
      </c>
      <c r="B7" s="180" t="s">
        <v>186</v>
      </c>
      <c r="C7" s="181">
        <v>91</v>
      </c>
      <c r="D7" s="182">
        <v>91</v>
      </c>
      <c r="E7" s="182">
        <v>91</v>
      </c>
      <c r="F7" s="182">
        <v>91</v>
      </c>
      <c r="G7" s="182">
        <v>91</v>
      </c>
      <c r="H7" s="182">
        <v>90</v>
      </c>
      <c r="I7" s="182">
        <v>89</v>
      </c>
      <c r="J7" s="182">
        <v>87</v>
      </c>
      <c r="K7" s="207">
        <v>88</v>
      </c>
      <c r="L7" s="208">
        <v>94.6</v>
      </c>
      <c r="M7" s="208">
        <v>94.2</v>
      </c>
      <c r="N7" s="209">
        <v>94.471802035169006</v>
      </c>
      <c r="O7" s="210">
        <v>93.5</v>
      </c>
      <c r="P7" s="210">
        <v>92.1</v>
      </c>
      <c r="Q7" s="208">
        <v>92.6</v>
      </c>
      <c r="R7" s="259">
        <v>92.9</v>
      </c>
      <c r="S7" s="179" t="s">
        <v>445</v>
      </c>
      <c r="T7" s="260" t="s">
        <v>186</v>
      </c>
      <c r="U7" s="261">
        <v>92.9</v>
      </c>
      <c r="V7" s="262">
        <v>92.8</v>
      </c>
      <c r="W7" s="263">
        <v>92.8</v>
      </c>
      <c r="X7" s="263">
        <v>93.3</v>
      </c>
      <c r="Y7" s="263">
        <v>93.8</v>
      </c>
      <c r="Z7" s="339">
        <v>94.9</v>
      </c>
      <c r="AA7" s="339">
        <v>94.913974136978197</v>
      </c>
      <c r="AB7" s="180">
        <v>94.7</v>
      </c>
      <c r="AC7" s="180">
        <v>94.5</v>
      </c>
      <c r="AD7" s="180">
        <v>94.3</v>
      </c>
      <c r="AE7" s="180">
        <v>95.1</v>
      </c>
      <c r="AF7" s="179">
        <v>95.2</v>
      </c>
      <c r="AG7" s="376">
        <v>88.224611668116694</v>
      </c>
      <c r="AH7" s="376">
        <v>88.5</v>
      </c>
    </row>
    <row r="8" spans="1:40" s="39" customFormat="1" ht="13.2">
      <c r="A8" s="179"/>
      <c r="B8" s="183" t="s">
        <v>129</v>
      </c>
      <c r="C8" s="184">
        <v>45</v>
      </c>
      <c r="D8" s="185">
        <v>47</v>
      </c>
      <c r="E8" s="185">
        <v>48</v>
      </c>
      <c r="F8" s="185">
        <v>48</v>
      </c>
      <c r="G8" s="185">
        <v>53.3</v>
      </c>
      <c r="H8" s="185">
        <v>54.1</v>
      </c>
      <c r="I8" s="185">
        <v>54</v>
      </c>
      <c r="J8" s="185">
        <v>53.8</v>
      </c>
      <c r="K8" s="211">
        <v>55.4</v>
      </c>
      <c r="L8" s="212">
        <v>66.599999999999994</v>
      </c>
      <c r="M8" s="212">
        <v>67.400000000000006</v>
      </c>
      <c r="N8" s="213">
        <v>66.2</v>
      </c>
      <c r="O8" s="214">
        <v>65.599999999999994</v>
      </c>
      <c r="P8" s="214">
        <v>63.2</v>
      </c>
      <c r="Q8" s="212">
        <v>63.7</v>
      </c>
      <c r="R8" s="264">
        <v>65.8</v>
      </c>
      <c r="S8" s="179"/>
      <c r="T8" s="265" t="s">
        <v>129</v>
      </c>
      <c r="U8" s="266">
        <v>65.8</v>
      </c>
      <c r="V8" s="267">
        <v>67.099999999999994</v>
      </c>
      <c r="W8" s="268">
        <v>67.8</v>
      </c>
      <c r="X8" s="268">
        <v>67.900000000000006</v>
      </c>
      <c r="Y8" s="268">
        <v>69.400000000000006</v>
      </c>
      <c r="Z8" s="340">
        <v>71.2</v>
      </c>
      <c r="AA8" s="340">
        <v>71.8</v>
      </c>
      <c r="AB8" s="183">
        <v>71.8</v>
      </c>
      <c r="AC8" s="183">
        <v>72.7</v>
      </c>
      <c r="AD8" s="183">
        <v>73.099999999999994</v>
      </c>
      <c r="AE8" s="183">
        <v>73.3</v>
      </c>
      <c r="AF8" s="179">
        <v>74.7</v>
      </c>
      <c r="AG8" s="377">
        <v>74.8</v>
      </c>
      <c r="AH8" s="377">
        <v>75.8</v>
      </c>
    </row>
    <row r="9" spans="1:40" s="173" customFormat="1" ht="13.2">
      <c r="A9" s="179"/>
      <c r="B9" s="183" t="s">
        <v>146</v>
      </c>
      <c r="C9" s="184"/>
      <c r="D9" s="185"/>
      <c r="E9" s="185"/>
      <c r="F9" s="185"/>
      <c r="G9" s="185"/>
      <c r="H9" s="185"/>
      <c r="I9" s="185"/>
      <c r="J9" s="185"/>
      <c r="K9" s="211"/>
      <c r="L9" s="212"/>
      <c r="M9" s="212"/>
      <c r="N9" s="213">
        <v>83.9</v>
      </c>
      <c r="O9" s="214">
        <v>83.4</v>
      </c>
      <c r="P9" s="214">
        <v>79.400000000000006</v>
      </c>
      <c r="Q9" s="212">
        <v>79.2</v>
      </c>
      <c r="R9" s="264">
        <v>72.400000000000006</v>
      </c>
      <c r="S9" s="179"/>
      <c r="T9" s="265" t="s">
        <v>146</v>
      </c>
      <c r="U9" s="266">
        <v>72.400000000000006</v>
      </c>
      <c r="V9" s="267">
        <v>84.2</v>
      </c>
      <c r="W9" s="268">
        <v>80.599999999999994</v>
      </c>
      <c r="X9" s="268">
        <v>80.8</v>
      </c>
      <c r="Y9" s="268">
        <v>82.5</v>
      </c>
      <c r="Z9" s="340">
        <v>85.1</v>
      </c>
      <c r="AA9" s="340">
        <v>85.4</v>
      </c>
      <c r="AB9" s="183">
        <v>84.4</v>
      </c>
      <c r="AC9" s="183">
        <v>81.7</v>
      </c>
      <c r="AD9" s="183">
        <v>84.5</v>
      </c>
      <c r="AE9" s="183">
        <v>85.2</v>
      </c>
      <c r="AF9" s="179">
        <v>85.5</v>
      </c>
      <c r="AG9" s="377">
        <v>86.4</v>
      </c>
      <c r="AH9" s="377">
        <v>85.8</v>
      </c>
    </row>
    <row r="10" spans="1:40" s="173" customFormat="1" ht="19.95" customHeight="1">
      <c r="A10" s="179"/>
      <c r="B10" s="186" t="s">
        <v>156</v>
      </c>
      <c r="C10" s="187"/>
      <c r="D10" s="188"/>
      <c r="E10" s="188"/>
      <c r="F10" s="188"/>
      <c r="G10" s="188"/>
      <c r="H10" s="188"/>
      <c r="I10" s="188"/>
      <c r="J10" s="188"/>
      <c r="K10" s="215"/>
      <c r="L10" s="216"/>
      <c r="M10" s="216"/>
      <c r="N10" s="217"/>
      <c r="O10" s="218"/>
      <c r="P10" s="218"/>
      <c r="Q10" s="269">
        <v>284967</v>
      </c>
      <c r="R10" s="270">
        <v>327188</v>
      </c>
      <c r="S10" s="179"/>
      <c r="T10" s="271" t="s">
        <v>156</v>
      </c>
      <c r="U10" s="272">
        <v>327188</v>
      </c>
      <c r="V10" s="273">
        <v>445608</v>
      </c>
      <c r="W10" s="274">
        <v>569081</v>
      </c>
      <c r="X10" s="274">
        <v>682158</v>
      </c>
      <c r="Y10" s="274">
        <v>809661</v>
      </c>
      <c r="Z10" s="341"/>
      <c r="AA10" s="342">
        <v>75.8</v>
      </c>
      <c r="AB10" s="183">
        <v>83.8</v>
      </c>
      <c r="AC10" s="183">
        <v>89.5</v>
      </c>
      <c r="AD10" s="183">
        <v>89.1</v>
      </c>
      <c r="AE10" s="183"/>
      <c r="AF10" s="179"/>
      <c r="AG10" s="377"/>
      <c r="AH10" s="377"/>
    </row>
    <row r="11" spans="1:40" s="39" customFormat="1" ht="17.25" customHeight="1">
      <c r="A11" s="189"/>
      <c r="B11" s="190" t="s">
        <v>170</v>
      </c>
      <c r="C11" s="191">
        <v>100</v>
      </c>
      <c r="D11" s="192">
        <v>100</v>
      </c>
      <c r="E11" s="192">
        <v>100</v>
      </c>
      <c r="F11" s="192">
        <v>100</v>
      </c>
      <c r="G11" s="192">
        <v>100</v>
      </c>
      <c r="H11" s="192">
        <v>100</v>
      </c>
      <c r="I11" s="192">
        <v>100</v>
      </c>
      <c r="J11" s="192">
        <v>100</v>
      </c>
      <c r="K11" s="219">
        <v>100</v>
      </c>
      <c r="L11" s="220">
        <v>100</v>
      </c>
      <c r="M11" s="220">
        <v>100</v>
      </c>
      <c r="N11" s="221">
        <v>100</v>
      </c>
      <c r="O11" s="222">
        <v>100</v>
      </c>
      <c r="P11" s="222">
        <v>100</v>
      </c>
      <c r="Q11" s="220">
        <v>100</v>
      </c>
      <c r="R11" s="275">
        <v>100</v>
      </c>
      <c r="S11" s="189"/>
      <c r="T11" s="276" t="s">
        <v>170</v>
      </c>
      <c r="U11" s="277">
        <v>100</v>
      </c>
      <c r="V11" s="278">
        <v>100</v>
      </c>
      <c r="W11" s="279">
        <v>100</v>
      </c>
      <c r="X11" s="279">
        <v>100</v>
      </c>
      <c r="Y11" s="279">
        <v>100</v>
      </c>
      <c r="Z11" s="343">
        <v>100</v>
      </c>
      <c r="AA11" s="343">
        <v>100</v>
      </c>
      <c r="AB11" s="190">
        <v>100</v>
      </c>
      <c r="AC11" s="190">
        <v>100</v>
      </c>
      <c r="AD11" s="190">
        <v>100</v>
      </c>
      <c r="AE11" s="190">
        <v>100</v>
      </c>
      <c r="AF11" s="189">
        <v>100</v>
      </c>
      <c r="AG11" s="378">
        <v>100</v>
      </c>
      <c r="AH11" s="378">
        <v>100</v>
      </c>
    </row>
    <row r="12" spans="1:40" s="39" customFormat="1" ht="15.75" customHeight="1">
      <c r="A12" s="179" t="s">
        <v>446</v>
      </c>
      <c r="B12" s="179" t="s">
        <v>186</v>
      </c>
      <c r="C12" s="193">
        <v>67</v>
      </c>
      <c r="D12" s="194">
        <v>68</v>
      </c>
      <c r="E12" s="195">
        <v>67</v>
      </c>
      <c r="F12" s="195">
        <v>64</v>
      </c>
      <c r="G12" s="195">
        <v>57</v>
      </c>
      <c r="H12" s="195">
        <v>60</v>
      </c>
      <c r="I12" s="194">
        <v>58</v>
      </c>
      <c r="J12" s="194">
        <v>59</v>
      </c>
      <c r="K12" s="223">
        <v>55</v>
      </c>
      <c r="L12" s="224">
        <v>53.3</v>
      </c>
      <c r="M12" s="224">
        <v>55.9</v>
      </c>
      <c r="N12" s="225">
        <v>50.4</v>
      </c>
      <c r="O12" s="226">
        <v>49.5</v>
      </c>
      <c r="P12" s="226">
        <v>42.1</v>
      </c>
      <c r="Q12" s="224">
        <v>42.5</v>
      </c>
      <c r="R12" s="280">
        <v>47.4</v>
      </c>
      <c r="S12" s="179" t="s">
        <v>447</v>
      </c>
      <c r="T12" s="281" t="s">
        <v>186</v>
      </c>
      <c r="U12" s="282">
        <v>47.4</v>
      </c>
      <c r="V12" s="283">
        <v>49.8</v>
      </c>
      <c r="W12" s="284">
        <v>49</v>
      </c>
      <c r="X12" s="284">
        <v>47.6</v>
      </c>
      <c r="Y12" s="284">
        <v>48</v>
      </c>
      <c r="Z12" s="344">
        <v>54.8</v>
      </c>
      <c r="AA12" s="344">
        <v>57.084713881877299</v>
      </c>
      <c r="AB12" s="345">
        <v>62.2</v>
      </c>
      <c r="AC12" s="345">
        <v>63.9</v>
      </c>
      <c r="AD12" s="345">
        <v>64.5</v>
      </c>
      <c r="AE12" s="346">
        <v>62.7300507380074</v>
      </c>
      <c r="AF12" s="347">
        <v>59.9</v>
      </c>
      <c r="AG12" s="376">
        <v>64.323091207595198</v>
      </c>
      <c r="AH12" s="376">
        <v>63</v>
      </c>
    </row>
    <row r="13" spans="1:40" s="39" customFormat="1" ht="13.2">
      <c r="A13" s="179"/>
      <c r="B13" s="183" t="s">
        <v>129</v>
      </c>
      <c r="C13" s="196" t="s">
        <v>266</v>
      </c>
      <c r="D13" s="197">
        <v>66</v>
      </c>
      <c r="E13" s="197">
        <v>65</v>
      </c>
      <c r="F13" s="197">
        <v>64</v>
      </c>
      <c r="G13" s="197">
        <v>60</v>
      </c>
      <c r="H13" s="197">
        <v>56</v>
      </c>
      <c r="I13" s="185">
        <v>52</v>
      </c>
      <c r="J13" s="185">
        <v>51</v>
      </c>
      <c r="K13" s="211">
        <v>49.5</v>
      </c>
      <c r="L13" s="212">
        <v>49.1</v>
      </c>
      <c r="M13" s="212">
        <v>48.5</v>
      </c>
      <c r="N13" s="213">
        <v>48.9</v>
      </c>
      <c r="O13" s="214">
        <v>50.2</v>
      </c>
      <c r="P13" s="214">
        <v>50.2</v>
      </c>
      <c r="Q13" s="212">
        <v>54.9</v>
      </c>
      <c r="R13" s="264">
        <v>60.5</v>
      </c>
      <c r="S13" s="179"/>
      <c r="T13" s="265" t="s">
        <v>129</v>
      </c>
      <c r="U13" s="266">
        <v>60.5</v>
      </c>
      <c r="V13" s="267">
        <v>66.8</v>
      </c>
      <c r="W13" s="268">
        <v>69.8</v>
      </c>
      <c r="X13" s="268">
        <v>69.3</v>
      </c>
      <c r="Y13" s="268">
        <v>69.400000000000006</v>
      </c>
      <c r="Z13" s="340">
        <v>75.8</v>
      </c>
      <c r="AA13" s="340">
        <v>74.599999999999994</v>
      </c>
      <c r="AB13" s="183">
        <v>75.3</v>
      </c>
      <c r="AC13" s="183">
        <v>74.900000000000006</v>
      </c>
      <c r="AD13" s="183">
        <v>74.400000000000006</v>
      </c>
      <c r="AE13" s="348">
        <v>74.8</v>
      </c>
      <c r="AF13" s="347">
        <v>75.900000000000006</v>
      </c>
      <c r="AG13" s="377">
        <v>75.900000000000006</v>
      </c>
      <c r="AH13" s="377">
        <v>76.3</v>
      </c>
    </row>
    <row r="14" spans="1:40" s="173" customFormat="1" ht="13.2">
      <c r="A14" s="179"/>
      <c r="B14" s="183" t="s">
        <v>146</v>
      </c>
      <c r="C14" s="184"/>
      <c r="D14" s="185"/>
      <c r="E14" s="185"/>
      <c r="F14" s="185"/>
      <c r="G14" s="185"/>
      <c r="H14" s="185"/>
      <c r="I14" s="185"/>
      <c r="J14" s="185"/>
      <c r="K14" s="211"/>
      <c r="L14" s="212"/>
      <c r="M14" s="212"/>
      <c r="N14" s="213">
        <v>73.599999999999994</v>
      </c>
      <c r="O14" s="214">
        <v>67.599999999999994</v>
      </c>
      <c r="P14" s="214">
        <v>60.4</v>
      </c>
      <c r="Q14" s="212">
        <v>62.7</v>
      </c>
      <c r="R14" s="264">
        <v>64.5</v>
      </c>
      <c r="S14" s="179"/>
      <c r="T14" s="265" t="s">
        <v>146</v>
      </c>
      <c r="U14" s="266">
        <v>64.5</v>
      </c>
      <c r="V14" s="267">
        <v>65.599999999999994</v>
      </c>
      <c r="W14" s="268">
        <v>68.8</v>
      </c>
      <c r="X14" s="268">
        <v>68.599999999999994</v>
      </c>
      <c r="Y14" s="268">
        <v>63</v>
      </c>
      <c r="Z14" s="340">
        <v>60</v>
      </c>
      <c r="AA14" s="340">
        <v>63.1</v>
      </c>
      <c r="AB14" s="183">
        <v>65.2</v>
      </c>
      <c r="AC14" s="183">
        <v>68.8</v>
      </c>
      <c r="AD14" s="183">
        <v>72.2</v>
      </c>
      <c r="AE14" s="348">
        <v>74</v>
      </c>
      <c r="AF14" s="347">
        <v>74.3</v>
      </c>
      <c r="AG14" s="377">
        <v>72.900000000000006</v>
      </c>
      <c r="AH14" s="377">
        <v>74.599999999999994</v>
      </c>
    </row>
    <row r="15" spans="1:40" s="173" customFormat="1" ht="13.2">
      <c r="A15" s="179"/>
      <c r="B15" s="179" t="s">
        <v>156</v>
      </c>
      <c r="C15" s="198"/>
      <c r="D15" s="185"/>
      <c r="E15" s="185"/>
      <c r="F15" s="185"/>
      <c r="G15" s="185"/>
      <c r="H15" s="185"/>
      <c r="I15" s="185"/>
      <c r="J15" s="185"/>
      <c r="K15" s="211"/>
      <c r="L15" s="212"/>
      <c r="M15" s="212"/>
      <c r="N15" s="213"/>
      <c r="O15" s="214"/>
      <c r="P15" s="214"/>
      <c r="Q15" s="285">
        <v>135110</v>
      </c>
      <c r="R15" s="286">
        <v>172113</v>
      </c>
      <c r="S15" s="179"/>
      <c r="T15" s="281" t="s">
        <v>156</v>
      </c>
      <c r="U15" s="266">
        <v>172113</v>
      </c>
      <c r="V15" s="287">
        <v>217105</v>
      </c>
      <c r="W15" s="288">
        <v>207688</v>
      </c>
      <c r="X15" s="288">
        <v>233228</v>
      </c>
      <c r="Y15" s="288">
        <v>359316</v>
      </c>
      <c r="Z15" s="349"/>
      <c r="AA15" s="350">
        <v>56.4</v>
      </c>
      <c r="AB15" s="183">
        <v>53.5</v>
      </c>
      <c r="AC15" s="183">
        <v>44.3</v>
      </c>
      <c r="AD15" s="183">
        <v>48.9</v>
      </c>
      <c r="AE15" s="348"/>
      <c r="AF15" s="347">
        <v>51.1</v>
      </c>
      <c r="AG15" s="377">
        <v>51.9</v>
      </c>
      <c r="AH15" s="377">
        <v>56.1</v>
      </c>
    </row>
    <row r="16" spans="1:40" s="39" customFormat="1" ht="13.2">
      <c r="A16" s="189"/>
      <c r="B16" s="189" t="s">
        <v>170</v>
      </c>
      <c r="C16" s="199">
        <v>67</v>
      </c>
      <c r="D16" s="200">
        <v>69</v>
      </c>
      <c r="E16" s="200">
        <v>70</v>
      </c>
      <c r="F16" s="200">
        <v>70</v>
      </c>
      <c r="G16" s="200">
        <v>71</v>
      </c>
      <c r="H16" s="200">
        <v>70</v>
      </c>
      <c r="I16" s="227">
        <v>65</v>
      </c>
      <c r="J16" s="227">
        <v>64</v>
      </c>
      <c r="K16" s="228">
        <v>64.5</v>
      </c>
      <c r="L16" s="229">
        <v>58.9</v>
      </c>
      <c r="M16" s="229">
        <v>53.1</v>
      </c>
      <c r="N16" s="230">
        <v>48.7</v>
      </c>
      <c r="O16" s="231">
        <v>44</v>
      </c>
      <c r="P16" s="231">
        <v>42</v>
      </c>
      <c r="Q16" s="229">
        <v>61.2</v>
      </c>
      <c r="R16" s="289">
        <v>63.3</v>
      </c>
      <c r="S16" s="189"/>
      <c r="T16" s="290" t="s">
        <v>170</v>
      </c>
      <c r="U16" s="291">
        <v>63.3</v>
      </c>
      <c r="V16" s="292">
        <v>68.900000000000006</v>
      </c>
      <c r="W16" s="293">
        <v>70.7</v>
      </c>
      <c r="X16" s="293">
        <v>70.900000000000006</v>
      </c>
      <c r="Y16" s="293">
        <v>70.599999999999994</v>
      </c>
      <c r="Z16" s="351">
        <v>70.3</v>
      </c>
      <c r="AA16" s="351">
        <v>71.900000000000006</v>
      </c>
      <c r="AB16" s="190">
        <v>74.5</v>
      </c>
      <c r="AC16" s="190">
        <v>77.3</v>
      </c>
      <c r="AD16" s="190">
        <v>77.8</v>
      </c>
      <c r="AE16" s="352">
        <v>79.2</v>
      </c>
      <c r="AF16" s="353">
        <v>69.099999999999994</v>
      </c>
      <c r="AG16" s="378">
        <v>81.8</v>
      </c>
      <c r="AH16" s="378">
        <v>80.900000000000006</v>
      </c>
    </row>
    <row r="17" spans="1:34" s="39" customFormat="1" ht="13.2">
      <c r="A17" s="179" t="s">
        <v>448</v>
      </c>
      <c r="B17" s="179" t="s">
        <v>186</v>
      </c>
      <c r="C17" s="193">
        <v>6.2</v>
      </c>
      <c r="D17" s="194">
        <v>6.3</v>
      </c>
      <c r="E17" s="195">
        <v>6.3</v>
      </c>
      <c r="F17" s="195">
        <v>6.1</v>
      </c>
      <c r="G17" s="195">
        <v>5.7</v>
      </c>
      <c r="H17" s="201">
        <v>5.7</v>
      </c>
      <c r="I17" s="232">
        <v>5.4</v>
      </c>
      <c r="J17" s="232">
        <v>5.2</v>
      </c>
      <c r="K17" s="233">
        <v>5.3</v>
      </c>
      <c r="L17" s="224">
        <v>5.5</v>
      </c>
      <c r="M17" s="224">
        <v>5.4</v>
      </c>
      <c r="N17" s="225">
        <v>5.22</v>
      </c>
      <c r="O17" s="226">
        <v>5.2</v>
      </c>
      <c r="P17" s="226">
        <v>4.7</v>
      </c>
      <c r="Q17" s="224">
        <v>5.2</v>
      </c>
      <c r="R17" s="280">
        <v>5</v>
      </c>
      <c r="S17" s="179" t="s">
        <v>448</v>
      </c>
      <c r="T17" s="281" t="s">
        <v>186</v>
      </c>
      <c r="U17" s="282">
        <v>5</v>
      </c>
      <c r="V17" s="283">
        <v>4.7</v>
      </c>
      <c r="W17" s="284">
        <v>4.5</v>
      </c>
      <c r="X17" s="284">
        <v>4.7</v>
      </c>
      <c r="Y17" s="284">
        <v>4.4000000000000004</v>
      </c>
      <c r="Z17" s="344">
        <v>4</v>
      </c>
      <c r="AA17" s="344">
        <v>3.6576804268463898</v>
      </c>
      <c r="AB17" s="354">
        <v>3.2</v>
      </c>
      <c r="AC17" s="354">
        <v>2.7</v>
      </c>
      <c r="AD17" s="354">
        <v>2.4</v>
      </c>
      <c r="AE17" s="346">
        <v>2.47206152273414</v>
      </c>
      <c r="AF17" s="347">
        <v>2.4</v>
      </c>
      <c r="AG17" s="376">
        <v>2.3705697390044098</v>
      </c>
      <c r="AH17" s="376">
        <v>2.1</v>
      </c>
    </row>
    <row r="18" spans="1:34" s="39" customFormat="1" ht="15" customHeight="1">
      <c r="A18" s="179"/>
      <c r="B18" s="183" t="s">
        <v>129</v>
      </c>
      <c r="C18" s="196" t="s">
        <v>266</v>
      </c>
      <c r="D18" s="197">
        <v>4.3</v>
      </c>
      <c r="E18" s="197">
        <v>4.7</v>
      </c>
      <c r="F18" s="197">
        <v>4.7</v>
      </c>
      <c r="G18" s="197">
        <v>3.9</v>
      </c>
      <c r="H18" s="202">
        <v>3.3</v>
      </c>
      <c r="I18" s="234">
        <v>3.3</v>
      </c>
      <c r="J18" s="234">
        <v>3.5</v>
      </c>
      <c r="K18" s="235" t="s">
        <v>245</v>
      </c>
      <c r="L18" s="212" t="s">
        <v>245</v>
      </c>
      <c r="M18" s="212" t="s">
        <v>245</v>
      </c>
      <c r="N18" s="213" t="s">
        <v>245</v>
      </c>
      <c r="O18" s="214" t="s">
        <v>245</v>
      </c>
      <c r="P18" s="214" t="s">
        <v>245</v>
      </c>
      <c r="Q18" s="212" t="s">
        <v>245</v>
      </c>
      <c r="R18" s="264" t="s">
        <v>245</v>
      </c>
      <c r="S18" s="179"/>
      <c r="T18" s="265" t="s">
        <v>129</v>
      </c>
      <c r="U18" s="266" t="s">
        <v>245</v>
      </c>
      <c r="V18" s="267" t="s">
        <v>245</v>
      </c>
      <c r="W18" s="268" t="s">
        <v>245</v>
      </c>
      <c r="X18" s="268" t="s">
        <v>245</v>
      </c>
      <c r="Y18" s="268">
        <v>0.2</v>
      </c>
      <c r="Z18" s="340">
        <v>0.64</v>
      </c>
      <c r="AA18" s="340">
        <v>0.6</v>
      </c>
      <c r="AB18" s="355">
        <v>0.6</v>
      </c>
      <c r="AC18" s="355">
        <v>0.6</v>
      </c>
      <c r="AD18" s="355">
        <v>0.6</v>
      </c>
      <c r="AE18" s="346">
        <v>0.7</v>
      </c>
      <c r="AF18" s="347">
        <v>0.7</v>
      </c>
      <c r="AG18" s="377">
        <v>0.73</v>
      </c>
      <c r="AH18" s="377">
        <v>0.7</v>
      </c>
    </row>
    <row r="19" spans="1:34" s="173" customFormat="1" ht="13.2">
      <c r="A19" s="179"/>
      <c r="B19" s="183" t="s">
        <v>146</v>
      </c>
      <c r="C19" s="184"/>
      <c r="D19" s="185" t="s">
        <v>245</v>
      </c>
      <c r="E19" s="185"/>
      <c r="F19" s="185"/>
      <c r="G19" s="185"/>
      <c r="H19" s="185"/>
      <c r="I19" s="185"/>
      <c r="J19" s="185"/>
      <c r="K19" s="211"/>
      <c r="L19" s="212"/>
      <c r="M19" s="212"/>
      <c r="N19" s="236" t="s">
        <v>245</v>
      </c>
      <c r="O19" s="237" t="s">
        <v>245</v>
      </c>
      <c r="P19" s="237" t="s">
        <v>245</v>
      </c>
      <c r="Q19" s="294" t="s">
        <v>245</v>
      </c>
      <c r="R19" s="295" t="s">
        <v>245</v>
      </c>
      <c r="S19" s="179"/>
      <c r="T19" s="265" t="s">
        <v>146</v>
      </c>
      <c r="U19" s="266" t="s">
        <v>245</v>
      </c>
      <c r="V19" s="296" t="s">
        <v>245</v>
      </c>
      <c r="W19" s="297" t="s">
        <v>245</v>
      </c>
      <c r="X19" s="297" t="s">
        <v>245</v>
      </c>
      <c r="Y19" s="297" t="s">
        <v>245</v>
      </c>
      <c r="Z19" s="356" t="s">
        <v>245</v>
      </c>
      <c r="AA19" s="356" t="s">
        <v>245</v>
      </c>
      <c r="AB19" s="355" t="s">
        <v>266</v>
      </c>
      <c r="AC19" s="355" t="s">
        <v>266</v>
      </c>
      <c r="AD19" s="355" t="s">
        <v>266</v>
      </c>
      <c r="AE19" s="355" t="s">
        <v>266</v>
      </c>
      <c r="AF19" s="357" t="s">
        <v>245</v>
      </c>
      <c r="AG19" s="379" t="s">
        <v>245</v>
      </c>
      <c r="AH19" s="379" t="s">
        <v>245</v>
      </c>
    </row>
    <row r="20" spans="1:34" s="173" customFormat="1" ht="18" customHeight="1">
      <c r="A20" s="179"/>
      <c r="B20" s="179" t="s">
        <v>156</v>
      </c>
      <c r="C20" s="184"/>
      <c r="D20" s="185"/>
      <c r="E20" s="185"/>
      <c r="F20" s="185"/>
      <c r="G20" s="185"/>
      <c r="H20" s="185"/>
      <c r="I20" s="185"/>
      <c r="J20" s="185"/>
      <c r="K20" s="211"/>
      <c r="L20" s="212"/>
      <c r="M20" s="212"/>
      <c r="N20" s="236"/>
      <c r="O20" s="237"/>
      <c r="P20" s="237"/>
      <c r="Q20" s="294" t="s">
        <v>245</v>
      </c>
      <c r="R20" s="295" t="s">
        <v>245</v>
      </c>
      <c r="S20" s="179"/>
      <c r="T20" s="281" t="s">
        <v>156</v>
      </c>
      <c r="U20" s="266" t="s">
        <v>245</v>
      </c>
      <c r="V20" s="296" t="s">
        <v>245</v>
      </c>
      <c r="W20" s="297" t="s">
        <v>245</v>
      </c>
      <c r="X20" s="297" t="s">
        <v>245</v>
      </c>
      <c r="Y20" s="297" t="s">
        <v>245</v>
      </c>
      <c r="Z20" s="356" t="s">
        <v>245</v>
      </c>
      <c r="AA20" s="356" t="s">
        <v>245</v>
      </c>
      <c r="AB20" s="355" t="s">
        <v>266</v>
      </c>
      <c r="AC20" s="355" t="s">
        <v>266</v>
      </c>
      <c r="AD20" s="355" t="s">
        <v>266</v>
      </c>
      <c r="AE20" s="355" t="s">
        <v>266</v>
      </c>
      <c r="AF20" s="357" t="s">
        <v>245</v>
      </c>
      <c r="AG20" s="379" t="s">
        <v>245</v>
      </c>
      <c r="AH20" s="379" t="s">
        <v>245</v>
      </c>
    </row>
    <row r="21" spans="1:34" s="39" customFormat="1" ht="15.75" customHeight="1">
      <c r="A21" s="189"/>
      <c r="B21" s="189" t="s">
        <v>170</v>
      </c>
      <c r="C21" s="199" t="s">
        <v>266</v>
      </c>
      <c r="D21" s="200" t="s">
        <v>266</v>
      </c>
      <c r="E21" s="200" t="s">
        <v>266</v>
      </c>
      <c r="F21" s="200" t="s">
        <v>449</v>
      </c>
      <c r="G21" s="200" t="s">
        <v>449</v>
      </c>
      <c r="H21" s="200" t="s">
        <v>449</v>
      </c>
      <c r="I21" s="238" t="s">
        <v>449</v>
      </c>
      <c r="J21" s="238" t="s">
        <v>449</v>
      </c>
      <c r="K21" s="239" t="s">
        <v>245</v>
      </c>
      <c r="L21" s="229" t="s">
        <v>245</v>
      </c>
      <c r="M21" s="229" t="s">
        <v>245</v>
      </c>
      <c r="N21" s="230" t="s">
        <v>245</v>
      </c>
      <c r="O21" s="231" t="s">
        <v>245</v>
      </c>
      <c r="P21" s="231" t="s">
        <v>245</v>
      </c>
      <c r="Q21" s="229" t="s">
        <v>245</v>
      </c>
      <c r="R21" s="289" t="s">
        <v>245</v>
      </c>
      <c r="S21" s="189"/>
      <c r="T21" s="290" t="s">
        <v>170</v>
      </c>
      <c r="U21" s="291" t="s">
        <v>245</v>
      </c>
      <c r="V21" s="292" t="s">
        <v>245</v>
      </c>
      <c r="W21" s="293" t="s">
        <v>245</v>
      </c>
      <c r="X21" s="293" t="s">
        <v>245</v>
      </c>
      <c r="Y21" s="293" t="s">
        <v>254</v>
      </c>
      <c r="Z21" s="351" t="s">
        <v>254</v>
      </c>
      <c r="AA21" s="351" t="s">
        <v>254</v>
      </c>
      <c r="AB21" s="358" t="s">
        <v>245</v>
      </c>
      <c r="AC21" s="358" t="s">
        <v>245</v>
      </c>
      <c r="AD21" s="358" t="s">
        <v>245</v>
      </c>
      <c r="AE21" s="358" t="s">
        <v>245</v>
      </c>
      <c r="AF21" s="359" t="s">
        <v>245</v>
      </c>
      <c r="AG21" s="380" t="s">
        <v>245</v>
      </c>
      <c r="AH21" s="380" t="s">
        <v>245</v>
      </c>
    </row>
    <row r="22" spans="1:34" s="39" customFormat="1" ht="13.2">
      <c r="A22" s="179" t="s">
        <v>450</v>
      </c>
      <c r="B22" s="179" t="s">
        <v>186</v>
      </c>
      <c r="C22" s="193">
        <v>48</v>
      </c>
      <c r="D22" s="194">
        <v>51</v>
      </c>
      <c r="E22" s="195">
        <v>51</v>
      </c>
      <c r="F22" s="195">
        <v>51</v>
      </c>
      <c r="G22" s="195">
        <v>46</v>
      </c>
      <c r="H22" s="195">
        <v>48</v>
      </c>
      <c r="I22" s="194">
        <v>45</v>
      </c>
      <c r="J22" s="194">
        <v>43</v>
      </c>
      <c r="K22" s="223">
        <v>40.4</v>
      </c>
      <c r="L22" s="224">
        <v>36.5</v>
      </c>
      <c r="M22" s="224">
        <v>32.700000000000003</v>
      </c>
      <c r="N22" s="225">
        <v>32.9</v>
      </c>
      <c r="O22" s="226">
        <v>29.7</v>
      </c>
      <c r="P22" s="226">
        <v>25.5</v>
      </c>
      <c r="Q22" s="224">
        <v>26.7</v>
      </c>
      <c r="R22" s="280">
        <v>28</v>
      </c>
      <c r="S22" s="179" t="s">
        <v>450</v>
      </c>
      <c r="T22" s="281" t="s">
        <v>186</v>
      </c>
      <c r="U22" s="282">
        <v>28</v>
      </c>
      <c r="V22" s="283">
        <v>26.7</v>
      </c>
      <c r="W22" s="284">
        <v>24.3</v>
      </c>
      <c r="X22" s="284">
        <v>22.1</v>
      </c>
      <c r="Y22" s="284">
        <v>19.5</v>
      </c>
      <c r="Z22" s="344">
        <v>18.100000000000001</v>
      </c>
      <c r="AA22" s="344">
        <v>18.165897150135301</v>
      </c>
      <c r="AB22" s="345">
        <v>16.399999999999999</v>
      </c>
      <c r="AC22" s="345">
        <v>14.6</v>
      </c>
      <c r="AD22" s="345">
        <v>12.3</v>
      </c>
      <c r="AE22" s="346">
        <v>12.252663622526599</v>
      </c>
      <c r="AF22" s="347">
        <v>11.6</v>
      </c>
      <c r="AG22" s="376">
        <v>9.8112270243417807</v>
      </c>
      <c r="AH22" s="376">
        <v>9.9</v>
      </c>
    </row>
    <row r="23" spans="1:34" s="39" customFormat="1" ht="15" customHeight="1">
      <c r="A23" s="179" t="s">
        <v>451</v>
      </c>
      <c r="B23" s="183" t="s">
        <v>129</v>
      </c>
      <c r="C23" s="184">
        <v>13667</v>
      </c>
      <c r="D23" s="185">
        <v>13742</v>
      </c>
      <c r="E23" s="185">
        <v>14157</v>
      </c>
      <c r="F23" s="185">
        <v>14157</v>
      </c>
      <c r="G23" s="185">
        <v>16948</v>
      </c>
      <c r="H23" s="185">
        <v>19962</v>
      </c>
      <c r="I23" s="185">
        <v>21847</v>
      </c>
      <c r="J23" s="185">
        <v>22217</v>
      </c>
      <c r="K23" s="211">
        <v>24008</v>
      </c>
      <c r="L23" s="240">
        <v>23054</v>
      </c>
      <c r="M23" s="240">
        <v>26373</v>
      </c>
      <c r="N23" s="241">
        <v>33077</v>
      </c>
      <c r="O23" s="185">
        <v>31483</v>
      </c>
      <c r="P23" s="185">
        <v>24589</v>
      </c>
      <c r="Q23" s="285">
        <v>28300</v>
      </c>
      <c r="R23" s="286">
        <v>27112</v>
      </c>
      <c r="S23" s="179" t="s">
        <v>451</v>
      </c>
      <c r="T23" s="265" t="s">
        <v>129</v>
      </c>
      <c r="U23" s="298">
        <v>27112</v>
      </c>
      <c r="V23" s="299">
        <v>25388</v>
      </c>
      <c r="W23" s="300">
        <v>25158</v>
      </c>
      <c r="X23" s="300">
        <v>26174</v>
      </c>
      <c r="Y23" s="360">
        <v>32.799999999999997</v>
      </c>
      <c r="Z23" s="361">
        <v>32.229999999999997</v>
      </c>
      <c r="AA23" s="361">
        <v>30.7</v>
      </c>
      <c r="AB23" s="183">
        <v>29.2</v>
      </c>
      <c r="AC23" s="183">
        <v>30.5</v>
      </c>
      <c r="AD23" s="183">
        <v>30.6</v>
      </c>
      <c r="AE23" s="346">
        <v>29.9</v>
      </c>
      <c r="AF23" s="347">
        <v>33.9</v>
      </c>
      <c r="AG23" s="377">
        <v>35.200000000000003</v>
      </c>
      <c r="AH23" s="377">
        <v>36</v>
      </c>
    </row>
    <row r="24" spans="1:34" s="173" customFormat="1" ht="13.2">
      <c r="A24" s="179"/>
      <c r="B24" s="183" t="s">
        <v>146</v>
      </c>
      <c r="C24" s="184"/>
      <c r="D24" s="185"/>
      <c r="E24" s="185"/>
      <c r="F24" s="185"/>
      <c r="G24" s="185"/>
      <c r="H24" s="185"/>
      <c r="I24" s="185"/>
      <c r="J24" s="185"/>
      <c r="K24" s="211"/>
      <c r="L24" s="212"/>
      <c r="M24" s="212"/>
      <c r="N24" s="213">
        <v>20.6</v>
      </c>
      <c r="O24" s="214">
        <v>26</v>
      </c>
      <c r="P24" s="214">
        <v>28</v>
      </c>
      <c r="Q24" s="212">
        <v>21.2</v>
      </c>
      <c r="R24" s="264">
        <v>17.100000000000001</v>
      </c>
      <c r="S24" s="179"/>
      <c r="T24" s="265" t="s">
        <v>146</v>
      </c>
      <c r="U24" s="298">
        <v>17.100000000000001</v>
      </c>
      <c r="V24" s="267">
        <v>17.100000000000001</v>
      </c>
      <c r="W24" s="268">
        <v>13</v>
      </c>
      <c r="X24" s="268">
        <v>11.4</v>
      </c>
      <c r="Y24" s="268">
        <v>11.5</v>
      </c>
      <c r="Z24" s="340">
        <v>8.3000000000000007</v>
      </c>
      <c r="AA24" s="340">
        <v>6.9</v>
      </c>
      <c r="AB24" s="345">
        <v>6.4</v>
      </c>
      <c r="AC24" s="345">
        <v>5.5</v>
      </c>
      <c r="AD24" s="345">
        <v>4.4000000000000004</v>
      </c>
      <c r="AE24" s="346">
        <v>4.7</v>
      </c>
      <c r="AF24" s="347">
        <v>3.8</v>
      </c>
      <c r="AG24" s="377">
        <v>3.8</v>
      </c>
      <c r="AH24" s="377">
        <v>3.4</v>
      </c>
    </row>
    <row r="25" spans="1:34" s="173" customFormat="1" ht="16.2" customHeight="1">
      <c r="A25" s="179"/>
      <c r="B25" s="183" t="s">
        <v>156</v>
      </c>
      <c r="C25" s="184"/>
      <c r="D25" s="185"/>
      <c r="E25" s="185"/>
      <c r="F25" s="185"/>
      <c r="G25" s="185"/>
      <c r="H25" s="185"/>
      <c r="I25" s="185"/>
      <c r="J25" s="185"/>
      <c r="K25" s="211"/>
      <c r="L25" s="212"/>
      <c r="M25" s="212"/>
      <c r="N25" s="213"/>
      <c r="O25" s="214"/>
      <c r="P25" s="214"/>
      <c r="Q25" s="1327" t="s">
        <v>245</v>
      </c>
      <c r="R25" s="1328" t="s">
        <v>245</v>
      </c>
      <c r="S25" s="179"/>
      <c r="T25" s="281" t="s">
        <v>156</v>
      </c>
      <c r="U25" s="1329" t="s">
        <v>245</v>
      </c>
      <c r="V25" s="1330" t="s">
        <v>245</v>
      </c>
      <c r="W25" s="1331" t="s">
        <v>245</v>
      </c>
      <c r="X25" s="1331" t="s">
        <v>245</v>
      </c>
      <c r="Y25" s="1331" t="s">
        <v>245</v>
      </c>
      <c r="Z25" s="1332" t="s">
        <v>245</v>
      </c>
      <c r="AA25" s="340">
        <v>14.7</v>
      </c>
      <c r="AB25" s="183">
        <v>13.3</v>
      </c>
      <c r="AC25" s="183">
        <v>11.4</v>
      </c>
      <c r="AD25" s="183">
        <v>13</v>
      </c>
      <c r="AE25" s="346"/>
      <c r="AF25" s="346"/>
      <c r="AG25" s="377"/>
      <c r="AH25" s="377"/>
    </row>
    <row r="26" spans="1:34" s="39" customFormat="1" ht="13.2">
      <c r="A26" s="189"/>
      <c r="B26" s="189" t="s">
        <v>170</v>
      </c>
      <c r="C26" s="199">
        <v>5.4</v>
      </c>
      <c r="D26" s="200">
        <v>6.7</v>
      </c>
      <c r="E26" s="200">
        <v>6</v>
      </c>
      <c r="F26" s="200">
        <v>6</v>
      </c>
      <c r="G26" s="200" t="s">
        <v>449</v>
      </c>
      <c r="H26" s="200">
        <v>5</v>
      </c>
      <c r="I26" s="227">
        <v>4</v>
      </c>
      <c r="J26" s="227">
        <v>3</v>
      </c>
      <c r="K26" s="228">
        <v>2.5</v>
      </c>
      <c r="L26" s="222">
        <v>2.2999999999999998</v>
      </c>
      <c r="M26" s="229">
        <v>2.2000000000000002</v>
      </c>
      <c r="N26" s="230">
        <v>2.2000000000000002</v>
      </c>
      <c r="O26" s="231">
        <v>3.8</v>
      </c>
      <c r="P26" s="231">
        <v>6.1</v>
      </c>
      <c r="Q26" s="229">
        <v>5.9</v>
      </c>
      <c r="R26" s="289">
        <v>5.7</v>
      </c>
      <c r="S26" s="189"/>
      <c r="T26" s="290" t="s">
        <v>170</v>
      </c>
      <c r="U26" s="291">
        <v>5.7</v>
      </c>
      <c r="V26" s="292">
        <v>4.5999999999999996</v>
      </c>
      <c r="W26" s="293">
        <v>3.8</v>
      </c>
      <c r="X26" s="293">
        <v>3.7</v>
      </c>
      <c r="Y26" s="293">
        <v>2.7</v>
      </c>
      <c r="Z26" s="351">
        <v>3.7</v>
      </c>
      <c r="AA26" s="351">
        <v>3.1</v>
      </c>
      <c r="AB26" s="190">
        <v>2.7</v>
      </c>
      <c r="AC26" s="352">
        <v>2</v>
      </c>
      <c r="AD26" s="352">
        <v>2</v>
      </c>
      <c r="AE26" s="352">
        <v>1.6</v>
      </c>
      <c r="AF26" s="352">
        <v>1.4</v>
      </c>
      <c r="AG26" s="378">
        <v>1.4</v>
      </c>
      <c r="AH26" s="378">
        <v>1.2</v>
      </c>
    </row>
    <row r="27" spans="1:34" s="39" customFormat="1" ht="15" customHeight="1">
      <c r="A27" s="179" t="s">
        <v>452</v>
      </c>
      <c r="B27" s="179" t="s">
        <v>186</v>
      </c>
      <c r="C27" s="193">
        <v>59600</v>
      </c>
      <c r="D27" s="195">
        <v>57900</v>
      </c>
      <c r="E27" s="195">
        <v>67700</v>
      </c>
      <c r="F27" s="195">
        <v>77600</v>
      </c>
      <c r="G27" s="195">
        <v>90100</v>
      </c>
      <c r="H27" s="195">
        <v>109800</v>
      </c>
      <c r="I27" s="194">
        <v>118300</v>
      </c>
      <c r="J27" s="194">
        <v>102700</v>
      </c>
      <c r="K27" s="223">
        <v>104413</v>
      </c>
      <c r="L27" s="242">
        <v>112415</v>
      </c>
      <c r="M27" s="242">
        <v>111557</v>
      </c>
      <c r="N27" s="243">
        <v>124000</v>
      </c>
      <c r="O27" s="194">
        <v>136021</v>
      </c>
      <c r="P27" s="194">
        <v>134849</v>
      </c>
      <c r="Q27" s="242">
        <v>140946</v>
      </c>
      <c r="R27" s="301">
        <v>123326</v>
      </c>
      <c r="S27" s="302"/>
      <c r="T27" s="198"/>
      <c r="U27" s="303"/>
      <c r="V27" s="223"/>
      <c r="W27" s="304"/>
      <c r="X27" s="304"/>
      <c r="Y27" s="304"/>
      <c r="Z27" s="362"/>
      <c r="AA27" s="362"/>
      <c r="AB27" s="362"/>
      <c r="AC27" s="362"/>
      <c r="AD27" s="362"/>
      <c r="AE27" s="362"/>
      <c r="AF27" s="302"/>
      <c r="AG27" s="302"/>
      <c r="AH27" s="302"/>
    </row>
    <row r="28" spans="1:34" s="39" customFormat="1" ht="13.2">
      <c r="A28" s="179" t="s">
        <v>453</v>
      </c>
      <c r="B28" s="183" t="s">
        <v>129</v>
      </c>
      <c r="C28" s="196" t="s">
        <v>266</v>
      </c>
      <c r="D28" s="197" t="s">
        <v>266</v>
      </c>
      <c r="E28" s="197" t="s">
        <v>266</v>
      </c>
      <c r="F28" s="197" t="s">
        <v>449</v>
      </c>
      <c r="G28" s="197" t="s">
        <v>449</v>
      </c>
      <c r="H28" s="197" t="s">
        <v>449</v>
      </c>
      <c r="I28" s="185" t="s">
        <v>449</v>
      </c>
      <c r="J28" s="185" t="s">
        <v>449</v>
      </c>
      <c r="K28" s="211" t="s">
        <v>449</v>
      </c>
      <c r="L28" s="240" t="s">
        <v>449</v>
      </c>
      <c r="M28" s="1333" t="s">
        <v>245</v>
      </c>
      <c r="N28" s="1334" t="s">
        <v>245</v>
      </c>
      <c r="O28" s="1335" t="s">
        <v>245</v>
      </c>
      <c r="P28" s="1335" t="s">
        <v>245</v>
      </c>
      <c r="Q28" s="240" t="s">
        <v>245</v>
      </c>
      <c r="R28" s="305" t="s">
        <v>245</v>
      </c>
      <c r="S28" s="306"/>
      <c r="T28" s="184"/>
      <c r="U28" s="307"/>
      <c r="V28" s="211"/>
      <c r="W28" s="308"/>
      <c r="X28" s="308"/>
      <c r="Y28" s="308"/>
      <c r="Z28" s="363"/>
      <c r="AA28" s="363"/>
      <c r="AB28" s="363"/>
      <c r="AC28" s="363"/>
      <c r="AD28" s="363"/>
      <c r="AE28" s="363"/>
      <c r="AF28" s="306"/>
      <c r="AG28" s="306"/>
      <c r="AH28" s="306"/>
    </row>
    <row r="29" spans="1:34" s="173" customFormat="1" ht="15" customHeight="1">
      <c r="A29" s="179"/>
      <c r="B29" s="183" t="s">
        <v>146</v>
      </c>
      <c r="C29" s="184"/>
      <c r="D29" s="185"/>
      <c r="E29" s="185"/>
      <c r="F29" s="185"/>
      <c r="G29" s="185"/>
      <c r="H29" s="185"/>
      <c r="I29" s="185"/>
      <c r="J29" s="185"/>
      <c r="K29" s="211"/>
      <c r="L29" s="212"/>
      <c r="M29" s="212"/>
      <c r="N29" s="213" t="s">
        <v>245</v>
      </c>
      <c r="O29" s="214" t="s">
        <v>245</v>
      </c>
      <c r="P29" s="214" t="s">
        <v>245</v>
      </c>
      <c r="Q29" s="212" t="s">
        <v>245</v>
      </c>
      <c r="R29" s="264" t="s">
        <v>245</v>
      </c>
      <c r="S29" s="309"/>
      <c r="T29" s="310"/>
      <c r="U29" s="307"/>
      <c r="V29" s="267"/>
      <c r="W29" s="268"/>
      <c r="X29" s="268"/>
      <c r="Y29" s="268"/>
      <c r="Z29" s="340"/>
      <c r="AA29" s="340"/>
      <c r="AB29" s="340"/>
      <c r="AC29" s="340"/>
      <c r="AD29" s="340"/>
      <c r="AE29" s="340"/>
      <c r="AF29" s="309"/>
      <c r="AG29" s="309"/>
      <c r="AH29" s="309"/>
    </row>
    <row r="30" spans="1:34" s="173" customFormat="1" ht="13.2">
      <c r="A30" s="179"/>
      <c r="B30" s="179" t="s">
        <v>156</v>
      </c>
      <c r="C30" s="184"/>
      <c r="D30" s="185"/>
      <c r="E30" s="185"/>
      <c r="F30" s="185"/>
      <c r="G30" s="185"/>
      <c r="H30" s="185"/>
      <c r="I30" s="185"/>
      <c r="J30" s="185"/>
      <c r="K30" s="211"/>
      <c r="L30" s="212"/>
      <c r="M30" s="212"/>
      <c r="N30" s="213"/>
      <c r="O30" s="214"/>
      <c r="P30" s="214"/>
      <c r="Q30" s="212" t="s">
        <v>245</v>
      </c>
      <c r="R30" s="264" t="s">
        <v>245</v>
      </c>
      <c r="S30" s="309"/>
      <c r="T30" s="310"/>
      <c r="U30" s="307"/>
      <c r="V30" s="267"/>
      <c r="W30" s="268"/>
      <c r="X30" s="268"/>
      <c r="Y30" s="268"/>
      <c r="Z30" s="340"/>
      <c r="AA30" s="340"/>
      <c r="AB30" s="340"/>
      <c r="AC30" s="340"/>
      <c r="AD30" s="340"/>
      <c r="AE30" s="340"/>
      <c r="AF30" s="309"/>
      <c r="AG30" s="309"/>
      <c r="AH30" s="309"/>
    </row>
    <row r="31" spans="1:34" s="39" customFormat="1" ht="13.2">
      <c r="A31" s="189"/>
      <c r="B31" s="189" t="s">
        <v>170</v>
      </c>
      <c r="C31" s="199" t="s">
        <v>266</v>
      </c>
      <c r="D31" s="200" t="s">
        <v>266</v>
      </c>
      <c r="E31" s="200" t="s">
        <v>266</v>
      </c>
      <c r="F31" s="200" t="s">
        <v>449</v>
      </c>
      <c r="G31" s="200" t="s">
        <v>449</v>
      </c>
      <c r="H31" s="200" t="s">
        <v>449</v>
      </c>
      <c r="I31" s="227" t="s">
        <v>449</v>
      </c>
      <c r="J31" s="227" t="s">
        <v>449</v>
      </c>
      <c r="K31" s="228" t="s">
        <v>449</v>
      </c>
      <c r="L31" s="244" t="s">
        <v>449</v>
      </c>
      <c r="M31" s="1336" t="s">
        <v>245</v>
      </c>
      <c r="N31" s="1337" t="s">
        <v>245</v>
      </c>
      <c r="O31" s="1338" t="s">
        <v>245</v>
      </c>
      <c r="P31" s="1338" t="s">
        <v>245</v>
      </c>
      <c r="Q31" s="242" t="s">
        <v>245</v>
      </c>
      <c r="R31" s="301" t="s">
        <v>245</v>
      </c>
      <c r="S31" s="302"/>
      <c r="T31" s="198"/>
      <c r="U31" s="303"/>
      <c r="V31" s="223"/>
      <c r="W31" s="304"/>
      <c r="X31" s="304"/>
      <c r="Y31" s="304"/>
      <c r="Z31" s="362"/>
      <c r="AA31" s="362"/>
      <c r="AB31" s="362"/>
      <c r="AC31" s="362"/>
      <c r="AD31" s="362"/>
      <c r="AE31" s="362"/>
      <c r="AF31" s="302"/>
      <c r="AG31" s="302"/>
      <c r="AH31" s="302"/>
    </row>
    <row r="32" spans="1:34" s="39" customFormat="1" ht="13.2">
      <c r="A32" s="179" t="s">
        <v>454</v>
      </c>
      <c r="B32" s="179" t="s">
        <v>186</v>
      </c>
      <c r="C32" s="193">
        <v>18.600000000000001</v>
      </c>
      <c r="D32" s="195">
        <v>17.2</v>
      </c>
      <c r="E32" s="195">
        <v>17.2</v>
      </c>
      <c r="F32" s="195">
        <v>18.899999999999999</v>
      </c>
      <c r="G32" s="195">
        <v>20.6</v>
      </c>
      <c r="H32" s="201">
        <v>27.3</v>
      </c>
      <c r="I32" s="232">
        <v>26</v>
      </c>
      <c r="J32" s="232">
        <v>18.5</v>
      </c>
      <c r="K32" s="233">
        <v>17.399999999999999</v>
      </c>
      <c r="L32" s="245">
        <v>19.600000000000001</v>
      </c>
      <c r="M32" s="246">
        <v>17.7</v>
      </c>
      <c r="N32" s="247">
        <v>17.600000000000001</v>
      </c>
      <c r="O32" s="248">
        <v>18.899999999999999</v>
      </c>
      <c r="P32" s="248">
        <v>16.5</v>
      </c>
      <c r="Q32" s="246">
        <v>7.5</v>
      </c>
      <c r="R32" s="311">
        <v>7.7</v>
      </c>
      <c r="S32" s="312"/>
      <c r="T32" s="313"/>
      <c r="U32" s="314"/>
      <c r="V32" s="315"/>
      <c r="W32" s="316"/>
      <c r="X32" s="316"/>
      <c r="Y32" s="316"/>
      <c r="Z32" s="364"/>
      <c r="AA32" s="364"/>
      <c r="AB32" s="364"/>
      <c r="AC32" s="364"/>
      <c r="AD32" s="364"/>
      <c r="AE32" s="364"/>
      <c r="AF32" s="312"/>
      <c r="AG32" s="312"/>
      <c r="AH32" s="312"/>
    </row>
    <row r="33" spans="1:34" s="39" customFormat="1" ht="13.2">
      <c r="A33" s="179" t="s">
        <v>455</v>
      </c>
      <c r="B33" s="183" t="s">
        <v>129</v>
      </c>
      <c r="C33" s="196" t="s">
        <v>266</v>
      </c>
      <c r="D33" s="197" t="s">
        <v>266</v>
      </c>
      <c r="E33" s="197" t="s">
        <v>266</v>
      </c>
      <c r="F33" s="197" t="s">
        <v>449</v>
      </c>
      <c r="G33" s="197" t="s">
        <v>449</v>
      </c>
      <c r="H33" s="197" t="s">
        <v>449</v>
      </c>
      <c r="I33" s="185" t="s">
        <v>449</v>
      </c>
      <c r="J33" s="185" t="s">
        <v>449</v>
      </c>
      <c r="K33" s="211" t="s">
        <v>449</v>
      </c>
      <c r="L33" s="240" t="s">
        <v>449</v>
      </c>
      <c r="M33" s="1333" t="s">
        <v>245</v>
      </c>
      <c r="N33" s="1334" t="s">
        <v>245</v>
      </c>
      <c r="O33" s="1335" t="s">
        <v>245</v>
      </c>
      <c r="P33" s="1335" t="s">
        <v>245</v>
      </c>
      <c r="Q33" s="240" t="s">
        <v>245</v>
      </c>
      <c r="R33" s="305" t="s">
        <v>245</v>
      </c>
      <c r="S33" s="306"/>
      <c r="T33" s="184"/>
      <c r="U33" s="307"/>
      <c r="V33" s="211"/>
      <c r="W33" s="308"/>
      <c r="X33" s="308"/>
      <c r="Y33" s="308"/>
      <c r="Z33" s="363"/>
      <c r="AA33" s="363"/>
      <c r="AB33" s="363"/>
      <c r="AC33" s="363"/>
      <c r="AD33" s="363"/>
      <c r="AE33" s="363"/>
      <c r="AF33" s="306"/>
      <c r="AG33" s="306"/>
      <c r="AH33" s="306"/>
    </row>
    <row r="34" spans="1:34" s="173" customFormat="1" ht="13.2">
      <c r="A34" s="179"/>
      <c r="B34" s="183" t="s">
        <v>146</v>
      </c>
      <c r="C34" s="184"/>
      <c r="D34" s="185"/>
      <c r="E34" s="185"/>
      <c r="F34" s="185"/>
      <c r="G34" s="185"/>
      <c r="H34" s="185"/>
      <c r="I34" s="185"/>
      <c r="J34" s="185"/>
      <c r="K34" s="211"/>
      <c r="L34" s="212"/>
      <c r="M34" s="212"/>
      <c r="N34" s="213" t="s">
        <v>245</v>
      </c>
      <c r="O34" s="214" t="s">
        <v>245</v>
      </c>
      <c r="P34" s="214" t="s">
        <v>245</v>
      </c>
      <c r="Q34" s="212" t="s">
        <v>245</v>
      </c>
      <c r="R34" s="264" t="s">
        <v>245</v>
      </c>
      <c r="S34" s="309"/>
      <c r="T34" s="310"/>
      <c r="U34" s="307"/>
      <c r="V34" s="267"/>
      <c r="W34" s="268"/>
      <c r="X34" s="268"/>
      <c r="Y34" s="268"/>
      <c r="Z34" s="340"/>
      <c r="AA34" s="340"/>
      <c r="AB34" s="340"/>
      <c r="AC34" s="340"/>
      <c r="AD34" s="340"/>
      <c r="AE34" s="340"/>
      <c r="AF34" s="309"/>
      <c r="AG34" s="309"/>
      <c r="AH34" s="309"/>
    </row>
    <row r="35" spans="1:34" s="173" customFormat="1" ht="13.2">
      <c r="A35" s="179"/>
      <c r="B35" s="179" t="s">
        <v>156</v>
      </c>
      <c r="C35" s="184"/>
      <c r="D35" s="185"/>
      <c r="E35" s="194"/>
      <c r="F35" s="194"/>
      <c r="G35" s="194"/>
      <c r="H35" s="194"/>
      <c r="I35" s="194"/>
      <c r="J35" s="194"/>
      <c r="K35" s="223"/>
      <c r="L35" s="224"/>
      <c r="M35" s="216"/>
      <c r="N35" s="217"/>
      <c r="O35" s="218"/>
      <c r="P35" s="218"/>
      <c r="Q35" s="212" t="s">
        <v>245</v>
      </c>
      <c r="R35" s="264" t="s">
        <v>245</v>
      </c>
      <c r="S35" s="309"/>
      <c r="T35" s="310"/>
      <c r="U35" s="307"/>
      <c r="V35" s="267"/>
      <c r="W35" s="268"/>
      <c r="X35" s="268"/>
      <c r="Y35" s="268"/>
      <c r="Z35" s="340"/>
      <c r="AA35" s="340"/>
      <c r="AB35" s="340"/>
      <c r="AC35" s="340"/>
      <c r="AD35" s="340"/>
      <c r="AE35" s="340"/>
      <c r="AF35" s="309"/>
      <c r="AG35" s="309"/>
      <c r="AH35" s="309"/>
    </row>
    <row r="36" spans="1:34" s="39" customFormat="1" ht="13.2">
      <c r="A36" s="189"/>
      <c r="B36" s="189" t="s">
        <v>170</v>
      </c>
      <c r="C36" s="199" t="s">
        <v>266</v>
      </c>
      <c r="D36" s="200" t="s">
        <v>266</v>
      </c>
      <c r="E36" s="200" t="s">
        <v>266</v>
      </c>
      <c r="F36" s="200" t="s">
        <v>449</v>
      </c>
      <c r="G36" s="200" t="s">
        <v>449</v>
      </c>
      <c r="H36" s="200" t="s">
        <v>449</v>
      </c>
      <c r="I36" s="227" t="s">
        <v>449</v>
      </c>
      <c r="J36" s="227" t="s">
        <v>449</v>
      </c>
      <c r="K36" s="228" t="s">
        <v>449</v>
      </c>
      <c r="L36" s="244" t="s">
        <v>449</v>
      </c>
      <c r="M36" s="1339" t="s">
        <v>245</v>
      </c>
      <c r="N36" s="1340" t="s">
        <v>245</v>
      </c>
      <c r="O36" s="1341" t="s">
        <v>245</v>
      </c>
      <c r="P36" s="1341" t="s">
        <v>245</v>
      </c>
      <c r="Q36" s="249" t="s">
        <v>245</v>
      </c>
      <c r="R36" s="317" t="s">
        <v>245</v>
      </c>
      <c r="S36" s="318"/>
      <c r="T36" s="191"/>
      <c r="U36" s="319"/>
      <c r="V36" s="219"/>
      <c r="W36" s="320"/>
      <c r="X36" s="320"/>
      <c r="Y36" s="320"/>
      <c r="Z36" s="365"/>
      <c r="AA36" s="365"/>
      <c r="AB36" s="365"/>
      <c r="AC36" s="365"/>
      <c r="AD36" s="365"/>
      <c r="AE36" s="365"/>
      <c r="AF36" s="318"/>
      <c r="AG36" s="381"/>
      <c r="AH36" s="381"/>
    </row>
    <row r="37" spans="1:34" s="39" customFormat="1" ht="13.2">
      <c r="A37" s="179" t="s">
        <v>456</v>
      </c>
      <c r="B37" s="179" t="s">
        <v>186</v>
      </c>
      <c r="C37" s="193">
        <v>11200</v>
      </c>
      <c r="D37" s="195">
        <v>11100</v>
      </c>
      <c r="E37" s="195">
        <v>14500</v>
      </c>
      <c r="F37" s="195">
        <v>16200</v>
      </c>
      <c r="G37" s="195">
        <v>15790</v>
      </c>
      <c r="H37" s="195">
        <v>15760</v>
      </c>
      <c r="I37" s="194">
        <v>16410</v>
      </c>
      <c r="J37" s="194">
        <v>21270</v>
      </c>
      <c r="K37" s="223">
        <v>20171</v>
      </c>
      <c r="L37" s="242">
        <v>18561</v>
      </c>
      <c r="M37" s="242">
        <v>19290</v>
      </c>
      <c r="N37" s="243">
        <v>19517</v>
      </c>
      <c r="O37" s="194">
        <v>18051</v>
      </c>
      <c r="P37" s="194">
        <v>20328</v>
      </c>
      <c r="Q37" s="242">
        <v>20474</v>
      </c>
      <c r="R37" s="301">
        <v>22205</v>
      </c>
      <c r="S37" s="179" t="s">
        <v>456</v>
      </c>
      <c r="T37" s="281" t="s">
        <v>186</v>
      </c>
      <c r="U37" s="303">
        <v>145531</v>
      </c>
      <c r="V37" s="223">
        <v>143267</v>
      </c>
      <c r="W37" s="304">
        <v>143968</v>
      </c>
      <c r="X37" s="304">
        <v>139038</v>
      </c>
      <c r="Y37" s="304">
        <v>114557</v>
      </c>
      <c r="Z37" s="362">
        <v>24422</v>
      </c>
      <c r="AA37" s="362">
        <v>96000</v>
      </c>
      <c r="AB37" s="366">
        <v>95643</v>
      </c>
      <c r="AC37" s="366">
        <v>98161</v>
      </c>
      <c r="AD37" s="366">
        <v>100708</v>
      </c>
      <c r="AE37" s="366">
        <v>109920</v>
      </c>
      <c r="AF37" s="366">
        <v>110022</v>
      </c>
      <c r="AG37" s="382">
        <v>150669</v>
      </c>
      <c r="AH37" s="302">
        <v>147622</v>
      </c>
    </row>
    <row r="38" spans="1:34" s="39" customFormat="1" ht="13.2">
      <c r="A38" s="179" t="s">
        <v>457</v>
      </c>
      <c r="B38" s="183" t="s">
        <v>129</v>
      </c>
      <c r="C38" s="196">
        <v>2148126</v>
      </c>
      <c r="D38" s="197">
        <v>2143765</v>
      </c>
      <c r="E38" s="197">
        <v>2155566</v>
      </c>
      <c r="F38" s="197">
        <v>2155566</v>
      </c>
      <c r="G38" s="197">
        <v>2152416</v>
      </c>
      <c r="H38" s="197">
        <v>2175739</v>
      </c>
      <c r="I38" s="185">
        <v>2189727</v>
      </c>
      <c r="J38" s="185">
        <v>2181211</v>
      </c>
      <c r="K38" s="211">
        <v>2105255</v>
      </c>
      <c r="L38" s="240">
        <v>1954334</v>
      </c>
      <c r="M38" s="240">
        <v>1805194</v>
      </c>
      <c r="N38" s="241">
        <v>1639081</v>
      </c>
      <c r="O38" s="185">
        <v>1500879</v>
      </c>
      <c r="P38" s="185">
        <v>870424</v>
      </c>
      <c r="Q38" s="240">
        <v>816024</v>
      </c>
      <c r="R38" s="305">
        <v>770994</v>
      </c>
      <c r="S38" s="179" t="s">
        <v>457</v>
      </c>
      <c r="T38" s="265" t="s">
        <v>129</v>
      </c>
      <c r="U38" s="307">
        <v>770994</v>
      </c>
      <c r="V38" s="211">
        <v>754091</v>
      </c>
      <c r="W38" s="308">
        <v>731521</v>
      </c>
      <c r="X38" s="308">
        <v>701836</v>
      </c>
      <c r="Y38" s="308">
        <v>674255</v>
      </c>
      <c r="Z38" s="363">
        <v>657453</v>
      </c>
      <c r="AA38" s="363">
        <v>643788</v>
      </c>
      <c r="AB38" s="367">
        <v>633244</v>
      </c>
      <c r="AC38" s="367">
        <v>619007</v>
      </c>
      <c r="AD38" s="367">
        <v>589694</v>
      </c>
      <c r="AE38" s="367">
        <v>556500</v>
      </c>
      <c r="AF38" s="367">
        <v>534292</v>
      </c>
      <c r="AG38" s="383">
        <v>531532</v>
      </c>
      <c r="AH38" s="306">
        <v>539886</v>
      </c>
    </row>
    <row r="39" spans="1:34" s="173" customFormat="1" ht="15.6">
      <c r="A39" s="179" t="s">
        <v>458</v>
      </c>
      <c r="B39" s="183" t="s">
        <v>146</v>
      </c>
      <c r="C39" s="184"/>
      <c r="D39" s="185"/>
      <c r="E39" s="185"/>
      <c r="F39" s="185"/>
      <c r="G39" s="185"/>
      <c r="H39" s="185"/>
      <c r="I39" s="185"/>
      <c r="J39" s="185"/>
      <c r="K39" s="211"/>
      <c r="L39" s="212"/>
      <c r="M39" s="212"/>
      <c r="N39" s="241">
        <v>244332</v>
      </c>
      <c r="O39" s="185">
        <v>289835</v>
      </c>
      <c r="P39" s="185">
        <v>309586</v>
      </c>
      <c r="Q39" s="240">
        <v>235019</v>
      </c>
      <c r="R39" s="305">
        <v>241855</v>
      </c>
      <c r="S39" s="179" t="s">
        <v>459</v>
      </c>
      <c r="T39" s="265" t="s">
        <v>146</v>
      </c>
      <c r="U39" s="307">
        <v>241855</v>
      </c>
      <c r="V39" s="211">
        <v>236316</v>
      </c>
      <c r="W39" s="308">
        <v>251315</v>
      </c>
      <c r="X39" s="308">
        <v>286270</v>
      </c>
      <c r="Y39" s="308">
        <v>285816</v>
      </c>
      <c r="Z39" s="363">
        <v>292664</v>
      </c>
      <c r="AA39" s="363">
        <v>294257</v>
      </c>
      <c r="AB39" s="367">
        <v>235969</v>
      </c>
      <c r="AC39" s="367">
        <v>244276</v>
      </c>
      <c r="AD39" s="367">
        <v>238252</v>
      </c>
      <c r="AE39" s="367">
        <v>192153</v>
      </c>
      <c r="AF39" s="367">
        <v>189300</v>
      </c>
      <c r="AG39" s="383">
        <v>194124</v>
      </c>
      <c r="AH39" s="383">
        <v>200362</v>
      </c>
    </row>
    <row r="40" spans="1:34" s="173" customFormat="1" ht="13.2">
      <c r="A40" s="179"/>
      <c r="B40" s="179" t="s">
        <v>156</v>
      </c>
      <c r="C40" s="184"/>
      <c r="D40" s="185"/>
      <c r="E40" s="185"/>
      <c r="F40" s="185"/>
      <c r="G40" s="185"/>
      <c r="H40" s="185"/>
      <c r="I40" s="185"/>
      <c r="J40" s="185"/>
      <c r="K40" s="211"/>
      <c r="L40" s="212"/>
      <c r="M40" s="212"/>
      <c r="N40" s="241"/>
      <c r="O40" s="185"/>
      <c r="P40" s="185"/>
      <c r="Q40" s="212" t="s">
        <v>254</v>
      </c>
      <c r="R40" s="264" t="s">
        <v>254</v>
      </c>
      <c r="S40" s="179"/>
      <c r="T40" s="281" t="s">
        <v>156</v>
      </c>
      <c r="U40" s="307"/>
      <c r="V40" s="267"/>
      <c r="W40" s="268" t="s">
        <v>254</v>
      </c>
      <c r="X40" s="268" t="s">
        <v>254</v>
      </c>
      <c r="Y40" s="268" t="s">
        <v>254</v>
      </c>
      <c r="Z40" s="340" t="s">
        <v>254</v>
      </c>
      <c r="AA40" s="363">
        <v>466067</v>
      </c>
      <c r="AB40" s="367">
        <v>294079</v>
      </c>
      <c r="AC40" s="367">
        <v>266567</v>
      </c>
      <c r="AD40" s="367">
        <v>207422</v>
      </c>
      <c r="AE40" s="367">
        <v>315652</v>
      </c>
      <c r="AF40" s="367"/>
      <c r="AG40" s="383"/>
      <c r="AH40" s="383"/>
    </row>
    <row r="41" spans="1:34" s="39" customFormat="1" ht="13.2">
      <c r="A41" s="189"/>
      <c r="B41" s="189" t="s">
        <v>170</v>
      </c>
      <c r="C41" s="199" t="s">
        <v>266</v>
      </c>
      <c r="D41" s="200" t="s">
        <v>266</v>
      </c>
      <c r="E41" s="200" t="s">
        <v>266</v>
      </c>
      <c r="F41" s="200" t="s">
        <v>449</v>
      </c>
      <c r="G41" s="200" t="s">
        <v>449</v>
      </c>
      <c r="H41" s="200" t="s">
        <v>449</v>
      </c>
      <c r="I41" s="227" t="s">
        <v>449</v>
      </c>
      <c r="J41" s="227" t="s">
        <v>449</v>
      </c>
      <c r="K41" s="228" t="s">
        <v>449</v>
      </c>
      <c r="L41" s="244" t="s">
        <v>449</v>
      </c>
      <c r="M41" s="1342" t="s">
        <v>245</v>
      </c>
      <c r="N41" s="1343" t="s">
        <v>245</v>
      </c>
      <c r="O41" s="1344" t="s">
        <v>245</v>
      </c>
      <c r="P41" s="1344" t="s">
        <v>245</v>
      </c>
      <c r="Q41" s="244" t="s">
        <v>245</v>
      </c>
      <c r="R41" s="321" t="s">
        <v>245</v>
      </c>
      <c r="S41" s="189"/>
      <c r="T41" s="290" t="s">
        <v>170</v>
      </c>
      <c r="U41" s="322" t="s">
        <v>245</v>
      </c>
      <c r="V41" s="228" t="s">
        <v>245</v>
      </c>
      <c r="W41" s="323" t="s">
        <v>245</v>
      </c>
      <c r="X41" s="323" t="s">
        <v>245</v>
      </c>
      <c r="Y41" s="323" t="s">
        <v>245</v>
      </c>
      <c r="Z41" s="368" t="s">
        <v>245</v>
      </c>
      <c r="AA41" s="368" t="s">
        <v>245</v>
      </c>
      <c r="AB41" s="368" t="s">
        <v>245</v>
      </c>
      <c r="AC41" s="368" t="s">
        <v>266</v>
      </c>
      <c r="AD41" s="368" t="s">
        <v>266</v>
      </c>
      <c r="AE41" s="368" t="s">
        <v>266</v>
      </c>
      <c r="AF41" s="334" t="s">
        <v>245</v>
      </c>
      <c r="AG41" s="384"/>
      <c r="AH41" s="384"/>
    </row>
    <row r="42" spans="1:34" s="39" customFormat="1" ht="13.2">
      <c r="A42" s="179" t="s">
        <v>452</v>
      </c>
      <c r="B42" s="179" t="s">
        <v>186</v>
      </c>
      <c r="C42" s="193">
        <v>120200</v>
      </c>
      <c r="D42" s="195">
        <v>127000</v>
      </c>
      <c r="E42" s="195">
        <v>139500</v>
      </c>
      <c r="F42" s="195">
        <v>157700</v>
      </c>
      <c r="G42" s="195">
        <v>191600</v>
      </c>
      <c r="H42" s="195">
        <v>212200</v>
      </c>
      <c r="I42" s="194">
        <v>223700</v>
      </c>
      <c r="J42" s="194">
        <v>232100</v>
      </c>
      <c r="K42" s="223">
        <v>263475</v>
      </c>
      <c r="L42" s="242">
        <v>284414</v>
      </c>
      <c r="M42" s="242">
        <v>304116</v>
      </c>
      <c r="N42" s="243">
        <v>318298</v>
      </c>
      <c r="O42" s="194">
        <v>339043</v>
      </c>
      <c r="P42" s="194">
        <v>347861</v>
      </c>
      <c r="Q42" s="242">
        <v>346449</v>
      </c>
      <c r="R42" s="301">
        <v>355803</v>
      </c>
      <c r="S42" s="179" t="s">
        <v>452</v>
      </c>
      <c r="T42" s="281" t="s">
        <v>186</v>
      </c>
      <c r="U42" s="303">
        <v>355803</v>
      </c>
      <c r="V42" s="223">
        <v>363521</v>
      </c>
      <c r="W42" s="304">
        <v>377994</v>
      </c>
      <c r="X42" s="304">
        <v>396049</v>
      </c>
      <c r="Y42" s="304">
        <v>411632</v>
      </c>
      <c r="Z42" s="362">
        <v>409049</v>
      </c>
      <c r="AA42" s="362">
        <v>407443</v>
      </c>
      <c r="AB42" s="366">
        <v>371884</v>
      </c>
      <c r="AC42" s="366">
        <v>335293</v>
      </c>
      <c r="AD42" s="366">
        <v>320961</v>
      </c>
      <c r="AE42" s="366">
        <v>343667</v>
      </c>
      <c r="AF42" s="366">
        <v>394458</v>
      </c>
      <c r="AG42" s="382">
        <v>400604</v>
      </c>
      <c r="AH42" s="382">
        <v>430800</v>
      </c>
    </row>
    <row r="43" spans="1:34" s="39" customFormat="1" ht="15.6">
      <c r="A43" s="179" t="s">
        <v>460</v>
      </c>
      <c r="B43" s="183" t="s">
        <v>129</v>
      </c>
      <c r="C43" s="196" t="s">
        <v>266</v>
      </c>
      <c r="D43" s="197" t="s">
        <v>266</v>
      </c>
      <c r="E43" s="197" t="s">
        <v>266</v>
      </c>
      <c r="F43" s="197" t="s">
        <v>266</v>
      </c>
      <c r="G43" s="197">
        <v>433020</v>
      </c>
      <c r="H43" s="197">
        <v>478363</v>
      </c>
      <c r="I43" s="185">
        <v>500420</v>
      </c>
      <c r="J43" s="185">
        <v>521435</v>
      </c>
      <c r="K43" s="211">
        <v>605949</v>
      </c>
      <c r="L43" s="240">
        <v>755138</v>
      </c>
      <c r="M43" s="240">
        <v>837887</v>
      </c>
      <c r="N43" s="241">
        <v>888198</v>
      </c>
      <c r="O43" s="185">
        <v>868025</v>
      </c>
      <c r="P43" s="185">
        <v>716812</v>
      </c>
      <c r="Q43" s="240">
        <v>573279</v>
      </c>
      <c r="R43" s="305">
        <v>448123</v>
      </c>
      <c r="S43" s="179" t="s">
        <v>461</v>
      </c>
      <c r="T43" s="265" t="s">
        <v>129</v>
      </c>
      <c r="U43" s="307">
        <v>448123</v>
      </c>
      <c r="V43" s="211">
        <v>319247</v>
      </c>
      <c r="W43" s="308">
        <v>196732</v>
      </c>
      <c r="X43" s="308">
        <v>186830</v>
      </c>
      <c r="Y43" s="308">
        <v>193390</v>
      </c>
      <c r="Z43" s="363">
        <v>175290</v>
      </c>
      <c r="AA43" s="363">
        <v>171508</v>
      </c>
      <c r="AB43" s="367">
        <v>168679</v>
      </c>
      <c r="AC43" s="367">
        <v>173494</v>
      </c>
      <c r="AD43" s="367">
        <v>179341</v>
      </c>
      <c r="AE43" s="367">
        <v>181409</v>
      </c>
      <c r="AF43" s="367">
        <v>171645</v>
      </c>
      <c r="AG43" s="383">
        <v>163200</v>
      </c>
      <c r="AH43" s="383">
        <v>172950</v>
      </c>
    </row>
    <row r="44" spans="1:34" s="173" customFormat="1" ht="13.2">
      <c r="A44" s="179"/>
      <c r="B44" s="183" t="s">
        <v>146</v>
      </c>
      <c r="C44" s="184"/>
      <c r="D44" s="185"/>
      <c r="E44" s="185"/>
      <c r="F44" s="185"/>
      <c r="G44" s="185"/>
      <c r="H44" s="185"/>
      <c r="I44" s="185"/>
      <c r="J44" s="185"/>
      <c r="K44" s="211"/>
      <c r="L44" s="212"/>
      <c r="M44" s="212"/>
      <c r="N44" s="241">
        <v>446295</v>
      </c>
      <c r="O44" s="185">
        <v>470245</v>
      </c>
      <c r="P44" s="185">
        <v>470245</v>
      </c>
      <c r="Q44" s="240">
        <v>520864</v>
      </c>
      <c r="R44" s="305">
        <v>528756</v>
      </c>
      <c r="S44" s="179"/>
      <c r="T44" s="265" t="s">
        <v>146</v>
      </c>
      <c r="U44" s="307">
        <v>528756</v>
      </c>
      <c r="V44" s="211">
        <v>523040</v>
      </c>
      <c r="W44" s="308">
        <v>184295</v>
      </c>
      <c r="X44" s="308">
        <v>171178</v>
      </c>
      <c r="Y44" s="308">
        <v>161770</v>
      </c>
      <c r="Z44" s="363">
        <v>154378</v>
      </c>
      <c r="AA44" s="363">
        <v>151352</v>
      </c>
      <c r="AB44" s="367">
        <v>166878</v>
      </c>
      <c r="AC44" s="367">
        <v>174064</v>
      </c>
      <c r="AD44" s="367">
        <v>206957</v>
      </c>
      <c r="AE44" s="367">
        <v>252431</v>
      </c>
      <c r="AF44" s="367">
        <v>275070</v>
      </c>
      <c r="AG44" s="383">
        <v>290600</v>
      </c>
      <c r="AH44" s="383">
        <v>282237</v>
      </c>
    </row>
    <row r="45" spans="1:34" s="173" customFormat="1" ht="13.2">
      <c r="A45" s="179"/>
      <c r="B45" s="179" t="s">
        <v>156</v>
      </c>
      <c r="C45" s="184"/>
      <c r="D45" s="185"/>
      <c r="E45" s="185"/>
      <c r="F45" s="185"/>
      <c r="G45" s="185"/>
      <c r="H45" s="185"/>
      <c r="I45" s="185"/>
      <c r="J45" s="185"/>
      <c r="K45" s="211"/>
      <c r="L45" s="212"/>
      <c r="M45" s="212"/>
      <c r="N45" s="241"/>
      <c r="O45" s="185"/>
      <c r="P45" s="185"/>
      <c r="Q45" s="212" t="s">
        <v>254</v>
      </c>
      <c r="R45" s="264" t="s">
        <v>254</v>
      </c>
      <c r="S45" s="179"/>
      <c r="T45" s="281" t="s">
        <v>156</v>
      </c>
      <c r="U45" s="307"/>
      <c r="V45" s="267"/>
      <c r="W45" s="268" t="s">
        <v>254</v>
      </c>
      <c r="X45" s="268" t="s">
        <v>254</v>
      </c>
      <c r="Y45" s="268" t="s">
        <v>254</v>
      </c>
      <c r="Z45" s="340" t="s">
        <v>254</v>
      </c>
      <c r="AA45" s="363">
        <v>1431757</v>
      </c>
      <c r="AB45" s="367">
        <v>1968203</v>
      </c>
      <c r="AC45" s="367">
        <v>2218145</v>
      </c>
      <c r="AD45" s="367">
        <v>2360652</v>
      </c>
      <c r="AE45" s="367">
        <v>2650405</v>
      </c>
      <c r="AF45" s="367">
        <v>2728640</v>
      </c>
      <c r="AG45" s="383">
        <v>2739000</v>
      </c>
      <c r="AH45" s="383">
        <v>3009000</v>
      </c>
    </row>
    <row r="46" spans="1:34" s="39" customFormat="1" ht="13.2">
      <c r="A46" s="189"/>
      <c r="B46" s="189" t="s">
        <v>170</v>
      </c>
      <c r="C46" s="199">
        <v>290500</v>
      </c>
      <c r="D46" s="200">
        <v>267662</v>
      </c>
      <c r="E46" s="200">
        <v>362797</v>
      </c>
      <c r="F46" s="200">
        <v>362797</v>
      </c>
      <c r="G46" s="200">
        <v>547626</v>
      </c>
      <c r="H46" s="200" t="s">
        <v>254</v>
      </c>
      <c r="I46" s="227" t="s">
        <v>254</v>
      </c>
      <c r="J46" s="227" t="s">
        <v>254</v>
      </c>
      <c r="K46" s="228">
        <v>526606</v>
      </c>
      <c r="L46" s="244">
        <v>603773</v>
      </c>
      <c r="M46" s="244">
        <v>701301</v>
      </c>
      <c r="N46" s="250">
        <v>763493</v>
      </c>
      <c r="O46" s="227">
        <v>809070</v>
      </c>
      <c r="P46" s="227">
        <v>731399</v>
      </c>
      <c r="Q46" s="244">
        <v>721801</v>
      </c>
      <c r="R46" s="321">
        <v>662457</v>
      </c>
      <c r="S46" s="189"/>
      <c r="T46" s="290" t="s">
        <v>170</v>
      </c>
      <c r="U46" s="322">
        <v>662457</v>
      </c>
      <c r="V46" s="228">
        <v>603898</v>
      </c>
      <c r="W46" s="323">
        <v>595361</v>
      </c>
      <c r="X46" s="323">
        <v>610227</v>
      </c>
      <c r="Y46" s="323">
        <v>565811</v>
      </c>
      <c r="Z46" s="368">
        <v>549741</v>
      </c>
      <c r="AA46" s="368">
        <v>546286</v>
      </c>
      <c r="AB46" s="369">
        <v>546792</v>
      </c>
      <c r="AC46" s="369">
        <v>578138</v>
      </c>
      <c r="AD46" s="369">
        <v>602777</v>
      </c>
      <c r="AE46" s="369">
        <v>666206</v>
      </c>
      <c r="AF46" s="369">
        <v>715979</v>
      </c>
      <c r="AG46" s="384">
        <v>771398</v>
      </c>
      <c r="AH46" s="384">
        <v>826736</v>
      </c>
    </row>
    <row r="47" spans="1:34" s="39" customFormat="1" ht="13.2">
      <c r="A47" s="179" t="s">
        <v>462</v>
      </c>
      <c r="B47" s="179" t="s">
        <v>186</v>
      </c>
      <c r="C47" s="193" t="s">
        <v>266</v>
      </c>
      <c r="D47" s="194">
        <v>15.8</v>
      </c>
      <c r="E47" s="195">
        <v>18.3</v>
      </c>
      <c r="F47" s="195">
        <v>18.3</v>
      </c>
      <c r="G47" s="195">
        <v>20.7</v>
      </c>
      <c r="H47" s="201">
        <v>20.7</v>
      </c>
      <c r="I47" s="232">
        <v>23</v>
      </c>
      <c r="J47" s="232">
        <v>20.8</v>
      </c>
      <c r="K47" s="233" t="s">
        <v>245</v>
      </c>
      <c r="L47" s="245">
        <v>26.1</v>
      </c>
      <c r="M47" s="245">
        <v>23.8</v>
      </c>
      <c r="N47" s="251">
        <v>22.837139019476201</v>
      </c>
      <c r="O47" s="232">
        <v>19</v>
      </c>
      <c r="P47" s="232">
        <v>20.2</v>
      </c>
      <c r="Q47" s="245">
        <v>21.8</v>
      </c>
      <c r="R47" s="324">
        <v>25.1</v>
      </c>
      <c r="S47" s="179" t="s">
        <v>462</v>
      </c>
      <c r="T47" s="281" t="s">
        <v>186</v>
      </c>
      <c r="U47" s="325">
        <v>7.7</v>
      </c>
      <c r="V47" s="233">
        <v>9.1</v>
      </c>
      <c r="W47" s="326">
        <v>9.1999999999999993</v>
      </c>
      <c r="X47" s="326">
        <v>9.1</v>
      </c>
      <c r="Y47" s="326">
        <v>5.5</v>
      </c>
      <c r="Z47" s="370">
        <v>5.0999999999999996</v>
      </c>
      <c r="AA47" s="370">
        <v>4.8</v>
      </c>
      <c r="AB47" s="345">
        <v>6.5</v>
      </c>
      <c r="AC47" s="345">
        <v>4.0999999999999996</v>
      </c>
      <c r="AD47" s="345">
        <v>4.3</v>
      </c>
      <c r="AE47" s="346">
        <v>4.8</v>
      </c>
      <c r="AF47" s="346">
        <v>4.9000000000000004</v>
      </c>
      <c r="AG47" s="376">
        <v>5</v>
      </c>
      <c r="AH47" s="376">
        <v>5.5</v>
      </c>
    </row>
    <row r="48" spans="1:34" s="39" customFormat="1" ht="15.6">
      <c r="A48" s="179" t="s">
        <v>463</v>
      </c>
      <c r="B48" s="183" t="s">
        <v>129</v>
      </c>
      <c r="C48" s="196">
        <v>22</v>
      </c>
      <c r="D48" s="197">
        <v>21</v>
      </c>
      <c r="E48" s="197">
        <v>19</v>
      </c>
      <c r="F48" s="197">
        <v>19</v>
      </c>
      <c r="G48" s="197">
        <v>21.1</v>
      </c>
      <c r="H48" s="202">
        <v>22</v>
      </c>
      <c r="I48" s="234">
        <v>24</v>
      </c>
      <c r="J48" s="234">
        <v>25</v>
      </c>
      <c r="K48" s="235">
        <v>26</v>
      </c>
      <c r="L48" s="252">
        <v>25.8</v>
      </c>
      <c r="M48" s="252">
        <v>25.6</v>
      </c>
      <c r="N48" s="253">
        <v>26.7</v>
      </c>
      <c r="O48" s="234">
        <v>28.5</v>
      </c>
      <c r="P48" s="234">
        <v>29.1</v>
      </c>
      <c r="Q48" s="252">
        <v>28.7</v>
      </c>
      <c r="R48" s="327">
        <v>25.9</v>
      </c>
      <c r="S48" s="179" t="s">
        <v>464</v>
      </c>
      <c r="T48" s="265" t="s">
        <v>129</v>
      </c>
      <c r="U48" s="328">
        <v>25.9</v>
      </c>
      <c r="V48" s="235">
        <v>20.100000000000001</v>
      </c>
      <c r="W48" s="329">
        <v>14.1</v>
      </c>
      <c r="X48" s="329">
        <v>9.4</v>
      </c>
      <c r="Y48" s="329">
        <v>9.5</v>
      </c>
      <c r="Z48" s="371">
        <v>9.5</v>
      </c>
      <c r="AA48" s="371">
        <v>9.3000000000000007</v>
      </c>
      <c r="AB48" s="183">
        <v>9.3000000000000007</v>
      </c>
      <c r="AC48" s="183">
        <v>9.5</v>
      </c>
      <c r="AD48" s="183">
        <v>10.1</v>
      </c>
      <c r="AE48" s="346">
        <v>10.1</v>
      </c>
      <c r="AF48" s="346">
        <v>10.1</v>
      </c>
      <c r="AG48" s="377">
        <v>9.5</v>
      </c>
      <c r="AH48" s="377">
        <v>9.1</v>
      </c>
    </row>
    <row r="49" spans="1:34" s="173" customFormat="1" ht="13.2">
      <c r="A49" s="179"/>
      <c r="B49" s="183" t="s">
        <v>146</v>
      </c>
      <c r="C49" s="184"/>
      <c r="D49" s="185"/>
      <c r="E49" s="185"/>
      <c r="F49" s="185"/>
      <c r="G49" s="185"/>
      <c r="H49" s="185"/>
      <c r="I49" s="185"/>
      <c r="J49" s="185"/>
      <c r="K49" s="211"/>
      <c r="L49" s="212"/>
      <c r="M49" s="212"/>
      <c r="N49" s="213">
        <v>9.9</v>
      </c>
      <c r="O49" s="214">
        <v>12.1</v>
      </c>
      <c r="P49" s="214">
        <v>15.4</v>
      </c>
      <c r="Q49" s="212">
        <v>18.5</v>
      </c>
      <c r="R49" s="264">
        <v>16.8</v>
      </c>
      <c r="S49" s="179"/>
      <c r="T49" s="265" t="s">
        <v>146</v>
      </c>
      <c r="U49" s="266">
        <v>16.8</v>
      </c>
      <c r="V49" s="267">
        <v>14.8</v>
      </c>
      <c r="W49" s="268">
        <v>13.2</v>
      </c>
      <c r="X49" s="268">
        <v>11</v>
      </c>
      <c r="Y49" s="268">
        <v>10</v>
      </c>
      <c r="Z49" s="340">
        <v>10.6</v>
      </c>
      <c r="AA49" s="340">
        <v>10.4</v>
      </c>
      <c r="AB49" s="183">
        <v>10.3</v>
      </c>
      <c r="AC49" s="183">
        <v>10.8</v>
      </c>
      <c r="AD49" s="183">
        <v>11.1</v>
      </c>
      <c r="AE49" s="346">
        <v>12.2</v>
      </c>
      <c r="AF49" s="346">
        <v>14.3</v>
      </c>
      <c r="AG49" s="377">
        <v>16.100000000000001</v>
      </c>
      <c r="AH49" s="377">
        <v>16.100000000000001</v>
      </c>
    </row>
    <row r="50" spans="1:34" s="173" customFormat="1" ht="13.2">
      <c r="A50" s="179"/>
      <c r="B50" s="179" t="s">
        <v>156</v>
      </c>
      <c r="C50" s="184"/>
      <c r="D50" s="185"/>
      <c r="E50" s="185"/>
      <c r="F50" s="185"/>
      <c r="G50" s="185"/>
      <c r="H50" s="185"/>
      <c r="I50" s="185"/>
      <c r="J50" s="185"/>
      <c r="K50" s="211"/>
      <c r="L50" s="212"/>
      <c r="M50" s="212"/>
      <c r="N50" s="213"/>
      <c r="O50" s="214"/>
      <c r="P50" s="214"/>
      <c r="Q50" s="212">
        <v>11.6</v>
      </c>
      <c r="R50" s="264">
        <v>11.4</v>
      </c>
      <c r="S50" s="179"/>
      <c r="T50" s="330" t="s">
        <v>156</v>
      </c>
      <c r="U50" s="266">
        <v>11.4</v>
      </c>
      <c r="V50" s="267">
        <v>11.5</v>
      </c>
      <c r="W50" s="268">
        <v>10.9</v>
      </c>
      <c r="X50" s="268">
        <v>12.5</v>
      </c>
      <c r="Y50" s="268">
        <v>12.8</v>
      </c>
      <c r="Z50" s="340">
        <v>16.899999999999999</v>
      </c>
      <c r="AA50" s="340">
        <v>14.4</v>
      </c>
      <c r="AB50" s="183">
        <v>15.4</v>
      </c>
      <c r="AC50" s="183">
        <v>14.9</v>
      </c>
      <c r="AD50" s="183">
        <v>14.4</v>
      </c>
      <c r="AE50" s="346">
        <v>12.5</v>
      </c>
      <c r="AF50" s="346">
        <v>13</v>
      </c>
      <c r="AG50" s="377">
        <v>13.2</v>
      </c>
      <c r="AH50" s="377">
        <v>13.4</v>
      </c>
    </row>
    <row r="51" spans="1:34" s="39" customFormat="1" ht="13.2">
      <c r="A51" s="189"/>
      <c r="B51" s="189" t="s">
        <v>170</v>
      </c>
      <c r="C51" s="199" t="s">
        <v>266</v>
      </c>
      <c r="D51" s="200">
        <v>10.4</v>
      </c>
      <c r="E51" s="200">
        <v>12.6</v>
      </c>
      <c r="F51" s="200">
        <v>12.6</v>
      </c>
      <c r="G51" s="200">
        <v>13</v>
      </c>
      <c r="H51" s="203">
        <v>14.4</v>
      </c>
      <c r="I51" s="238">
        <v>16.600000000000001</v>
      </c>
      <c r="J51" s="238">
        <v>18.3</v>
      </c>
      <c r="K51" s="239">
        <v>20.7</v>
      </c>
      <c r="L51" s="254">
        <v>21.8</v>
      </c>
      <c r="M51" s="254">
        <v>23.4</v>
      </c>
      <c r="N51" s="255">
        <v>24.9</v>
      </c>
      <c r="O51" s="238">
        <v>25.7</v>
      </c>
      <c r="P51" s="238">
        <v>25.9</v>
      </c>
      <c r="Q51" s="254">
        <v>24.4</v>
      </c>
      <c r="R51" s="331">
        <v>23.6</v>
      </c>
      <c r="S51" s="189"/>
      <c r="T51" s="290" t="s">
        <v>170</v>
      </c>
      <c r="U51" s="332">
        <v>23.6</v>
      </c>
      <c r="V51" s="239">
        <v>19.600000000000001</v>
      </c>
      <c r="W51" s="333">
        <v>17.399999999999999</v>
      </c>
      <c r="X51" s="333">
        <v>18.100000000000001</v>
      </c>
      <c r="Y51" s="333">
        <v>16.399999999999999</v>
      </c>
      <c r="Z51" s="372">
        <v>15.7</v>
      </c>
      <c r="AA51" s="372">
        <v>15.7</v>
      </c>
      <c r="AB51" s="190">
        <v>13.5</v>
      </c>
      <c r="AC51" s="190">
        <v>13.3</v>
      </c>
      <c r="AD51" s="358" t="s">
        <v>465</v>
      </c>
      <c r="AE51" s="373" t="s">
        <v>465</v>
      </c>
      <c r="AF51" s="373" t="s">
        <v>254</v>
      </c>
      <c r="AG51" s="373" t="s">
        <v>254</v>
      </c>
      <c r="AH51" s="373">
        <v>20.3</v>
      </c>
    </row>
    <row r="52" spans="1:34" s="39" customFormat="1" ht="13.2">
      <c r="A52" s="179" t="s">
        <v>466</v>
      </c>
      <c r="B52" s="179" t="s">
        <v>186</v>
      </c>
      <c r="C52" s="193">
        <v>24.4</v>
      </c>
      <c r="D52" s="194">
        <v>29.3</v>
      </c>
      <c r="E52" s="195">
        <v>32.799999999999997</v>
      </c>
      <c r="F52" s="195">
        <v>39</v>
      </c>
      <c r="G52" s="195">
        <v>50.1</v>
      </c>
      <c r="H52" s="201">
        <v>46.1</v>
      </c>
      <c r="I52" s="232">
        <v>27.7</v>
      </c>
      <c r="J52" s="232">
        <v>37.700000000000003</v>
      </c>
      <c r="K52" s="233">
        <v>41.4</v>
      </c>
      <c r="L52" s="245">
        <v>40.6</v>
      </c>
      <c r="M52" s="245">
        <v>43.9</v>
      </c>
      <c r="N52" s="251">
        <v>42.8</v>
      </c>
      <c r="O52" s="232">
        <v>46.9</v>
      </c>
      <c r="P52" s="232">
        <v>41.7</v>
      </c>
      <c r="Q52" s="245">
        <v>39.1</v>
      </c>
      <c r="R52" s="324">
        <v>40.5</v>
      </c>
      <c r="S52" s="179" t="s">
        <v>466</v>
      </c>
      <c r="T52" s="281" t="s">
        <v>186</v>
      </c>
      <c r="U52" s="325">
        <v>36.729999999999997</v>
      </c>
      <c r="V52" s="233">
        <v>36.200000000000003</v>
      </c>
      <c r="W52" s="326">
        <v>36.1</v>
      </c>
      <c r="X52" s="326">
        <v>22.8</v>
      </c>
      <c r="Y52" s="326">
        <v>26.9</v>
      </c>
      <c r="Z52" s="370">
        <v>26.5</v>
      </c>
      <c r="AA52" s="370">
        <v>24.94</v>
      </c>
      <c r="AB52" s="345">
        <v>31.8</v>
      </c>
      <c r="AC52" s="345">
        <v>26.1</v>
      </c>
      <c r="AD52" s="345">
        <v>23.7</v>
      </c>
      <c r="AE52" s="346">
        <v>23</v>
      </c>
      <c r="AF52" s="346">
        <v>24.3</v>
      </c>
      <c r="AG52" s="376">
        <v>24.9</v>
      </c>
      <c r="AH52" s="376">
        <v>24.9</v>
      </c>
    </row>
    <row r="53" spans="1:34" s="39" customFormat="1" ht="13.2">
      <c r="A53" s="179" t="s">
        <v>467</v>
      </c>
      <c r="B53" s="183" t="s">
        <v>129</v>
      </c>
      <c r="C53" s="196" t="s">
        <v>266</v>
      </c>
      <c r="D53" s="197" t="s">
        <v>266</v>
      </c>
      <c r="E53" s="197" t="s">
        <v>266</v>
      </c>
      <c r="F53" s="197" t="s">
        <v>266</v>
      </c>
      <c r="G53" s="197">
        <v>26.9</v>
      </c>
      <c r="H53" s="202">
        <v>27.7</v>
      </c>
      <c r="I53" s="234">
        <v>28.7</v>
      </c>
      <c r="J53" s="234">
        <v>31.1</v>
      </c>
      <c r="K53" s="235">
        <v>31.6</v>
      </c>
      <c r="L53" s="252">
        <v>31.8</v>
      </c>
      <c r="M53" s="252">
        <v>31.8</v>
      </c>
      <c r="N53" s="253">
        <v>32.4</v>
      </c>
      <c r="O53" s="234">
        <v>33.9</v>
      </c>
      <c r="P53" s="234">
        <v>35.299999999999997</v>
      </c>
      <c r="Q53" s="252">
        <v>35.299999999999997</v>
      </c>
      <c r="R53" s="327">
        <v>34</v>
      </c>
      <c r="S53" s="179" t="s">
        <v>467</v>
      </c>
      <c r="T53" s="265" t="s">
        <v>129</v>
      </c>
      <c r="U53" s="328">
        <v>34</v>
      </c>
      <c r="V53" s="235">
        <v>29.6</v>
      </c>
      <c r="W53" s="329">
        <v>23.4</v>
      </c>
      <c r="X53" s="329">
        <v>15.2</v>
      </c>
      <c r="Y53" s="329">
        <v>16.5</v>
      </c>
      <c r="Z53" s="371">
        <v>14.6</v>
      </c>
      <c r="AA53" s="371">
        <v>14.1</v>
      </c>
      <c r="AB53" s="183">
        <v>14.1</v>
      </c>
      <c r="AC53" s="183">
        <v>14.3</v>
      </c>
      <c r="AD53" s="183">
        <v>14.8</v>
      </c>
      <c r="AE53" s="346">
        <v>15.3</v>
      </c>
      <c r="AF53" s="346">
        <v>14.9</v>
      </c>
      <c r="AG53" s="377">
        <v>14</v>
      </c>
      <c r="AH53" s="377">
        <v>12.9</v>
      </c>
    </row>
    <row r="54" spans="1:34" s="173" customFormat="1" ht="15.6">
      <c r="A54" s="179" t="s">
        <v>468</v>
      </c>
      <c r="B54" s="183" t="s">
        <v>146</v>
      </c>
      <c r="C54" s="184"/>
      <c r="D54" s="185"/>
      <c r="E54" s="185"/>
      <c r="F54" s="185"/>
      <c r="G54" s="185"/>
      <c r="H54" s="185"/>
      <c r="I54" s="185"/>
      <c r="J54" s="185"/>
      <c r="K54" s="211"/>
      <c r="L54" s="212"/>
      <c r="M54" s="212"/>
      <c r="N54" s="213">
        <v>15.8</v>
      </c>
      <c r="O54" s="214">
        <v>17.399999999999999</v>
      </c>
      <c r="P54" s="214">
        <v>22.2</v>
      </c>
      <c r="Q54" s="212">
        <v>24.6</v>
      </c>
      <c r="R54" s="264">
        <v>22.8</v>
      </c>
      <c r="S54" s="179" t="s">
        <v>455</v>
      </c>
      <c r="T54" s="265" t="s">
        <v>146</v>
      </c>
      <c r="U54" s="328">
        <v>22.8</v>
      </c>
      <c r="V54" s="235">
        <v>21.6</v>
      </c>
      <c r="W54" s="268">
        <v>19.100000000000001</v>
      </c>
      <c r="X54" s="268">
        <v>16.7</v>
      </c>
      <c r="Y54" s="268">
        <v>16.100000000000001</v>
      </c>
      <c r="Z54" s="340">
        <v>16.2</v>
      </c>
      <c r="AA54" s="340">
        <v>15.9</v>
      </c>
      <c r="AB54" s="183">
        <v>15.8</v>
      </c>
      <c r="AC54" s="183">
        <v>15.6</v>
      </c>
      <c r="AD54" s="183">
        <v>15.8</v>
      </c>
      <c r="AE54" s="346">
        <v>16</v>
      </c>
      <c r="AF54" s="346">
        <v>18.399999999999999</v>
      </c>
      <c r="AG54" s="377">
        <v>20.100000000000001</v>
      </c>
      <c r="AH54" s="377">
        <v>23.1</v>
      </c>
    </row>
    <row r="55" spans="1:34" s="173" customFormat="1" ht="13.2">
      <c r="A55" s="179"/>
      <c r="B55" s="179" t="s">
        <v>156</v>
      </c>
      <c r="C55" s="184"/>
      <c r="D55" s="185"/>
      <c r="E55" s="185"/>
      <c r="F55" s="185"/>
      <c r="G55" s="185"/>
      <c r="H55" s="185"/>
      <c r="I55" s="185"/>
      <c r="J55" s="185"/>
      <c r="K55" s="211"/>
      <c r="L55" s="212"/>
      <c r="M55" s="212"/>
      <c r="N55" s="213"/>
      <c r="O55" s="214"/>
      <c r="P55" s="214"/>
      <c r="Q55" s="212">
        <v>24.2</v>
      </c>
      <c r="R55" s="264">
        <v>22.9</v>
      </c>
      <c r="S55" s="179"/>
      <c r="T55" s="281" t="s">
        <v>156</v>
      </c>
      <c r="U55" s="328">
        <v>22.9</v>
      </c>
      <c r="V55" s="235">
        <v>22.6</v>
      </c>
      <c r="W55" s="268">
        <v>22.2</v>
      </c>
      <c r="X55" s="268">
        <v>21.8</v>
      </c>
      <c r="Y55" s="268">
        <v>21.9</v>
      </c>
      <c r="Z55" s="340">
        <v>22</v>
      </c>
      <c r="AA55" s="340">
        <v>22</v>
      </c>
      <c r="AB55" s="183">
        <v>22.5</v>
      </c>
      <c r="AC55" s="183">
        <v>22.2</v>
      </c>
      <c r="AD55" s="183">
        <v>20</v>
      </c>
      <c r="AE55" s="346">
        <v>18.5</v>
      </c>
      <c r="AF55" s="346">
        <v>16.5</v>
      </c>
      <c r="AG55" s="377">
        <v>16</v>
      </c>
      <c r="AH55" s="377">
        <v>15.5</v>
      </c>
    </row>
    <row r="56" spans="1:34" s="39" customFormat="1" ht="13.2">
      <c r="A56" s="189"/>
      <c r="B56" s="189" t="s">
        <v>170</v>
      </c>
      <c r="C56" s="199">
        <v>21.5</v>
      </c>
      <c r="D56" s="200">
        <v>22.9</v>
      </c>
      <c r="E56" s="200">
        <v>24.4</v>
      </c>
      <c r="F56" s="200">
        <v>24.4</v>
      </c>
      <c r="G56" s="200">
        <v>24.7</v>
      </c>
      <c r="H56" s="203">
        <v>24.7</v>
      </c>
      <c r="I56" s="238">
        <v>24.8</v>
      </c>
      <c r="J56" s="238">
        <v>26.7</v>
      </c>
      <c r="K56" s="239">
        <v>26.8</v>
      </c>
      <c r="L56" s="254">
        <v>30.6</v>
      </c>
      <c r="M56" s="254">
        <v>31.3</v>
      </c>
      <c r="N56" s="255">
        <v>32</v>
      </c>
      <c r="O56" s="238">
        <v>33.5</v>
      </c>
      <c r="P56" s="238">
        <v>34.799999999999997</v>
      </c>
      <c r="Q56" s="254">
        <v>34.9</v>
      </c>
      <c r="R56" s="331">
        <v>33.799999999999997</v>
      </c>
      <c r="S56" s="189"/>
      <c r="T56" s="290" t="s">
        <v>170</v>
      </c>
      <c r="U56" s="332">
        <v>33.799999999999997</v>
      </c>
      <c r="V56" s="239">
        <v>31.7</v>
      </c>
      <c r="W56" s="333">
        <v>28.6</v>
      </c>
      <c r="X56" s="333">
        <v>27</v>
      </c>
      <c r="Y56" s="333">
        <v>26.3</v>
      </c>
      <c r="Z56" s="372">
        <v>25.6</v>
      </c>
      <c r="AA56" s="372">
        <v>24.2</v>
      </c>
      <c r="AB56" s="190">
        <v>21.7</v>
      </c>
      <c r="AC56" s="190">
        <v>21.8</v>
      </c>
      <c r="AD56" s="358" t="s">
        <v>465</v>
      </c>
      <c r="AE56" s="373" t="s">
        <v>465</v>
      </c>
      <c r="AF56" s="373" t="s">
        <v>254</v>
      </c>
      <c r="AG56" s="373" t="s">
        <v>254</v>
      </c>
      <c r="AH56" s="373">
        <v>26.1</v>
      </c>
    </row>
    <row r="57" spans="1:34" s="39" customFormat="1" ht="13.2">
      <c r="A57" s="179" t="s">
        <v>452</v>
      </c>
      <c r="B57" s="179" t="s">
        <v>186</v>
      </c>
      <c r="C57" s="193">
        <v>3720</v>
      </c>
      <c r="D57" s="194">
        <v>3730</v>
      </c>
      <c r="E57" s="195">
        <v>3270</v>
      </c>
      <c r="F57" s="195">
        <v>3030</v>
      </c>
      <c r="G57" s="195">
        <v>2470</v>
      </c>
      <c r="H57" s="195">
        <v>1360</v>
      </c>
      <c r="I57" s="194">
        <v>1250</v>
      </c>
      <c r="J57" s="194">
        <v>1630</v>
      </c>
      <c r="K57" s="223">
        <v>2403</v>
      </c>
      <c r="L57" s="242">
        <v>2403</v>
      </c>
      <c r="M57" s="242">
        <v>5294</v>
      </c>
      <c r="N57" s="243">
        <v>5822</v>
      </c>
      <c r="O57" s="194">
        <v>5885</v>
      </c>
      <c r="P57" s="194">
        <v>5659</v>
      </c>
      <c r="Q57" s="242">
        <v>5398</v>
      </c>
      <c r="R57" s="301">
        <v>5204</v>
      </c>
      <c r="S57" s="302"/>
      <c r="T57" s="198"/>
      <c r="U57" s="303">
        <v>5204</v>
      </c>
      <c r="V57" s="223">
        <v>5029</v>
      </c>
      <c r="W57" s="304">
        <v>5029</v>
      </c>
      <c r="X57" s="268" t="s">
        <v>245</v>
      </c>
      <c r="Y57" s="268" t="s">
        <v>245</v>
      </c>
      <c r="Z57" s="340" t="s">
        <v>245</v>
      </c>
      <c r="AA57" s="340" t="s">
        <v>245</v>
      </c>
      <c r="AB57" s="374"/>
      <c r="AC57" s="374"/>
      <c r="AD57" s="374"/>
      <c r="AE57" s="374"/>
      <c r="AF57" s="375"/>
      <c r="AG57" s="180"/>
      <c r="AH57" s="180"/>
    </row>
    <row r="58" spans="1:34" s="39" customFormat="1" ht="13.2">
      <c r="A58" s="179" t="s">
        <v>469</v>
      </c>
      <c r="B58" s="183" t="s">
        <v>129</v>
      </c>
      <c r="C58" s="196" t="s">
        <v>266</v>
      </c>
      <c r="D58" s="197" t="s">
        <v>266</v>
      </c>
      <c r="E58" s="197" t="s">
        <v>266</v>
      </c>
      <c r="F58" s="197" t="s">
        <v>254</v>
      </c>
      <c r="G58" s="197" t="s">
        <v>254</v>
      </c>
      <c r="H58" s="197" t="s">
        <v>254</v>
      </c>
      <c r="I58" s="185" t="s">
        <v>254</v>
      </c>
      <c r="J58" s="185" t="s">
        <v>254</v>
      </c>
      <c r="K58" s="211" t="s">
        <v>254</v>
      </c>
      <c r="L58" s="240" t="s">
        <v>254</v>
      </c>
      <c r="M58" s="240" t="s">
        <v>254</v>
      </c>
      <c r="N58" s="213" t="s">
        <v>245</v>
      </c>
      <c r="O58" s="214" t="s">
        <v>245</v>
      </c>
      <c r="P58" s="214" t="s">
        <v>245</v>
      </c>
      <c r="Q58" s="212" t="s">
        <v>245</v>
      </c>
      <c r="R58" s="264" t="s">
        <v>245</v>
      </c>
      <c r="S58" s="309"/>
      <c r="T58" s="310"/>
      <c r="U58" s="266"/>
      <c r="V58" s="267" t="s">
        <v>245</v>
      </c>
      <c r="W58" s="268" t="s">
        <v>245</v>
      </c>
      <c r="X58" s="268" t="s">
        <v>245</v>
      </c>
      <c r="Y58" s="268" t="s">
        <v>245</v>
      </c>
      <c r="Z58" s="340" t="s">
        <v>245</v>
      </c>
      <c r="AA58" s="340" t="s">
        <v>245</v>
      </c>
      <c r="AB58" s="340"/>
      <c r="AC58" s="340"/>
      <c r="AD58" s="340"/>
      <c r="AE58" s="340"/>
      <c r="AF58" s="309"/>
      <c r="AG58" s="183"/>
      <c r="AH58" s="183"/>
    </row>
    <row r="59" spans="1:34" s="173" customFormat="1" ht="13.2">
      <c r="A59" s="179"/>
      <c r="B59" s="183" t="s">
        <v>146</v>
      </c>
      <c r="C59" s="184"/>
      <c r="D59" s="185"/>
      <c r="E59" s="185"/>
      <c r="F59" s="185"/>
      <c r="G59" s="185"/>
      <c r="H59" s="185"/>
      <c r="I59" s="185"/>
      <c r="J59" s="185"/>
      <c r="K59" s="211"/>
      <c r="L59" s="212"/>
      <c r="M59" s="212"/>
      <c r="N59" s="213" t="s">
        <v>245</v>
      </c>
      <c r="O59" s="214" t="s">
        <v>245</v>
      </c>
      <c r="P59" s="214" t="s">
        <v>245</v>
      </c>
      <c r="Q59" s="212" t="s">
        <v>245</v>
      </c>
      <c r="R59" s="264" t="s">
        <v>245</v>
      </c>
      <c r="S59" s="309"/>
      <c r="T59" s="310"/>
      <c r="U59" s="266"/>
      <c r="V59" s="267" t="s">
        <v>245</v>
      </c>
      <c r="W59" s="268" t="s">
        <v>245</v>
      </c>
      <c r="X59" s="268" t="s">
        <v>245</v>
      </c>
      <c r="Y59" s="268" t="s">
        <v>245</v>
      </c>
      <c r="Z59" s="340" t="s">
        <v>245</v>
      </c>
      <c r="AA59" s="340" t="s">
        <v>245</v>
      </c>
      <c r="AB59" s="340"/>
      <c r="AC59" s="340"/>
      <c r="AD59" s="340"/>
      <c r="AE59" s="340"/>
      <c r="AF59" s="309"/>
      <c r="AG59" s="385"/>
      <c r="AH59" s="385"/>
    </row>
    <row r="60" spans="1:34" s="173" customFormat="1" ht="13.2">
      <c r="A60" s="179"/>
      <c r="B60" s="179" t="s">
        <v>156</v>
      </c>
      <c r="C60" s="184"/>
      <c r="D60" s="185"/>
      <c r="E60" s="185"/>
      <c r="F60" s="185"/>
      <c r="G60" s="185"/>
      <c r="H60" s="185"/>
      <c r="I60" s="185"/>
      <c r="J60" s="185"/>
      <c r="K60" s="211"/>
      <c r="L60" s="212"/>
      <c r="M60" s="212"/>
      <c r="N60" s="213"/>
      <c r="O60" s="214"/>
      <c r="P60" s="214"/>
      <c r="Q60" s="212" t="s">
        <v>245</v>
      </c>
      <c r="R60" s="264" t="s">
        <v>245</v>
      </c>
      <c r="S60" s="309"/>
      <c r="T60" s="310"/>
      <c r="U60" s="266"/>
      <c r="V60" s="267" t="s">
        <v>245</v>
      </c>
      <c r="W60" s="268" t="s">
        <v>245</v>
      </c>
      <c r="X60" s="268" t="s">
        <v>245</v>
      </c>
      <c r="Y60" s="268" t="s">
        <v>245</v>
      </c>
      <c r="Z60" s="340" t="s">
        <v>245</v>
      </c>
      <c r="AA60" s="340" t="s">
        <v>245</v>
      </c>
      <c r="AB60" s="340"/>
      <c r="AC60" s="340"/>
      <c r="AD60" s="340"/>
      <c r="AE60" s="340"/>
      <c r="AF60" s="309"/>
      <c r="AG60" s="385"/>
      <c r="AH60" s="385"/>
    </row>
    <row r="61" spans="1:34" s="39" customFormat="1" ht="13.2">
      <c r="A61" s="189"/>
      <c r="B61" s="189" t="s">
        <v>170</v>
      </c>
      <c r="C61" s="199" t="s">
        <v>266</v>
      </c>
      <c r="D61" s="200" t="s">
        <v>266</v>
      </c>
      <c r="E61" s="200" t="s">
        <v>266</v>
      </c>
      <c r="F61" s="200" t="s">
        <v>449</v>
      </c>
      <c r="G61" s="200" t="s">
        <v>449</v>
      </c>
      <c r="H61" s="200" t="s">
        <v>449</v>
      </c>
      <c r="I61" s="227" t="s">
        <v>449</v>
      </c>
      <c r="J61" s="227" t="s">
        <v>449</v>
      </c>
      <c r="K61" s="228" t="s">
        <v>449</v>
      </c>
      <c r="L61" s="244" t="s">
        <v>449</v>
      </c>
      <c r="M61" s="244" t="s">
        <v>449</v>
      </c>
      <c r="N61" s="250" t="s">
        <v>449</v>
      </c>
      <c r="O61" s="227" t="s">
        <v>245</v>
      </c>
      <c r="P61" s="227" t="s">
        <v>245</v>
      </c>
      <c r="Q61" s="244" t="s">
        <v>245</v>
      </c>
      <c r="R61" s="321" t="s">
        <v>245</v>
      </c>
      <c r="S61" s="334"/>
      <c r="T61" s="335"/>
      <c r="U61" s="322"/>
      <c r="V61" s="228" t="s">
        <v>245</v>
      </c>
      <c r="W61" s="323" t="s">
        <v>245</v>
      </c>
      <c r="X61" s="323" t="s">
        <v>245</v>
      </c>
      <c r="Y61" s="323" t="s">
        <v>245</v>
      </c>
      <c r="Z61" s="368" t="s">
        <v>245</v>
      </c>
      <c r="AA61" s="368" t="s">
        <v>245</v>
      </c>
      <c r="AB61" s="368"/>
      <c r="AC61" s="368"/>
      <c r="AD61" s="368"/>
      <c r="AE61" s="368"/>
      <c r="AF61" s="334"/>
      <c r="AG61" s="190"/>
      <c r="AH61" s="190"/>
    </row>
    <row r="62" spans="1:34" s="39" customFormat="1" ht="13.2">
      <c r="A62" s="179" t="s">
        <v>470</v>
      </c>
      <c r="B62" s="179" t="s">
        <v>186</v>
      </c>
      <c r="C62" s="193">
        <v>16.899999999999999</v>
      </c>
      <c r="D62" s="195">
        <v>17.899999999999999</v>
      </c>
      <c r="E62" s="195">
        <v>14.2</v>
      </c>
      <c r="F62" s="195">
        <v>14.1</v>
      </c>
      <c r="G62" s="195">
        <v>11.6</v>
      </c>
      <c r="H62" s="201">
        <v>6.6</v>
      </c>
      <c r="I62" s="232">
        <v>6.6</v>
      </c>
      <c r="J62" s="232">
        <v>8.8000000000000007</v>
      </c>
      <c r="K62" s="233">
        <v>11.8</v>
      </c>
      <c r="L62" s="245">
        <v>4.8</v>
      </c>
      <c r="M62" s="245">
        <v>16.659574468085101</v>
      </c>
      <c r="N62" s="251">
        <v>26.4</v>
      </c>
      <c r="O62" s="232">
        <v>23.9</v>
      </c>
      <c r="P62" s="232">
        <v>22.6</v>
      </c>
      <c r="Q62" s="245">
        <v>21.4</v>
      </c>
      <c r="R62" s="324">
        <v>20.399999999999999</v>
      </c>
      <c r="S62" s="336"/>
      <c r="T62" s="337"/>
      <c r="U62" s="325" t="s">
        <v>471</v>
      </c>
      <c r="V62" s="233">
        <v>19.399999999999999</v>
      </c>
      <c r="W62" s="326" t="s">
        <v>245</v>
      </c>
      <c r="X62" s="268" t="s">
        <v>245</v>
      </c>
      <c r="Y62" s="268" t="s">
        <v>245</v>
      </c>
      <c r="Z62" s="340" t="s">
        <v>245</v>
      </c>
      <c r="AA62" s="340" t="s">
        <v>245</v>
      </c>
      <c r="AB62" s="340"/>
      <c r="AC62" s="340"/>
      <c r="AD62" s="340"/>
      <c r="AE62" s="340"/>
      <c r="AF62" s="309"/>
      <c r="AG62" s="180"/>
      <c r="AH62" s="180"/>
    </row>
    <row r="63" spans="1:34" s="39" customFormat="1" ht="13.2">
      <c r="A63" s="179" t="s">
        <v>472</v>
      </c>
      <c r="B63" s="183" t="s">
        <v>129</v>
      </c>
      <c r="C63" s="196" t="s">
        <v>266</v>
      </c>
      <c r="D63" s="197" t="s">
        <v>266</v>
      </c>
      <c r="E63" s="197" t="s">
        <v>266</v>
      </c>
      <c r="F63" s="197" t="s">
        <v>254</v>
      </c>
      <c r="G63" s="197" t="s">
        <v>254</v>
      </c>
      <c r="H63" s="197" t="s">
        <v>254</v>
      </c>
      <c r="I63" s="185" t="s">
        <v>254</v>
      </c>
      <c r="J63" s="185" t="s">
        <v>254</v>
      </c>
      <c r="K63" s="211" t="s">
        <v>254</v>
      </c>
      <c r="L63" s="240" t="s">
        <v>254</v>
      </c>
      <c r="M63" s="240" t="s">
        <v>254</v>
      </c>
      <c r="N63" s="213" t="s">
        <v>245</v>
      </c>
      <c r="O63" s="214" t="s">
        <v>245</v>
      </c>
      <c r="P63" s="214" t="s">
        <v>245</v>
      </c>
      <c r="Q63" s="212" t="s">
        <v>245</v>
      </c>
      <c r="R63" s="264" t="s">
        <v>245</v>
      </c>
      <c r="S63" s="309"/>
      <c r="T63" s="310"/>
      <c r="U63" s="266"/>
      <c r="V63" s="267" t="s">
        <v>245</v>
      </c>
      <c r="W63" s="268" t="s">
        <v>245</v>
      </c>
      <c r="X63" s="268" t="s">
        <v>245</v>
      </c>
      <c r="Y63" s="268" t="s">
        <v>245</v>
      </c>
      <c r="Z63" s="340" t="s">
        <v>245</v>
      </c>
      <c r="AA63" s="340" t="s">
        <v>245</v>
      </c>
      <c r="AB63" s="340"/>
      <c r="AC63" s="340"/>
      <c r="AD63" s="340"/>
      <c r="AE63" s="340"/>
      <c r="AF63" s="309"/>
      <c r="AG63" s="183"/>
      <c r="AH63" s="183"/>
    </row>
    <row r="64" spans="1:34" s="173" customFormat="1" ht="13.2">
      <c r="A64" s="179"/>
      <c r="B64" s="183" t="s">
        <v>146</v>
      </c>
      <c r="C64" s="184"/>
      <c r="D64" s="185"/>
      <c r="E64" s="185"/>
      <c r="F64" s="185"/>
      <c r="G64" s="185"/>
      <c r="H64" s="185"/>
      <c r="I64" s="185"/>
      <c r="J64" s="185"/>
      <c r="K64" s="211"/>
      <c r="L64" s="212"/>
      <c r="M64" s="212"/>
      <c r="N64" s="213" t="s">
        <v>245</v>
      </c>
      <c r="O64" s="214" t="s">
        <v>245</v>
      </c>
      <c r="P64" s="214" t="s">
        <v>245</v>
      </c>
      <c r="Q64" s="212" t="s">
        <v>245</v>
      </c>
      <c r="R64" s="264" t="s">
        <v>245</v>
      </c>
      <c r="S64" s="309"/>
      <c r="T64" s="310"/>
      <c r="U64" s="266"/>
      <c r="V64" s="267" t="s">
        <v>245</v>
      </c>
      <c r="W64" s="268" t="s">
        <v>245</v>
      </c>
      <c r="X64" s="268" t="s">
        <v>245</v>
      </c>
      <c r="Y64" s="268" t="s">
        <v>245</v>
      </c>
      <c r="Z64" s="340" t="s">
        <v>245</v>
      </c>
      <c r="AA64" s="340" t="s">
        <v>245</v>
      </c>
      <c r="AB64" s="340"/>
      <c r="AC64" s="340"/>
      <c r="AD64" s="340"/>
      <c r="AE64" s="340"/>
      <c r="AF64" s="309"/>
      <c r="AG64" s="385"/>
      <c r="AH64" s="385"/>
    </row>
    <row r="65" spans="1:34" s="173" customFormat="1" ht="13.2">
      <c r="A65" s="179"/>
      <c r="B65" s="179" t="s">
        <v>156</v>
      </c>
      <c r="C65" s="184"/>
      <c r="D65" s="185"/>
      <c r="E65" s="185"/>
      <c r="F65" s="185"/>
      <c r="G65" s="185"/>
      <c r="H65" s="185"/>
      <c r="I65" s="185"/>
      <c r="J65" s="185"/>
      <c r="K65" s="211"/>
      <c r="L65" s="212"/>
      <c r="M65" s="212"/>
      <c r="N65" s="213"/>
      <c r="O65" s="214"/>
      <c r="P65" s="214"/>
      <c r="Q65" s="212" t="s">
        <v>245</v>
      </c>
      <c r="R65" s="264" t="s">
        <v>245</v>
      </c>
      <c r="S65" s="309"/>
      <c r="T65" s="310"/>
      <c r="U65" s="266"/>
      <c r="V65" s="267" t="s">
        <v>245</v>
      </c>
      <c r="W65" s="268" t="s">
        <v>245</v>
      </c>
      <c r="X65" s="268" t="s">
        <v>245</v>
      </c>
      <c r="Y65" s="268" t="s">
        <v>245</v>
      </c>
      <c r="Z65" s="340" t="s">
        <v>245</v>
      </c>
      <c r="AA65" s="340" t="s">
        <v>245</v>
      </c>
      <c r="AB65" s="340"/>
      <c r="AC65" s="340"/>
      <c r="AD65" s="340"/>
      <c r="AE65" s="340"/>
      <c r="AF65" s="309"/>
      <c r="AG65" s="385"/>
      <c r="AH65" s="385"/>
    </row>
    <row r="66" spans="1:34" s="39" customFormat="1" ht="13.2">
      <c r="A66" s="189"/>
      <c r="B66" s="189" t="s">
        <v>170</v>
      </c>
      <c r="C66" s="199" t="s">
        <v>266</v>
      </c>
      <c r="D66" s="200" t="s">
        <v>449</v>
      </c>
      <c r="E66" s="200" t="s">
        <v>449</v>
      </c>
      <c r="F66" s="200" t="s">
        <v>449</v>
      </c>
      <c r="G66" s="200" t="s">
        <v>449</v>
      </c>
      <c r="H66" s="200" t="s">
        <v>449</v>
      </c>
      <c r="I66" s="200" t="s">
        <v>449</v>
      </c>
      <c r="J66" s="200" t="s">
        <v>449</v>
      </c>
      <c r="K66" s="200" t="s">
        <v>449</v>
      </c>
      <c r="L66" s="200" t="s">
        <v>449</v>
      </c>
      <c r="M66" s="398" t="s">
        <v>449</v>
      </c>
      <c r="N66" s="399" t="s">
        <v>449</v>
      </c>
      <c r="O66" s="227" t="s">
        <v>245</v>
      </c>
      <c r="P66" s="227" t="s">
        <v>245</v>
      </c>
      <c r="Q66" s="244" t="s">
        <v>245</v>
      </c>
      <c r="R66" s="321" t="s">
        <v>245</v>
      </c>
      <c r="S66" s="334"/>
      <c r="T66" s="335"/>
      <c r="U66" s="322"/>
      <c r="V66" s="228" t="s">
        <v>245</v>
      </c>
      <c r="W66" s="323" t="s">
        <v>245</v>
      </c>
      <c r="X66" s="323" t="s">
        <v>245</v>
      </c>
      <c r="Y66" s="323" t="s">
        <v>245</v>
      </c>
      <c r="Z66" s="368" t="s">
        <v>245</v>
      </c>
      <c r="AA66" s="368" t="s">
        <v>245</v>
      </c>
      <c r="AB66" s="368"/>
      <c r="AC66" s="368"/>
      <c r="AD66" s="368"/>
      <c r="AE66" s="368"/>
      <c r="AF66" s="334"/>
      <c r="AG66" s="190"/>
      <c r="AH66" s="190"/>
    </row>
    <row r="67" spans="1:34" s="39" customFormat="1" ht="13.2">
      <c r="A67" s="179" t="s">
        <v>473</v>
      </c>
      <c r="B67" s="179" t="s">
        <v>186</v>
      </c>
      <c r="C67" s="386"/>
      <c r="D67" s="387"/>
      <c r="E67" s="387"/>
      <c r="F67" s="387"/>
      <c r="G67" s="387"/>
      <c r="H67" s="387"/>
      <c r="I67" s="387"/>
      <c r="J67" s="387"/>
      <c r="K67" s="387"/>
      <c r="L67" s="387"/>
      <c r="M67" s="400"/>
      <c r="N67" s="401"/>
      <c r="O67" s="387"/>
      <c r="P67" s="387"/>
      <c r="Q67" s="197" t="s">
        <v>266</v>
      </c>
      <c r="R67" s="324" t="s">
        <v>245</v>
      </c>
      <c r="S67" s="179" t="s">
        <v>473</v>
      </c>
      <c r="T67" s="281" t="s">
        <v>186</v>
      </c>
      <c r="U67" s="408"/>
      <c r="V67" s="409" t="s">
        <v>245</v>
      </c>
      <c r="W67" s="326" t="s">
        <v>245</v>
      </c>
      <c r="X67" s="326" t="s">
        <v>245</v>
      </c>
      <c r="Y67" s="326" t="s">
        <v>245</v>
      </c>
      <c r="Z67" s="370" t="s">
        <v>245</v>
      </c>
      <c r="AA67" s="370" t="s">
        <v>245</v>
      </c>
      <c r="AB67" s="417" t="s">
        <v>266</v>
      </c>
      <c r="AC67" s="417" t="s">
        <v>266</v>
      </c>
      <c r="AD67" s="417" t="s">
        <v>266</v>
      </c>
      <c r="AE67" s="417" t="s">
        <v>266</v>
      </c>
      <c r="AF67" s="417" t="s">
        <v>245</v>
      </c>
      <c r="AG67" s="180"/>
      <c r="AH67" s="180"/>
    </row>
    <row r="68" spans="1:34" s="39" customFormat="1" ht="13.2">
      <c r="A68" s="179" t="s">
        <v>474</v>
      </c>
      <c r="B68" s="183" t="s">
        <v>129</v>
      </c>
      <c r="C68" s="388"/>
      <c r="D68" s="387"/>
      <c r="E68" s="387"/>
      <c r="F68" s="387"/>
      <c r="G68" s="387"/>
      <c r="H68" s="387"/>
      <c r="I68" s="387"/>
      <c r="J68" s="387"/>
      <c r="K68" s="387"/>
      <c r="L68" s="387"/>
      <c r="M68" s="400"/>
      <c r="N68" s="402"/>
      <c r="O68" s="403"/>
      <c r="P68" s="403"/>
      <c r="Q68" s="212" t="s">
        <v>245</v>
      </c>
      <c r="R68" s="264" t="s">
        <v>245</v>
      </c>
      <c r="S68" s="179" t="s">
        <v>474</v>
      </c>
      <c r="T68" s="265" t="s">
        <v>129</v>
      </c>
      <c r="U68" s="266"/>
      <c r="V68" s="267" t="s">
        <v>245</v>
      </c>
      <c r="W68" s="268" t="s">
        <v>245</v>
      </c>
      <c r="X68" s="268" t="s">
        <v>245</v>
      </c>
      <c r="Y68" s="268" t="s">
        <v>245</v>
      </c>
      <c r="Z68" s="340">
        <v>10.5</v>
      </c>
      <c r="AA68" s="340">
        <v>10.6</v>
      </c>
      <c r="AB68" s="355">
        <v>11.1</v>
      </c>
      <c r="AC68" s="355">
        <v>12.2</v>
      </c>
      <c r="AD68" s="355">
        <v>12.5</v>
      </c>
      <c r="AE68" s="355">
        <v>14.1</v>
      </c>
      <c r="AF68" s="355">
        <v>13.4</v>
      </c>
      <c r="AG68" s="183">
        <v>13.9</v>
      </c>
      <c r="AH68" s="183">
        <v>15.1</v>
      </c>
    </row>
    <row r="69" spans="1:34" s="173" customFormat="1" ht="13.2">
      <c r="A69" s="179"/>
      <c r="B69" s="183" t="s">
        <v>146</v>
      </c>
      <c r="C69" s="388"/>
      <c r="D69" s="387"/>
      <c r="E69" s="387"/>
      <c r="F69" s="387"/>
      <c r="G69" s="387"/>
      <c r="H69" s="387"/>
      <c r="I69" s="387"/>
      <c r="J69" s="387"/>
      <c r="K69" s="387"/>
      <c r="L69" s="387"/>
      <c r="M69" s="400"/>
      <c r="N69" s="402"/>
      <c r="O69" s="403"/>
      <c r="P69" s="403"/>
      <c r="Q69" s="212" t="s">
        <v>245</v>
      </c>
      <c r="R69" s="264" t="s">
        <v>245</v>
      </c>
      <c r="S69" s="179"/>
      <c r="T69" s="265" t="s">
        <v>146</v>
      </c>
      <c r="U69" s="266"/>
      <c r="V69" s="267" t="s">
        <v>245</v>
      </c>
      <c r="W69" s="268" t="s">
        <v>245</v>
      </c>
      <c r="X69" s="268" t="s">
        <v>245</v>
      </c>
      <c r="Y69" s="268" t="s">
        <v>245</v>
      </c>
      <c r="Z69" s="340" t="s">
        <v>245</v>
      </c>
      <c r="AA69" s="340" t="s">
        <v>245</v>
      </c>
      <c r="AB69" s="355" t="s">
        <v>266</v>
      </c>
      <c r="AC69" s="355" t="s">
        <v>266</v>
      </c>
      <c r="AD69" s="355" t="s">
        <v>266</v>
      </c>
      <c r="AE69" s="355" t="s">
        <v>266</v>
      </c>
      <c r="AF69" s="355" t="s">
        <v>245</v>
      </c>
      <c r="AG69" s="385"/>
      <c r="AH69" s="385"/>
    </row>
    <row r="70" spans="1:34" s="173" customFormat="1" ht="13.2">
      <c r="A70" s="179"/>
      <c r="B70" s="179" t="s">
        <v>156</v>
      </c>
      <c r="C70" s="388"/>
      <c r="D70" s="387"/>
      <c r="E70" s="387"/>
      <c r="F70" s="387"/>
      <c r="G70" s="387"/>
      <c r="H70" s="387"/>
      <c r="I70" s="387"/>
      <c r="J70" s="387"/>
      <c r="K70" s="387"/>
      <c r="L70" s="387"/>
      <c r="M70" s="400"/>
      <c r="N70" s="402"/>
      <c r="O70" s="403"/>
      <c r="P70" s="403"/>
      <c r="Q70" s="212">
        <v>7.6</v>
      </c>
      <c r="R70" s="264">
        <v>7.5</v>
      </c>
      <c r="S70" s="179"/>
      <c r="T70" s="281" t="s">
        <v>156</v>
      </c>
      <c r="U70" s="266">
        <v>7.5</v>
      </c>
      <c r="V70" s="267">
        <v>6.6</v>
      </c>
      <c r="W70" s="268">
        <v>7</v>
      </c>
      <c r="X70" s="268">
        <v>6.4</v>
      </c>
      <c r="Y70" s="268">
        <v>5.4</v>
      </c>
      <c r="Z70" s="340">
        <v>5.0999999999999996</v>
      </c>
      <c r="AA70" s="340">
        <v>5.2</v>
      </c>
      <c r="AB70" s="354">
        <v>5.0999999999999996</v>
      </c>
      <c r="AC70" s="354">
        <v>5</v>
      </c>
      <c r="AD70" s="354">
        <v>5.9</v>
      </c>
      <c r="AE70" s="354">
        <v>5.8</v>
      </c>
      <c r="AF70" s="354">
        <v>5.7</v>
      </c>
      <c r="AG70" s="421" t="s">
        <v>254</v>
      </c>
      <c r="AH70" s="421" t="s">
        <v>254</v>
      </c>
    </row>
    <row r="71" spans="1:34" s="39" customFormat="1" ht="13.2">
      <c r="A71" s="389"/>
      <c r="B71" s="389" t="s">
        <v>170</v>
      </c>
      <c r="C71" s="390"/>
      <c r="D71" s="391"/>
      <c r="E71" s="391"/>
      <c r="F71" s="391"/>
      <c r="G71" s="391"/>
      <c r="H71" s="391"/>
      <c r="I71" s="404"/>
      <c r="J71" s="404"/>
      <c r="K71" s="405"/>
      <c r="L71" s="406"/>
      <c r="M71" s="406"/>
      <c r="N71" s="407"/>
      <c r="O71" s="404"/>
      <c r="P71" s="404"/>
      <c r="Q71" s="410" t="s">
        <v>245</v>
      </c>
      <c r="R71" s="411" t="s">
        <v>245</v>
      </c>
      <c r="S71" s="389"/>
      <c r="T71" s="412" t="s">
        <v>170</v>
      </c>
      <c r="U71" s="413"/>
      <c r="V71" s="414" t="s">
        <v>245</v>
      </c>
      <c r="W71" s="415" t="s">
        <v>245</v>
      </c>
      <c r="X71" s="415" t="s">
        <v>245</v>
      </c>
      <c r="Y71" s="415" t="s">
        <v>245</v>
      </c>
      <c r="Z71" s="418" t="s">
        <v>245</v>
      </c>
      <c r="AA71" s="418" t="s">
        <v>245</v>
      </c>
      <c r="AB71" s="419" t="s">
        <v>266</v>
      </c>
      <c r="AC71" s="419" t="s">
        <v>266</v>
      </c>
      <c r="AD71" s="419" t="s">
        <v>266</v>
      </c>
      <c r="AE71" s="419" t="s">
        <v>266</v>
      </c>
      <c r="AF71" s="420" t="s">
        <v>245</v>
      </c>
      <c r="AG71" s="190"/>
      <c r="AH71" s="190"/>
    </row>
    <row r="72" spans="1:34">
      <c r="A72" s="39"/>
      <c r="B72" s="39"/>
      <c r="C72" s="392"/>
      <c r="D72" s="392"/>
      <c r="E72" s="392"/>
      <c r="F72" s="392"/>
      <c r="G72" s="392"/>
      <c r="H72" s="392"/>
    </row>
    <row r="73" spans="1:34" s="174" customFormat="1" ht="15">
      <c r="A73" s="1345" t="s">
        <v>475</v>
      </c>
      <c r="C73" s="394"/>
      <c r="D73" s="394"/>
      <c r="E73" s="394"/>
      <c r="F73" s="394"/>
      <c r="G73" s="394"/>
      <c r="H73" s="394"/>
      <c r="Q73" s="416"/>
      <c r="R73" s="416"/>
      <c r="S73" s="416"/>
      <c r="T73" s="416"/>
      <c r="U73" s="416"/>
    </row>
    <row r="74" spans="1:34" s="174" customFormat="1" ht="15">
      <c r="A74" s="393" t="s">
        <v>476</v>
      </c>
      <c r="C74" s="394"/>
      <c r="D74" s="394"/>
      <c r="E74" s="394"/>
      <c r="F74" s="394"/>
      <c r="G74" s="394"/>
      <c r="H74" s="394"/>
      <c r="Q74" s="416"/>
      <c r="R74" s="416"/>
      <c r="S74" s="416"/>
      <c r="T74" s="416"/>
      <c r="U74" s="416"/>
    </row>
    <row r="75" spans="1:34" s="174" customFormat="1" ht="13.95" customHeight="1">
      <c r="A75" s="393" t="s">
        <v>477</v>
      </c>
      <c r="C75" s="394"/>
      <c r="D75" s="394"/>
      <c r="E75" s="394"/>
      <c r="F75" s="394"/>
      <c r="G75" s="394"/>
      <c r="H75" s="394"/>
      <c r="Q75" s="416"/>
      <c r="R75" s="416"/>
      <c r="S75" s="416"/>
      <c r="T75" s="416"/>
      <c r="U75" s="416"/>
    </row>
    <row r="76" spans="1:34" s="174" customFormat="1" ht="13.95" customHeight="1">
      <c r="A76" s="395" t="s">
        <v>478</v>
      </c>
      <c r="C76" s="394"/>
      <c r="D76" s="394"/>
      <c r="E76" s="394"/>
      <c r="F76" s="394"/>
      <c r="G76" s="394"/>
      <c r="H76" s="394"/>
      <c r="Q76" s="416"/>
      <c r="R76" s="416"/>
      <c r="S76" s="416"/>
      <c r="T76" s="416"/>
      <c r="U76" s="416"/>
    </row>
    <row r="77" spans="1:34" s="174" customFormat="1" ht="15">
      <c r="A77" s="174" t="s">
        <v>479</v>
      </c>
      <c r="C77" s="396"/>
      <c r="D77" s="396"/>
      <c r="E77" s="396"/>
      <c r="F77" s="396"/>
      <c r="G77" s="396"/>
      <c r="H77" s="396"/>
      <c r="Q77" s="416"/>
      <c r="R77" s="416"/>
      <c r="S77" s="416"/>
      <c r="T77" s="416"/>
      <c r="U77" s="416"/>
    </row>
    <row r="78" spans="1:34" s="174" customFormat="1" ht="15">
      <c r="A78" s="174" t="s">
        <v>480</v>
      </c>
      <c r="C78" s="396"/>
      <c r="D78" s="396"/>
      <c r="E78" s="396"/>
      <c r="F78" s="396"/>
      <c r="G78" s="396"/>
      <c r="H78" s="396"/>
      <c r="Q78" s="416"/>
      <c r="R78" s="416"/>
      <c r="S78" s="416"/>
      <c r="T78" s="416"/>
      <c r="U78" s="416"/>
    </row>
    <row r="79" spans="1:34" s="174" customFormat="1" ht="13.2">
      <c r="A79" s="174" t="s">
        <v>481</v>
      </c>
      <c r="C79" s="394"/>
      <c r="D79" s="394"/>
      <c r="E79" s="394"/>
      <c r="F79" s="394"/>
      <c r="G79" s="394"/>
      <c r="H79" s="394"/>
      <c r="Q79" s="416"/>
      <c r="R79" s="416"/>
      <c r="S79" s="416"/>
      <c r="T79" s="416"/>
      <c r="U79" s="416"/>
    </row>
    <row r="80" spans="1:34" s="174" customFormat="1" ht="13.2">
      <c r="A80" s="174" t="s">
        <v>482</v>
      </c>
      <c r="C80" s="394"/>
      <c r="D80" s="394"/>
      <c r="E80" s="394"/>
      <c r="F80" s="394"/>
      <c r="G80" s="394"/>
      <c r="H80" s="394"/>
      <c r="Q80" s="416"/>
      <c r="R80" s="416"/>
      <c r="S80" s="416"/>
      <c r="T80" s="416"/>
      <c r="U80" s="416"/>
    </row>
    <row r="81" spans="1:10" s="39" customFormat="1" ht="13.2">
      <c r="A81" s="39" t="s">
        <v>483</v>
      </c>
      <c r="F81" s="173"/>
      <c r="G81" s="173"/>
      <c r="H81" s="173"/>
      <c r="I81" s="173"/>
      <c r="J81" s="173"/>
    </row>
    <row r="82" spans="1:10">
      <c r="C82" s="392"/>
      <c r="D82" s="392"/>
      <c r="E82" s="392"/>
      <c r="F82" s="392"/>
      <c r="G82" s="392"/>
      <c r="H82" s="392"/>
    </row>
    <row r="83" spans="1:10">
      <c r="A83" s="397"/>
      <c r="C83" s="392"/>
      <c r="D83" s="392"/>
      <c r="E83" s="392"/>
      <c r="F83" s="392"/>
      <c r="G83" s="392"/>
      <c r="H83" s="392"/>
    </row>
    <row r="84" spans="1:10">
      <c r="A84" s="397"/>
      <c r="C84" s="392"/>
      <c r="D84" s="392"/>
      <c r="E84" s="392"/>
      <c r="F84" s="392"/>
      <c r="G84" s="392"/>
      <c r="H84" s="392"/>
    </row>
    <row r="85" spans="1:10">
      <c r="A85" s="397"/>
      <c r="C85" s="392"/>
      <c r="D85" s="392"/>
      <c r="E85" s="392"/>
      <c r="F85" s="392"/>
      <c r="G85" s="392"/>
      <c r="H85" s="392"/>
    </row>
    <row r="86" spans="1:10">
      <c r="A86" s="397"/>
      <c r="C86" s="392"/>
      <c r="D86" s="392"/>
      <c r="E86" s="392"/>
      <c r="F86" s="392"/>
      <c r="G86" s="392"/>
      <c r="H86" s="392"/>
    </row>
    <row r="87" spans="1:10">
      <c r="C87" s="392"/>
      <c r="D87" s="392"/>
      <c r="E87" s="392"/>
      <c r="F87" s="392"/>
      <c r="G87" s="392"/>
      <c r="H87" s="392"/>
    </row>
    <row r="88" spans="1:10">
      <c r="C88" s="392"/>
      <c r="D88" s="392"/>
      <c r="E88" s="392"/>
      <c r="F88" s="392"/>
      <c r="G88" s="392"/>
      <c r="H88" s="392"/>
    </row>
    <row r="89" spans="1:10">
      <c r="C89" s="392"/>
      <c r="D89" s="392"/>
      <c r="E89" s="392"/>
      <c r="F89" s="392"/>
      <c r="G89" s="392"/>
      <c r="H89" s="392"/>
    </row>
    <row r="90" spans="1:10">
      <c r="C90" s="392"/>
      <c r="D90" s="392"/>
      <c r="E90" s="392"/>
      <c r="F90" s="392"/>
      <c r="G90" s="392"/>
      <c r="H90" s="392"/>
    </row>
    <row r="91" spans="1:10">
      <c r="C91" s="392"/>
      <c r="D91" s="392"/>
      <c r="E91" s="392"/>
      <c r="F91" s="392"/>
      <c r="G91" s="392"/>
      <c r="H91" s="392"/>
    </row>
    <row r="92" spans="1:10">
      <c r="C92" s="392"/>
      <c r="D92" s="392"/>
      <c r="E92" s="392"/>
      <c r="F92" s="392"/>
      <c r="G92" s="392"/>
      <c r="H92" s="392"/>
    </row>
    <row r="93" spans="1:10">
      <c r="C93" s="392"/>
      <c r="D93" s="392"/>
      <c r="E93" s="392"/>
      <c r="F93" s="392"/>
      <c r="G93" s="392"/>
      <c r="H93" s="392"/>
    </row>
    <row r="94" spans="1:10">
      <c r="C94" s="392"/>
      <c r="D94" s="392"/>
      <c r="E94" s="392"/>
      <c r="F94" s="392"/>
      <c r="G94" s="392"/>
      <c r="H94" s="392"/>
    </row>
    <row r="95" spans="1:10">
      <c r="C95" s="392"/>
      <c r="D95" s="392"/>
      <c r="E95" s="392"/>
      <c r="F95" s="392"/>
      <c r="G95" s="392"/>
      <c r="H95" s="392"/>
    </row>
    <row r="96" spans="1:10">
      <c r="C96" s="392"/>
      <c r="D96" s="392"/>
      <c r="E96" s="392"/>
      <c r="F96" s="392"/>
      <c r="G96" s="392"/>
      <c r="H96" s="392"/>
    </row>
  </sheetData>
  <phoneticPr fontId="93" type="noConversion"/>
  <hyperlinks>
    <hyperlink ref="AG1" location="Content!A1" display="content" xr:uid="{00000000-0004-0000-1400-000000000000}"/>
  </hyperlinks>
  <pageMargins left="0.5" right="0.53958333333333297" top="0.5" bottom="0.5" header="0" footer="0"/>
  <pageSetup paperSize="8" scale="60"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T212"/>
  <sheetViews>
    <sheetView topLeftCell="A49" zoomScale="115" zoomScaleNormal="115" workbookViewId="0">
      <selection activeCell="AI154" sqref="AI154"/>
    </sheetView>
  </sheetViews>
  <sheetFormatPr defaultColWidth="9" defaultRowHeight="14.4"/>
  <cols>
    <col min="1" max="1" width="14.77734375" style="146" customWidth="1"/>
    <col min="2" max="3" width="9" style="146" customWidth="1"/>
    <col min="4" max="16384" width="9" style="146"/>
  </cols>
  <sheetData>
    <row r="1" spans="1:19" ht="18">
      <c r="A1" s="147" t="s">
        <v>47</v>
      </c>
      <c r="B1" s="147"/>
      <c r="C1" s="147"/>
      <c r="Q1" s="159" t="s">
        <v>48</v>
      </c>
    </row>
    <row r="2" spans="1:19">
      <c r="A2" s="148" t="s">
        <v>417</v>
      </c>
      <c r="B2" s="148"/>
      <c r="C2" s="148"/>
    </row>
    <row r="3" spans="1:19">
      <c r="A3" s="149" t="s">
        <v>484</v>
      </c>
      <c r="B3" s="149"/>
      <c r="C3" s="149"/>
    </row>
    <row r="4" spans="1:19">
      <c r="A4" s="149" t="s">
        <v>485</v>
      </c>
      <c r="B4" s="149"/>
      <c r="C4" s="149"/>
      <c r="Q4" s="160"/>
    </row>
    <row r="5" spans="1:19">
      <c r="A5" s="149"/>
      <c r="B5" s="149"/>
      <c r="C5" s="149"/>
      <c r="Q5" s="160"/>
    </row>
    <row r="6" spans="1:19">
      <c r="A6" s="150" t="s">
        <v>486</v>
      </c>
      <c r="B6" s="150">
        <v>2006</v>
      </c>
      <c r="C6" s="150">
        <v>2007</v>
      </c>
      <c r="D6" s="150">
        <v>2008</v>
      </c>
      <c r="E6" s="150">
        <v>2009</v>
      </c>
      <c r="F6" s="150">
        <v>2010</v>
      </c>
      <c r="G6" s="150">
        <v>2011</v>
      </c>
      <c r="H6" s="150">
        <v>2012</v>
      </c>
      <c r="I6" s="150">
        <v>2013</v>
      </c>
      <c r="J6" s="150">
        <v>2014</v>
      </c>
      <c r="K6" s="150">
        <v>2015</v>
      </c>
      <c r="L6" s="150">
        <v>2016</v>
      </c>
      <c r="M6" s="150">
        <v>2017</v>
      </c>
      <c r="N6" s="150">
        <v>2018</v>
      </c>
      <c r="O6" s="155">
        <v>2019</v>
      </c>
      <c r="P6" s="155">
        <v>2020</v>
      </c>
      <c r="Q6" s="153">
        <v>2021</v>
      </c>
      <c r="R6" s="155">
        <v>2022</v>
      </c>
      <c r="S6" s="155">
        <v>2023</v>
      </c>
    </row>
    <row r="7" spans="1:19">
      <c r="A7" s="150" t="s">
        <v>66</v>
      </c>
      <c r="B7" s="151">
        <v>0.187</v>
      </c>
      <c r="C7" s="151">
        <v>0.193</v>
      </c>
      <c r="D7" s="151">
        <v>0.2</v>
      </c>
      <c r="E7" s="151">
        <v>0.2</v>
      </c>
      <c r="F7" s="151">
        <v>0.2</v>
      </c>
      <c r="G7" s="151">
        <v>0.196379110196852</v>
      </c>
      <c r="H7" s="151">
        <v>0.196873983531063</v>
      </c>
      <c r="I7" s="151">
        <v>0.19592403732601599</v>
      </c>
      <c r="J7" s="151">
        <v>0.19762442022930299</v>
      </c>
      <c r="K7" s="151">
        <v>0.20121857085516101</v>
      </c>
      <c r="L7" s="151">
        <v>0.196655577996911</v>
      </c>
      <c r="M7" s="151">
        <v>0.20101416250447099</v>
      </c>
      <c r="N7" s="151">
        <v>0.20548435171386001</v>
      </c>
      <c r="O7" s="156">
        <v>0.20699999999999999</v>
      </c>
      <c r="P7" s="156">
        <v>0.21277459950295</v>
      </c>
      <c r="Q7" s="161">
        <v>0.21</v>
      </c>
      <c r="R7" s="162">
        <v>0.21348560922141299</v>
      </c>
      <c r="S7" s="162">
        <v>0.20397926261854901</v>
      </c>
    </row>
    <row r="8" spans="1:19">
      <c r="A8" s="150" t="s">
        <v>55</v>
      </c>
      <c r="B8" s="151">
        <v>5.7000000000000002E-2</v>
      </c>
      <c r="C8" s="151">
        <v>0.06</v>
      </c>
      <c r="D8" s="151">
        <v>0.06</v>
      </c>
      <c r="E8" s="151">
        <v>7.0000000000000007E-2</v>
      </c>
      <c r="F8" s="151">
        <v>0.08</v>
      </c>
      <c r="G8" s="151">
        <v>9.3347644637823093E-2</v>
      </c>
      <c r="H8" s="151">
        <v>0.10411677882211701</v>
      </c>
      <c r="I8" s="151">
        <v>0.111537846055369</v>
      </c>
      <c r="J8" s="151">
        <v>0.11069117996588899</v>
      </c>
      <c r="K8" s="151">
        <v>0.116254090573208</v>
      </c>
      <c r="L8" s="151">
        <v>0.11925569715083099</v>
      </c>
      <c r="M8" s="151">
        <v>0.12738823206084299</v>
      </c>
      <c r="N8" s="151">
        <v>0.132152476263656</v>
      </c>
      <c r="O8" s="156">
        <v>0.14399999999999999</v>
      </c>
      <c r="P8" s="156">
        <v>0.14951124563638599</v>
      </c>
      <c r="Q8" s="161">
        <v>0.15</v>
      </c>
      <c r="R8" s="162">
        <v>0.15227573329183799</v>
      </c>
      <c r="S8" s="162">
        <v>0.14526148988913801</v>
      </c>
    </row>
    <row r="9" spans="1:19">
      <c r="A9" s="150" t="s">
        <v>56</v>
      </c>
      <c r="B9" s="151">
        <v>3.5000000000000003E-2</v>
      </c>
      <c r="C9" s="151">
        <v>4.1000000000000002E-2</v>
      </c>
      <c r="D9" s="151">
        <v>0.05</v>
      </c>
      <c r="E9" s="151">
        <v>0.05</v>
      </c>
      <c r="F9" s="151">
        <v>0.06</v>
      </c>
      <c r="G9" s="151">
        <v>5.6811754981292997E-2</v>
      </c>
      <c r="H9" s="151">
        <v>5.9472632598692197E-2</v>
      </c>
      <c r="I9" s="151">
        <v>5.7167786970010299E-2</v>
      </c>
      <c r="J9" s="151">
        <v>5.8975592430911203E-2</v>
      </c>
      <c r="K9" s="151">
        <v>6.3498914436684206E-2</v>
      </c>
      <c r="L9" s="151">
        <v>6.9464292093887298E-2</v>
      </c>
      <c r="M9" s="151">
        <v>7.0000000000000007E-2</v>
      </c>
      <c r="N9" s="151">
        <v>7.6936369920326E-2</v>
      </c>
      <c r="O9" s="156">
        <v>8.1000000000000003E-2</v>
      </c>
      <c r="P9" s="156">
        <v>8.1474375650364195E-2</v>
      </c>
      <c r="Q9" s="161">
        <v>0.09</v>
      </c>
      <c r="R9" s="162">
        <v>8.7378945304842207E-2</v>
      </c>
      <c r="S9" s="162">
        <v>8.8090920171528003E-2</v>
      </c>
    </row>
    <row r="10" spans="1:19">
      <c r="A10" s="150" t="s">
        <v>57</v>
      </c>
      <c r="B10" s="151">
        <v>0.03</v>
      </c>
      <c r="C10" s="151">
        <v>3.3000000000000002E-2</v>
      </c>
      <c r="D10" s="151">
        <v>0.03</v>
      </c>
      <c r="E10" s="151">
        <v>0.03</v>
      </c>
      <c r="F10" s="151">
        <v>0.04</v>
      </c>
      <c r="G10" s="151">
        <v>3.7337266926629802E-2</v>
      </c>
      <c r="H10" s="151">
        <v>3.3092397457110498E-2</v>
      </c>
      <c r="I10" s="151">
        <v>2.9117185506160399E-2</v>
      </c>
      <c r="J10" s="151">
        <v>3.04330002073596E-2</v>
      </c>
      <c r="K10" s="151">
        <v>2.9460772008609901E-2</v>
      </c>
      <c r="L10" s="151">
        <v>3.4052295019266099E-2</v>
      </c>
      <c r="M10" s="151">
        <v>0.04</v>
      </c>
      <c r="N10" s="151">
        <v>0.04</v>
      </c>
      <c r="O10" s="156">
        <v>4.3999999999999997E-2</v>
      </c>
      <c r="P10" s="156">
        <v>4.7307216879766301E-2</v>
      </c>
      <c r="Q10" s="161">
        <v>0.05</v>
      </c>
      <c r="R10" s="162">
        <v>4.3965054000802299E-2</v>
      </c>
      <c r="S10" s="162">
        <v>4.2587400104191597E-2</v>
      </c>
    </row>
    <row r="11" spans="1:19">
      <c r="A11" s="150" t="s">
        <v>58</v>
      </c>
      <c r="B11" s="151">
        <v>0.16200000000000001</v>
      </c>
      <c r="C11" s="151">
        <v>0.16</v>
      </c>
      <c r="D11" s="151">
        <v>0.16</v>
      </c>
      <c r="E11" s="151">
        <v>0.15</v>
      </c>
      <c r="F11" s="151">
        <v>0.14000000000000001</v>
      </c>
      <c r="G11" s="151">
        <v>0.14464428786879099</v>
      </c>
      <c r="H11" s="151">
        <v>0.14113081013994999</v>
      </c>
      <c r="I11" s="151">
        <v>0.14678801934962299</v>
      </c>
      <c r="J11" s="151">
        <v>0.15827280543886099</v>
      </c>
      <c r="K11" s="151">
        <v>0.14850475286163001</v>
      </c>
      <c r="L11" s="151">
        <v>0.14350885645817699</v>
      </c>
      <c r="M11" s="151">
        <v>0.15</v>
      </c>
      <c r="N11" s="151">
        <v>0.14896451271186401</v>
      </c>
      <c r="O11" s="156">
        <v>0.15</v>
      </c>
      <c r="P11" s="156">
        <v>0.16293567345983301</v>
      </c>
      <c r="Q11" s="161">
        <v>0.16</v>
      </c>
      <c r="R11" s="162">
        <v>0.16020342556605199</v>
      </c>
      <c r="S11" s="162">
        <v>0.141530931768545</v>
      </c>
    </row>
    <row r="12" spans="1:19">
      <c r="A12" s="150" t="s">
        <v>59</v>
      </c>
      <c r="B12" s="151">
        <v>8.4000000000000005E-2</v>
      </c>
      <c r="C12" s="151">
        <v>0.10100000000000001</v>
      </c>
      <c r="D12" s="151">
        <v>7.0000000000000007E-2</v>
      </c>
      <c r="E12" s="151">
        <v>7.0000000000000007E-2</v>
      </c>
      <c r="F12" s="151">
        <v>0.08</v>
      </c>
      <c r="G12" s="151">
        <v>8.6032352199445203E-2</v>
      </c>
      <c r="H12" s="151">
        <v>7.8409039136179304E-2</v>
      </c>
      <c r="I12" s="151">
        <v>7.6355102390960702E-2</v>
      </c>
      <c r="J12" s="151">
        <v>8.3515752896237194E-2</v>
      </c>
      <c r="K12" s="151">
        <v>7.3264898773880802E-2</v>
      </c>
      <c r="L12" s="151">
        <v>7.53361339621096E-2</v>
      </c>
      <c r="M12" s="151">
        <v>7.8560193015032004E-2</v>
      </c>
      <c r="N12" s="151">
        <v>8.2199234802323898E-2</v>
      </c>
      <c r="O12" s="156">
        <v>7.5999999999999998E-2</v>
      </c>
      <c r="P12" s="156">
        <v>7.5314100512163903E-2</v>
      </c>
      <c r="Q12" s="161">
        <v>0.08</v>
      </c>
      <c r="R12" s="162">
        <v>7.7853541947016394E-2</v>
      </c>
      <c r="S12" s="162">
        <v>7.9533006630152794E-2</v>
      </c>
    </row>
    <row r="13" spans="1:19">
      <c r="A13" s="150" t="s">
        <v>487</v>
      </c>
      <c r="B13" s="151">
        <v>0.1</v>
      </c>
      <c r="C13" s="151">
        <v>0.105</v>
      </c>
      <c r="D13" s="151">
        <v>0.1</v>
      </c>
      <c r="E13" s="151">
        <v>0.1</v>
      </c>
      <c r="F13" s="151">
        <v>0.1</v>
      </c>
      <c r="G13" s="151">
        <v>0.10127301160982601</v>
      </c>
      <c r="H13" s="151">
        <v>9.8057435569973206E-2</v>
      </c>
      <c r="I13" s="151">
        <v>9.3339128545039701E-2</v>
      </c>
      <c r="J13" s="151">
        <v>9.3611005064439201E-2</v>
      </c>
      <c r="K13" s="151">
        <v>8.7783640680312594E-2</v>
      </c>
      <c r="L13" s="151">
        <v>8.51060098044088E-2</v>
      </c>
      <c r="M13" s="151">
        <v>8.7885266526013098E-2</v>
      </c>
      <c r="N13" s="151">
        <v>8.7885266526013098E-2</v>
      </c>
      <c r="O13" s="156">
        <v>9.1999999999999998E-2</v>
      </c>
      <c r="P13" s="156">
        <v>9.5098150801061196E-2</v>
      </c>
      <c r="Q13" s="161">
        <v>0.09</v>
      </c>
      <c r="R13" s="162">
        <v>9.1036338192989397E-2</v>
      </c>
      <c r="S13" s="162">
        <v>8.7160263314464095E-2</v>
      </c>
    </row>
    <row r="14" spans="1:19">
      <c r="Q14" s="160"/>
    </row>
    <row r="15" spans="1:19">
      <c r="B15" s="152"/>
      <c r="C15" s="152"/>
      <c r="D15" s="152"/>
      <c r="E15" s="152"/>
      <c r="F15" s="152"/>
      <c r="G15" s="152"/>
      <c r="H15" s="152"/>
      <c r="I15" s="152"/>
      <c r="J15" s="152"/>
      <c r="K15" s="152"/>
      <c r="L15" s="152"/>
      <c r="M15" s="152"/>
      <c r="N15" s="152"/>
      <c r="O15" s="152"/>
      <c r="P15" s="152"/>
      <c r="Q15" s="163"/>
    </row>
    <row r="16" spans="1:19">
      <c r="Q16" s="160"/>
    </row>
    <row r="17" spans="17:17">
      <c r="Q17" s="160"/>
    </row>
    <row r="18" spans="17:17">
      <c r="Q18" s="160"/>
    </row>
    <row r="19" spans="17:17">
      <c r="Q19" s="160"/>
    </row>
    <row r="20" spans="17:17">
      <c r="Q20" s="160"/>
    </row>
    <row r="21" spans="17:17">
      <c r="Q21" s="160"/>
    </row>
    <row r="22" spans="17:17">
      <c r="Q22" s="160"/>
    </row>
    <row r="23" spans="17:17">
      <c r="Q23" s="160"/>
    </row>
    <row r="24" spans="17:17">
      <c r="Q24" s="160"/>
    </row>
    <row r="25" spans="17:17">
      <c r="Q25" s="160"/>
    </row>
    <row r="26" spans="17:17">
      <c r="Q26" s="160"/>
    </row>
    <row r="27" spans="17:17">
      <c r="Q27" s="160"/>
    </row>
    <row r="28" spans="17:17">
      <c r="Q28" s="160"/>
    </row>
    <row r="29" spans="17:17">
      <c r="Q29" s="160"/>
    </row>
    <row r="30" spans="17:17">
      <c r="Q30" s="160"/>
    </row>
    <row r="31" spans="17:17">
      <c r="Q31" s="160"/>
    </row>
    <row r="32" spans="17:17">
      <c r="Q32" s="160"/>
    </row>
    <row r="33" spans="1:19">
      <c r="Q33" s="160"/>
    </row>
    <row r="34" spans="1:19">
      <c r="Q34" s="160"/>
    </row>
    <row r="35" spans="1:19">
      <c r="A35" s="150" t="s">
        <v>488</v>
      </c>
      <c r="B35" s="150">
        <v>2007</v>
      </c>
      <c r="C35" s="150">
        <v>2008</v>
      </c>
      <c r="D35" s="150">
        <v>2009</v>
      </c>
      <c r="E35" s="150">
        <v>2010</v>
      </c>
      <c r="F35" s="150">
        <v>2011</v>
      </c>
      <c r="G35" s="150">
        <v>2012</v>
      </c>
      <c r="H35" s="153">
        <v>2013</v>
      </c>
      <c r="I35" s="150">
        <v>2014</v>
      </c>
      <c r="J35" s="150">
        <v>2015</v>
      </c>
      <c r="K35" s="150">
        <v>2016</v>
      </c>
      <c r="L35" s="150">
        <v>2017</v>
      </c>
      <c r="M35" s="150">
        <v>2018</v>
      </c>
      <c r="N35" s="150">
        <v>2019</v>
      </c>
      <c r="O35" s="157">
        <v>2020</v>
      </c>
      <c r="P35" s="157">
        <v>2021</v>
      </c>
      <c r="Q35" s="153">
        <v>2022</v>
      </c>
      <c r="R35" s="157">
        <v>2023</v>
      </c>
      <c r="S35" s="157">
        <v>2024</v>
      </c>
    </row>
    <row r="36" spans="1:19">
      <c r="A36" s="150" t="s">
        <v>66</v>
      </c>
      <c r="B36" s="154">
        <v>0.56999999999999995</v>
      </c>
      <c r="C36" s="154">
        <v>0.55000000000000004</v>
      </c>
      <c r="D36" s="151">
        <v>0.49</v>
      </c>
      <c r="E36" s="151">
        <v>0.5</v>
      </c>
      <c r="F36" s="151">
        <v>0.52</v>
      </c>
      <c r="G36" s="151">
        <v>0.50870733465596596</v>
      </c>
      <c r="H36" s="151">
        <v>0.48744016132005402</v>
      </c>
      <c r="I36" s="151">
        <v>0.47378665774092998</v>
      </c>
      <c r="J36" s="151">
        <v>0.479991601111388</v>
      </c>
      <c r="K36" s="151">
        <v>0.46952060571780102</v>
      </c>
      <c r="L36" s="151">
        <v>0.45842579359109398</v>
      </c>
      <c r="M36" s="151">
        <v>0.44</v>
      </c>
      <c r="N36" s="151">
        <v>0.42801937846333299</v>
      </c>
      <c r="O36" s="158">
        <v>0.42017084466199001</v>
      </c>
      <c r="P36" s="158">
        <v>0.43366673952860801</v>
      </c>
      <c r="Q36" s="161">
        <v>0.44</v>
      </c>
      <c r="R36" s="162">
        <v>0.43594008800551598</v>
      </c>
      <c r="S36" s="162">
        <v>0.43497417143189498</v>
      </c>
    </row>
    <row r="37" spans="1:19">
      <c r="A37" s="150" t="s">
        <v>55</v>
      </c>
      <c r="B37" s="154">
        <v>0.43</v>
      </c>
      <c r="C37" s="154">
        <v>0.39</v>
      </c>
      <c r="D37" s="151">
        <v>0.33</v>
      </c>
      <c r="E37" s="151">
        <v>0.34</v>
      </c>
      <c r="F37" s="151">
        <v>0.36</v>
      </c>
      <c r="G37" s="151">
        <v>0.34597728132295202</v>
      </c>
      <c r="H37" s="151">
        <v>0.33453159780242803</v>
      </c>
      <c r="I37" s="151">
        <v>0.33240090059357302</v>
      </c>
      <c r="J37" s="151">
        <v>0.322666709269259</v>
      </c>
      <c r="K37" s="151">
        <v>0.32482224885702399</v>
      </c>
      <c r="L37" s="151">
        <v>0.318445711957629</v>
      </c>
      <c r="M37" s="151">
        <v>0.31</v>
      </c>
      <c r="N37" s="151">
        <v>0.29105132774131898</v>
      </c>
      <c r="O37" s="158">
        <v>0.28646952343895399</v>
      </c>
      <c r="P37" s="158">
        <v>0.29256268593285201</v>
      </c>
      <c r="Q37" s="161">
        <v>0.28999999999999998</v>
      </c>
      <c r="R37" s="162">
        <v>0.28459964954764599</v>
      </c>
      <c r="S37" s="162">
        <v>0.27956964501467102</v>
      </c>
    </row>
    <row r="38" spans="1:19">
      <c r="A38" s="150" t="s">
        <v>56</v>
      </c>
      <c r="B38" s="154">
        <v>0.23</v>
      </c>
      <c r="C38" s="154">
        <v>0.22</v>
      </c>
      <c r="D38" s="151">
        <v>0.18</v>
      </c>
      <c r="E38" s="151">
        <v>0.18</v>
      </c>
      <c r="F38" s="151">
        <v>0.2</v>
      </c>
      <c r="G38" s="151">
        <v>0.19447319071004299</v>
      </c>
      <c r="H38" s="151">
        <v>0.18657153911993299</v>
      </c>
      <c r="I38" s="151">
        <v>0.18071936677520201</v>
      </c>
      <c r="J38" s="151">
        <v>0.18</v>
      </c>
      <c r="K38" s="151">
        <v>0.19438228743613301</v>
      </c>
      <c r="L38" s="151">
        <v>0.18511266387698899</v>
      </c>
      <c r="M38" s="151">
        <v>0.17</v>
      </c>
      <c r="N38" s="151">
        <v>0.16749151189193601</v>
      </c>
      <c r="O38" s="158">
        <v>0.16</v>
      </c>
      <c r="P38" s="158">
        <v>0.173857507237556</v>
      </c>
      <c r="Q38" s="161">
        <v>0.18</v>
      </c>
      <c r="R38" s="162">
        <v>0.17334436013430299</v>
      </c>
      <c r="S38" s="162">
        <v>0.16952220781799299</v>
      </c>
    </row>
    <row r="39" spans="1:19">
      <c r="A39" s="150" t="s">
        <v>57</v>
      </c>
      <c r="B39" s="154">
        <v>0.37</v>
      </c>
      <c r="C39" s="154">
        <v>0.38</v>
      </c>
      <c r="D39" s="151">
        <v>0.33</v>
      </c>
      <c r="E39" s="151">
        <v>0.39</v>
      </c>
      <c r="F39" s="151">
        <v>0.43</v>
      </c>
      <c r="G39" s="151">
        <v>0.41520258797876702</v>
      </c>
      <c r="H39" s="151">
        <v>0.40703500745730897</v>
      </c>
      <c r="I39" s="151">
        <v>0.409997064533905</v>
      </c>
      <c r="J39" s="151">
        <v>0.4</v>
      </c>
      <c r="K39" s="151">
        <v>0.40216226407605099</v>
      </c>
      <c r="L39" s="151">
        <v>0.37753288638564803</v>
      </c>
      <c r="M39" s="151">
        <v>0.36</v>
      </c>
      <c r="N39" s="151">
        <v>0.36</v>
      </c>
      <c r="O39" s="158">
        <v>0.346078026323555</v>
      </c>
      <c r="P39" s="158">
        <v>0.4</v>
      </c>
      <c r="Q39" s="161">
        <v>0.38</v>
      </c>
      <c r="R39" s="162">
        <v>0.37324664614422098</v>
      </c>
      <c r="S39" s="162">
        <v>0.361064764833535</v>
      </c>
    </row>
    <row r="40" spans="1:19">
      <c r="A40" s="150" t="s">
        <v>58</v>
      </c>
      <c r="B40" s="154">
        <v>0.4</v>
      </c>
      <c r="C40" s="154">
        <v>0.39</v>
      </c>
      <c r="D40" s="151">
        <v>0.37</v>
      </c>
      <c r="E40" s="151">
        <v>0.4</v>
      </c>
      <c r="F40" s="151">
        <v>0.43</v>
      </c>
      <c r="G40" s="151">
        <v>0.42172483938126698</v>
      </c>
      <c r="H40" s="151">
        <v>0.40172030021363903</v>
      </c>
      <c r="I40" s="151">
        <v>0.409452592737655</v>
      </c>
      <c r="J40" s="151">
        <v>0.39295220884514898</v>
      </c>
      <c r="K40" s="151">
        <v>0.41421589302106299</v>
      </c>
      <c r="L40" s="151">
        <v>0.386475837619777</v>
      </c>
      <c r="M40" s="151">
        <v>0.41</v>
      </c>
      <c r="N40" s="151">
        <v>0.4</v>
      </c>
      <c r="O40" s="158">
        <v>0.4</v>
      </c>
      <c r="P40" s="158">
        <v>0.406627822835951</v>
      </c>
      <c r="Q40" s="161">
        <v>0.4</v>
      </c>
      <c r="R40" s="162">
        <v>0.39052745346208001</v>
      </c>
      <c r="S40" s="162">
        <v>0.39328285233398902</v>
      </c>
    </row>
    <row r="41" spans="1:19">
      <c r="Q41" s="160"/>
    </row>
    <row r="42" spans="1:19">
      <c r="Q42" s="160"/>
    </row>
    <row r="43" spans="1:19">
      <c r="Q43" s="160"/>
    </row>
    <row r="44" spans="1:19">
      <c r="Q44" s="160"/>
    </row>
    <row r="45" spans="1:19">
      <c r="Q45" s="160"/>
    </row>
    <row r="46" spans="1:19">
      <c r="Q46" s="160"/>
    </row>
    <row r="47" spans="1:19">
      <c r="Q47" s="160"/>
    </row>
    <row r="48" spans="1:19">
      <c r="Q48" s="160"/>
    </row>
    <row r="49" spans="1:19">
      <c r="Q49" s="160"/>
    </row>
    <row r="50" spans="1:19">
      <c r="Q50" s="160"/>
    </row>
    <row r="51" spans="1:19">
      <c r="Q51" s="160"/>
    </row>
    <row r="52" spans="1:19">
      <c r="Q52" s="160"/>
    </row>
    <row r="53" spans="1:19">
      <c r="Q53" s="160"/>
    </row>
    <row r="54" spans="1:19">
      <c r="Q54" s="160"/>
    </row>
    <row r="55" spans="1:19">
      <c r="Q55" s="160"/>
    </row>
    <row r="56" spans="1:19">
      <c r="Q56" s="160"/>
    </row>
    <row r="57" spans="1:19">
      <c r="Q57" s="160"/>
    </row>
    <row r="58" spans="1:19">
      <c r="Q58" s="160"/>
    </row>
    <row r="59" spans="1:19">
      <c r="Q59" s="160"/>
    </row>
    <row r="60" spans="1:19">
      <c r="Q60" s="160"/>
    </row>
    <row r="61" spans="1:19">
      <c r="Q61" s="160"/>
    </row>
    <row r="62" spans="1:19">
      <c r="Q62" s="160"/>
    </row>
    <row r="63" spans="1:19">
      <c r="Q63" s="160"/>
    </row>
    <row r="64" spans="1:19">
      <c r="A64" s="150" t="s">
        <v>489</v>
      </c>
      <c r="B64" s="150">
        <v>2007</v>
      </c>
      <c r="C64" s="150">
        <v>2008</v>
      </c>
      <c r="D64" s="150">
        <v>2009</v>
      </c>
      <c r="E64" s="150">
        <v>2010</v>
      </c>
      <c r="F64" s="150">
        <v>2011</v>
      </c>
      <c r="G64" s="150">
        <v>2012</v>
      </c>
      <c r="H64" s="150">
        <v>2013</v>
      </c>
      <c r="I64" s="150">
        <v>2014</v>
      </c>
      <c r="J64" s="150">
        <v>2015</v>
      </c>
      <c r="K64" s="150">
        <v>2016</v>
      </c>
      <c r="L64" s="150">
        <v>2017</v>
      </c>
      <c r="M64" s="150">
        <v>2018</v>
      </c>
      <c r="N64" s="150">
        <v>2019</v>
      </c>
      <c r="O64" s="157">
        <v>2020</v>
      </c>
      <c r="P64" s="157">
        <v>2021</v>
      </c>
      <c r="Q64" s="153">
        <v>2022</v>
      </c>
      <c r="R64" s="157">
        <v>2023</v>
      </c>
      <c r="S64" s="157">
        <v>2024</v>
      </c>
    </row>
    <row r="65" spans="1:19">
      <c r="A65" s="150" t="s">
        <v>66</v>
      </c>
      <c r="B65" s="154">
        <v>0.56000000000000005</v>
      </c>
      <c r="C65" s="154">
        <v>0.56999999999999995</v>
      </c>
      <c r="D65" s="151">
        <v>0.57999999999999996</v>
      </c>
      <c r="E65" s="151">
        <v>0.53</v>
      </c>
      <c r="F65" s="151">
        <v>0.56000000000000005</v>
      </c>
      <c r="G65" s="151">
        <v>0.57999999999999996</v>
      </c>
      <c r="H65" s="151">
        <v>0.59</v>
      </c>
      <c r="I65" s="151">
        <v>0.61</v>
      </c>
      <c r="J65" s="151">
        <v>0.61</v>
      </c>
      <c r="K65" s="151">
        <v>0.59</v>
      </c>
      <c r="L65" s="151">
        <v>0.58885802282746502</v>
      </c>
      <c r="M65" s="151">
        <v>0.59</v>
      </c>
      <c r="N65" s="151">
        <v>0.58248349007199296</v>
      </c>
      <c r="O65" s="151">
        <v>0.59</v>
      </c>
      <c r="P65" s="151">
        <v>0.61012725344644703</v>
      </c>
      <c r="Q65" s="161">
        <v>0.62</v>
      </c>
      <c r="R65" s="162">
        <v>0.61548111905657998</v>
      </c>
      <c r="S65" s="162">
        <v>0.60047976553717697</v>
      </c>
    </row>
    <row r="66" spans="1:19">
      <c r="A66" s="150" t="s">
        <v>55</v>
      </c>
      <c r="B66" s="154">
        <v>0.14000000000000001</v>
      </c>
      <c r="C66" s="154">
        <v>0.14000000000000001</v>
      </c>
      <c r="D66" s="151">
        <v>0.14000000000000001</v>
      </c>
      <c r="E66" s="151">
        <v>0.14000000000000001</v>
      </c>
      <c r="F66" s="151">
        <v>0.15</v>
      </c>
      <c r="G66" s="151">
        <v>0.15</v>
      </c>
      <c r="H66" s="151">
        <v>0.17</v>
      </c>
      <c r="I66" s="151">
        <v>0.18</v>
      </c>
      <c r="J66" s="151">
        <v>0.19</v>
      </c>
      <c r="K66" s="151">
        <v>0.2</v>
      </c>
      <c r="L66" s="151">
        <v>0.196339476072206</v>
      </c>
      <c r="M66" s="151">
        <v>0.2</v>
      </c>
      <c r="N66" s="151">
        <v>0.21745045767593499</v>
      </c>
      <c r="O66" s="158">
        <v>0.23</v>
      </c>
      <c r="P66" s="158">
        <v>0.24993775933609999</v>
      </c>
      <c r="Q66" s="161">
        <v>0.26</v>
      </c>
      <c r="R66" s="162">
        <v>0.252178200997558</v>
      </c>
      <c r="S66" s="162">
        <v>0.237532385002689</v>
      </c>
    </row>
    <row r="67" spans="1:19">
      <c r="A67" s="150" t="s">
        <v>56</v>
      </c>
      <c r="B67" s="154">
        <v>0.18</v>
      </c>
      <c r="C67" s="154">
        <v>0.19</v>
      </c>
      <c r="D67" s="151">
        <v>0.17</v>
      </c>
      <c r="E67" s="151">
        <v>0.16</v>
      </c>
      <c r="F67" s="151">
        <v>0.16</v>
      </c>
      <c r="G67" s="151">
        <v>0.17</v>
      </c>
      <c r="H67" s="151">
        <v>0.16</v>
      </c>
      <c r="I67" s="151">
        <v>0.16</v>
      </c>
      <c r="J67" s="151">
        <v>0.17</v>
      </c>
      <c r="K67" s="151">
        <v>0.18</v>
      </c>
      <c r="L67" s="151">
        <v>0.18189720424856601</v>
      </c>
      <c r="M67" s="151">
        <v>0.18</v>
      </c>
      <c r="N67" s="151">
        <v>0.18</v>
      </c>
      <c r="O67" s="158">
        <v>0.17</v>
      </c>
      <c r="P67" s="158">
        <v>0.18243430617063999</v>
      </c>
      <c r="Q67" s="161">
        <v>0.2</v>
      </c>
      <c r="R67" s="162">
        <v>0.18693847355225801</v>
      </c>
      <c r="S67" s="162">
        <v>0.17683607788990599</v>
      </c>
    </row>
    <row r="68" spans="1:19">
      <c r="A68" s="150" t="s">
        <v>57</v>
      </c>
      <c r="B68" s="154">
        <v>0.21</v>
      </c>
      <c r="C68" s="154">
        <v>0.2</v>
      </c>
      <c r="D68" s="151">
        <v>0.17</v>
      </c>
      <c r="E68" s="151">
        <v>0.16</v>
      </c>
      <c r="F68" s="151">
        <v>0.13</v>
      </c>
      <c r="G68" s="151">
        <v>0.11</v>
      </c>
      <c r="H68" s="151">
        <v>0.09</v>
      </c>
      <c r="I68" s="151">
        <v>0.09</v>
      </c>
      <c r="J68" s="151">
        <v>7.0000000000000007E-2</v>
      </c>
      <c r="K68" s="166">
        <v>0.06</v>
      </c>
      <c r="L68" s="166">
        <v>5.8122719120088803E-2</v>
      </c>
      <c r="M68" s="166">
        <v>0.05</v>
      </c>
      <c r="N68" s="166">
        <v>0.06</v>
      </c>
      <c r="O68" s="156">
        <v>0.06</v>
      </c>
      <c r="P68" s="156">
        <v>7.0000000000000007E-2</v>
      </c>
      <c r="Q68" s="161">
        <v>0.06</v>
      </c>
      <c r="R68" s="162">
        <v>6.2586241529330899E-2</v>
      </c>
      <c r="S68" s="162">
        <v>5.4336469272789498E-2</v>
      </c>
    </row>
    <row r="69" spans="1:19">
      <c r="A69" s="150" t="s">
        <v>58</v>
      </c>
      <c r="B69" s="154">
        <v>0.12</v>
      </c>
      <c r="C69" s="154">
        <v>0.13</v>
      </c>
      <c r="D69" s="151">
        <v>0.13</v>
      </c>
      <c r="E69" s="151">
        <v>0.13</v>
      </c>
      <c r="F69" s="151">
        <v>0.13</v>
      </c>
      <c r="G69" s="151">
        <v>0.13</v>
      </c>
      <c r="H69" s="151">
        <v>0.13</v>
      </c>
      <c r="I69" s="151">
        <v>0.14000000000000001</v>
      </c>
      <c r="J69" s="151">
        <v>0.14000000000000001</v>
      </c>
      <c r="K69" s="151">
        <v>0.14000000000000001</v>
      </c>
      <c r="L69" s="151">
        <v>0.135426620710562</v>
      </c>
      <c r="M69" s="151">
        <v>0.16</v>
      </c>
      <c r="N69" s="151">
        <v>0.15</v>
      </c>
      <c r="O69" s="158">
        <v>0.17</v>
      </c>
      <c r="P69" s="158">
        <v>0.182413457880722</v>
      </c>
      <c r="Q69" s="161">
        <v>0.19</v>
      </c>
      <c r="R69" s="162">
        <v>0.18366132187463399</v>
      </c>
      <c r="S69" s="162">
        <v>0.179358971595873</v>
      </c>
    </row>
    <row r="70" spans="1:19">
      <c r="Q70" s="160"/>
    </row>
    <row r="71" spans="1:19">
      <c r="Q71" s="160"/>
    </row>
    <row r="72" spans="1:19">
      <c r="Q72" s="160"/>
    </row>
    <row r="73" spans="1:19">
      <c r="Q73" s="160"/>
    </row>
    <row r="74" spans="1:19">
      <c r="Q74" s="160"/>
    </row>
    <row r="75" spans="1:19">
      <c r="Q75" s="160"/>
    </row>
    <row r="76" spans="1:19" s="145" customFormat="1" ht="13.2">
      <c r="Q76" s="168"/>
    </row>
    <row r="77" spans="1:19" s="145" customFormat="1" ht="13.2">
      <c r="Q77" s="168"/>
    </row>
    <row r="78" spans="1:19" s="145" customFormat="1" ht="13.2">
      <c r="Q78" s="168"/>
    </row>
    <row r="79" spans="1:19" s="145" customFormat="1" ht="13.2">
      <c r="Q79" s="168"/>
    </row>
    <row r="80" spans="1:19" s="145" customFormat="1" ht="13.2">
      <c r="Q80" s="168"/>
    </row>
    <row r="81" spans="1:19" s="145" customFormat="1" ht="13.2">
      <c r="Q81" s="168"/>
    </row>
    <row r="82" spans="1:19">
      <c r="F82" s="164"/>
      <c r="Q82" s="160"/>
    </row>
    <row r="83" spans="1:19">
      <c r="Q83" s="160"/>
    </row>
    <row r="84" spans="1:19">
      <c r="Q84" s="160"/>
    </row>
    <row r="85" spans="1:19">
      <c r="Q85" s="160"/>
    </row>
    <row r="86" spans="1:19">
      <c r="Q86" s="160"/>
    </row>
    <row r="87" spans="1:19">
      <c r="Q87" s="160"/>
    </row>
    <row r="88" spans="1:19">
      <c r="Q88" s="160"/>
    </row>
    <row r="89" spans="1:19">
      <c r="Q89" s="160"/>
    </row>
    <row r="90" spans="1:19">
      <c r="Q90" s="160"/>
    </row>
    <row r="91" spans="1:19">
      <c r="Q91" s="160"/>
    </row>
    <row r="92" spans="1:19">
      <c r="Q92" s="160"/>
    </row>
    <row r="93" spans="1:19">
      <c r="A93" s="150" t="s">
        <v>237</v>
      </c>
      <c r="B93" s="150">
        <v>2007</v>
      </c>
      <c r="C93" s="150">
        <v>2008</v>
      </c>
      <c r="D93" s="150">
        <v>2009</v>
      </c>
      <c r="E93" s="150">
        <v>2010</v>
      </c>
      <c r="F93" s="150">
        <v>2011</v>
      </c>
      <c r="G93" s="150">
        <v>2012</v>
      </c>
      <c r="H93" s="150">
        <v>2013</v>
      </c>
      <c r="I93" s="150">
        <v>2014</v>
      </c>
      <c r="J93" s="150">
        <v>2015</v>
      </c>
      <c r="K93" s="150">
        <v>2016</v>
      </c>
      <c r="L93" s="150">
        <v>2017</v>
      </c>
      <c r="M93" s="150">
        <v>2018</v>
      </c>
      <c r="N93" s="150">
        <v>2019</v>
      </c>
      <c r="O93" s="157">
        <v>2020</v>
      </c>
      <c r="P93" s="157">
        <v>2021</v>
      </c>
      <c r="Q93" s="153">
        <v>2022</v>
      </c>
      <c r="R93" s="157">
        <v>2023</v>
      </c>
      <c r="S93" s="157">
        <v>2024</v>
      </c>
    </row>
    <row r="94" spans="1:19">
      <c r="A94" s="150" t="s">
        <v>66</v>
      </c>
      <c r="B94" s="154">
        <v>0.49</v>
      </c>
      <c r="C94" s="154">
        <v>0.5</v>
      </c>
      <c r="D94" s="151">
        <v>0.53</v>
      </c>
      <c r="E94" s="151">
        <v>0.56000000000000005</v>
      </c>
      <c r="F94" s="151">
        <v>0.56999999999999995</v>
      </c>
      <c r="G94" s="151">
        <v>0.56000000000000005</v>
      </c>
      <c r="H94" s="151">
        <v>0.57999999999999996</v>
      </c>
      <c r="I94" s="151">
        <v>0.6</v>
      </c>
      <c r="J94" s="151">
        <v>0.62</v>
      </c>
      <c r="K94" s="151">
        <v>0.64</v>
      </c>
      <c r="L94" s="151">
        <v>0.64286458086808396</v>
      </c>
      <c r="M94" s="151">
        <v>0.65</v>
      </c>
      <c r="N94" s="151">
        <v>0.65</v>
      </c>
      <c r="O94" s="158">
        <v>0.64</v>
      </c>
      <c r="P94" s="158">
        <v>0.63646724694160794</v>
      </c>
      <c r="Q94" s="161">
        <v>0.63</v>
      </c>
      <c r="R94" s="162">
        <v>0.62963033773384702</v>
      </c>
      <c r="S94" s="162">
        <v>0.63139585844198498</v>
      </c>
    </row>
    <row r="95" spans="1:19">
      <c r="A95" s="150" t="s">
        <v>55</v>
      </c>
      <c r="B95" s="154">
        <v>0.08</v>
      </c>
      <c r="C95" s="154">
        <v>0.11</v>
      </c>
      <c r="D95" s="151">
        <v>0.12</v>
      </c>
      <c r="E95" s="151">
        <v>0.14000000000000001</v>
      </c>
      <c r="F95" s="151">
        <v>0.16</v>
      </c>
      <c r="G95" s="151">
        <v>0.18</v>
      </c>
      <c r="H95" s="151">
        <v>0.2</v>
      </c>
      <c r="I95" s="151">
        <v>0.22</v>
      </c>
      <c r="J95" s="151">
        <v>0.24</v>
      </c>
      <c r="K95" s="151">
        <v>0.23</v>
      </c>
      <c r="L95" s="151">
        <v>0.23612440311258301</v>
      </c>
      <c r="M95" s="151">
        <v>0.24</v>
      </c>
      <c r="N95" s="151">
        <v>0.250614195986882</v>
      </c>
      <c r="O95" s="158">
        <v>0.26195347385203699</v>
      </c>
      <c r="P95" s="158">
        <v>0.26793113921853601</v>
      </c>
      <c r="Q95" s="161">
        <v>0.28000000000000003</v>
      </c>
      <c r="R95" s="162">
        <v>0.28958580107752901</v>
      </c>
      <c r="S95" s="162">
        <v>0.30656467815701699</v>
      </c>
    </row>
    <row r="96" spans="1:19">
      <c r="A96" s="150" t="s">
        <v>56</v>
      </c>
      <c r="B96" s="154">
        <v>0.14000000000000001</v>
      </c>
      <c r="C96" s="154">
        <v>0.16</v>
      </c>
      <c r="D96" s="151">
        <v>0.17</v>
      </c>
      <c r="E96" s="151">
        <v>0.17</v>
      </c>
      <c r="F96" s="151">
        <v>0.17</v>
      </c>
      <c r="G96" s="151">
        <v>0.19</v>
      </c>
      <c r="H96" s="151">
        <v>0.19</v>
      </c>
      <c r="I96" s="151">
        <v>0.19</v>
      </c>
      <c r="J96" s="151">
        <v>0.2</v>
      </c>
      <c r="K96" s="151">
        <v>0.19</v>
      </c>
      <c r="L96" s="151">
        <v>0.19746896288806801</v>
      </c>
      <c r="M96" s="151">
        <v>0.2</v>
      </c>
      <c r="N96" s="151">
        <v>0.2</v>
      </c>
      <c r="O96" s="158">
        <v>0.19</v>
      </c>
      <c r="P96" s="158">
        <v>0.2</v>
      </c>
      <c r="Q96" s="161">
        <v>0.22</v>
      </c>
      <c r="R96" s="162">
        <v>0.21613698101444301</v>
      </c>
      <c r="S96" s="162">
        <v>0.213855374552055</v>
      </c>
    </row>
    <row r="97" spans="1:19">
      <c r="A97" s="150" t="s">
        <v>57</v>
      </c>
      <c r="B97" s="154">
        <v>0.27</v>
      </c>
      <c r="C97" s="154">
        <v>0.2</v>
      </c>
      <c r="D97" s="151">
        <v>0.25</v>
      </c>
      <c r="E97" s="151">
        <v>0.22</v>
      </c>
      <c r="F97" s="151">
        <v>0.2</v>
      </c>
      <c r="G97" s="151">
        <v>0.2</v>
      </c>
      <c r="H97" s="151">
        <v>0.2</v>
      </c>
      <c r="I97" s="151">
        <v>0.2</v>
      </c>
      <c r="J97" s="151">
        <v>0.17</v>
      </c>
      <c r="K97" s="151">
        <v>0.17</v>
      </c>
      <c r="L97" s="151">
        <v>0.140256673902281</v>
      </c>
      <c r="M97" s="151">
        <v>0.12</v>
      </c>
      <c r="N97" s="151">
        <v>0.12</v>
      </c>
      <c r="O97" s="158">
        <v>0.11</v>
      </c>
      <c r="P97" s="158">
        <v>0.103181856063545</v>
      </c>
      <c r="Q97" s="161">
        <v>0.09</v>
      </c>
      <c r="R97" s="162">
        <v>7.1526080124066402E-2</v>
      </c>
      <c r="S97" s="162">
        <v>6.61624442345113E-2</v>
      </c>
    </row>
    <row r="98" spans="1:19">
      <c r="A98" s="150" t="s">
        <v>58</v>
      </c>
      <c r="B98" s="154">
        <v>0.1</v>
      </c>
      <c r="C98" s="154">
        <v>0.1</v>
      </c>
      <c r="D98" s="151">
        <v>0.11</v>
      </c>
      <c r="E98" s="151">
        <v>0.13</v>
      </c>
      <c r="F98" s="151">
        <v>0.14000000000000001</v>
      </c>
      <c r="G98" s="151">
        <v>0.16</v>
      </c>
      <c r="H98" s="151">
        <v>0.17</v>
      </c>
      <c r="I98" s="151">
        <v>0.18</v>
      </c>
      <c r="J98" s="151">
        <v>0.19</v>
      </c>
      <c r="K98" s="151">
        <v>0.19</v>
      </c>
      <c r="L98" s="151">
        <v>0.20003826502607999</v>
      </c>
      <c r="M98" s="151">
        <v>0.2</v>
      </c>
      <c r="N98" s="151">
        <v>0.21</v>
      </c>
      <c r="O98" s="158">
        <v>0.2</v>
      </c>
      <c r="P98" s="158">
        <v>0.21</v>
      </c>
      <c r="Q98" s="161">
        <v>0.23</v>
      </c>
      <c r="R98" s="162">
        <v>0.163491887262288</v>
      </c>
      <c r="S98" s="162">
        <v>0.22427028125635101</v>
      </c>
    </row>
    <row r="99" spans="1:19">
      <c r="Q99" s="160"/>
    </row>
    <row r="100" spans="1:19">
      <c r="Q100" s="160"/>
    </row>
    <row r="101" spans="1:19">
      <c r="Q101" s="160"/>
    </row>
    <row r="102" spans="1:19">
      <c r="Q102" s="160"/>
    </row>
    <row r="103" spans="1:19">
      <c r="Q103" s="160"/>
    </row>
    <row r="104" spans="1:19">
      <c r="Q104" s="160"/>
    </row>
    <row r="105" spans="1:19">
      <c r="Q105" s="160"/>
    </row>
    <row r="106" spans="1:19">
      <c r="Q106" s="160"/>
    </row>
    <row r="107" spans="1:19">
      <c r="Q107" s="160"/>
    </row>
    <row r="108" spans="1:19">
      <c r="Q108" s="160"/>
    </row>
    <row r="109" spans="1:19">
      <c r="Q109" s="160"/>
    </row>
    <row r="110" spans="1:19">
      <c r="Q110" s="160"/>
    </row>
    <row r="111" spans="1:19">
      <c r="Q111" s="160"/>
    </row>
    <row r="112" spans="1:19">
      <c r="Q112" s="160"/>
    </row>
    <row r="113" spans="1:19">
      <c r="Q113" s="160"/>
    </row>
    <row r="114" spans="1:19">
      <c r="Q114" s="160"/>
    </row>
    <row r="115" spans="1:19">
      <c r="Q115" s="160"/>
    </row>
    <row r="116" spans="1:19">
      <c r="Q116" s="160"/>
    </row>
    <row r="117" spans="1:19">
      <c r="Q117" s="160"/>
    </row>
    <row r="118" spans="1:19">
      <c r="Q118" s="160"/>
    </row>
    <row r="119" spans="1:19">
      <c r="Q119" s="160"/>
    </row>
    <row r="120" spans="1:19">
      <c r="Q120" s="160"/>
    </row>
    <row r="121" spans="1:19">
      <c r="Q121" s="160"/>
    </row>
    <row r="122" spans="1:19">
      <c r="A122" s="150" t="s">
        <v>490</v>
      </c>
      <c r="B122" s="165">
        <v>2003</v>
      </c>
      <c r="C122" s="165">
        <v>2004</v>
      </c>
      <c r="D122" s="150">
        <v>2005</v>
      </c>
      <c r="E122" s="150">
        <v>2006</v>
      </c>
      <c r="F122" s="153">
        <v>2007</v>
      </c>
      <c r="G122" s="153">
        <v>2008</v>
      </c>
      <c r="H122" s="153">
        <v>2009</v>
      </c>
      <c r="I122" s="153">
        <v>2010</v>
      </c>
      <c r="J122" s="153">
        <v>2011</v>
      </c>
      <c r="K122" s="153">
        <v>2012</v>
      </c>
      <c r="L122" s="153">
        <v>2013</v>
      </c>
      <c r="M122" s="153">
        <v>2014</v>
      </c>
      <c r="N122" s="153">
        <v>2015</v>
      </c>
      <c r="O122" s="153">
        <v>2016</v>
      </c>
      <c r="P122" s="153">
        <v>2017</v>
      </c>
      <c r="Q122" s="153">
        <v>2018</v>
      </c>
      <c r="R122" s="153">
        <v>2019</v>
      </c>
      <c r="S122" s="153">
        <v>2020</v>
      </c>
    </row>
    <row r="123" spans="1:19">
      <c r="A123" s="150" t="s">
        <v>66</v>
      </c>
      <c r="B123" s="154">
        <v>0.87</v>
      </c>
      <c r="C123" s="154">
        <v>0.87</v>
      </c>
      <c r="D123" s="154">
        <v>0.9</v>
      </c>
      <c r="E123" s="154">
        <v>0.87</v>
      </c>
      <c r="F123" s="166">
        <v>0.90509868421052597</v>
      </c>
      <c r="G123" s="166">
        <v>0.923927664026304</v>
      </c>
      <c r="H123" s="166">
        <v>0.92701141327321401</v>
      </c>
      <c r="I123" s="166">
        <v>0.91365920511649201</v>
      </c>
      <c r="J123" s="166">
        <v>0.91704579921140394</v>
      </c>
      <c r="K123" s="167">
        <v>0.83913111915630401</v>
      </c>
      <c r="L123" s="167">
        <v>0.86698376250615095</v>
      </c>
      <c r="M123" s="167">
        <v>0.86710334788937404</v>
      </c>
      <c r="N123" s="167">
        <v>0.86671459381739802</v>
      </c>
      <c r="O123" s="167">
        <v>0.86257514329651896</v>
      </c>
      <c r="P123" s="167">
        <v>0.84181710565255996</v>
      </c>
      <c r="Q123" s="161">
        <v>0.86</v>
      </c>
      <c r="R123" s="162">
        <v>0.87193643953676303</v>
      </c>
      <c r="S123" s="162">
        <v>0.66407889215274896</v>
      </c>
    </row>
    <row r="124" spans="1:19">
      <c r="A124" s="150" t="s">
        <v>55</v>
      </c>
      <c r="B124" s="154">
        <v>0.61</v>
      </c>
      <c r="C124" s="154">
        <v>0.62</v>
      </c>
      <c r="D124" s="154">
        <v>0.7</v>
      </c>
      <c r="E124" s="154">
        <v>0.69</v>
      </c>
      <c r="F124" s="166">
        <v>0.72397533550961202</v>
      </c>
      <c r="G124" s="166">
        <v>0.80061664953751299</v>
      </c>
      <c r="H124" s="166">
        <v>0.83573452999527598</v>
      </c>
      <c r="I124" s="166">
        <v>0.81772207563764299</v>
      </c>
      <c r="J124" s="166">
        <v>0.82463585273540496</v>
      </c>
      <c r="K124" s="167">
        <v>0.76014964666759</v>
      </c>
      <c r="L124" s="167">
        <v>0.80945454545454498</v>
      </c>
      <c r="M124" s="167">
        <v>0.775160599571734</v>
      </c>
      <c r="N124" s="167">
        <v>0.79798917246713097</v>
      </c>
      <c r="O124" s="167">
        <v>0.80992390615091903</v>
      </c>
      <c r="P124" s="167">
        <v>0.77204518630922303</v>
      </c>
      <c r="Q124" s="161">
        <v>0.8</v>
      </c>
      <c r="R124" s="162">
        <v>0.82916744972749501</v>
      </c>
      <c r="S124" s="162">
        <v>0.62652492157546202</v>
      </c>
    </row>
    <row r="125" spans="1:19">
      <c r="A125" s="150" t="s">
        <v>56</v>
      </c>
      <c r="B125" s="154">
        <v>0.33</v>
      </c>
      <c r="C125" s="154">
        <v>0.41</v>
      </c>
      <c r="D125" s="154">
        <v>0.45</v>
      </c>
      <c r="E125" s="154">
        <v>0.46</v>
      </c>
      <c r="F125" s="166">
        <v>0.58262711864406802</v>
      </c>
      <c r="G125" s="166">
        <v>0.66942551119766303</v>
      </c>
      <c r="H125" s="166">
        <v>0.68544600938967104</v>
      </c>
      <c r="I125" s="166">
        <v>0.66832563099893305</v>
      </c>
      <c r="J125" s="166">
        <v>0.62814070351758799</v>
      </c>
      <c r="K125" s="167">
        <v>0.41359223300970899</v>
      </c>
      <c r="L125" s="167">
        <v>0.56873822975517896</v>
      </c>
      <c r="M125" s="167">
        <v>0.61088024178315103</v>
      </c>
      <c r="N125" s="167">
        <v>0.65722914307285796</v>
      </c>
      <c r="O125" s="167">
        <v>0.69913344887348305</v>
      </c>
      <c r="P125" s="167">
        <v>0.74959612277867504</v>
      </c>
      <c r="Q125" s="161">
        <v>0.77</v>
      </c>
      <c r="R125" s="162">
        <v>0.76658126957016803</v>
      </c>
      <c r="S125" s="162">
        <v>0.72138635142396601</v>
      </c>
    </row>
    <row r="126" spans="1:19">
      <c r="A126" s="150" t="s">
        <v>57</v>
      </c>
      <c r="B126" s="154">
        <v>0.97</v>
      </c>
      <c r="C126" s="154">
        <v>0.92</v>
      </c>
      <c r="D126" s="154">
        <v>0.93</v>
      </c>
      <c r="E126" s="154">
        <v>0.92</v>
      </c>
      <c r="F126" s="166">
        <v>0.82513661202185795</v>
      </c>
      <c r="G126" s="166">
        <v>0.78974358974359005</v>
      </c>
      <c r="H126" s="166">
        <v>0.91501416430594895</v>
      </c>
      <c r="I126" s="166">
        <v>0.98009950248756195</v>
      </c>
      <c r="J126" s="166">
        <v>0.89121338912133896</v>
      </c>
      <c r="K126" s="167">
        <v>0.87936932916852595</v>
      </c>
      <c r="L126" s="167">
        <v>0.75609756097560998</v>
      </c>
      <c r="M126" s="167">
        <v>0.712927756653992</v>
      </c>
      <c r="N126" s="167">
        <v>0.67571721311475397</v>
      </c>
      <c r="O126" s="167">
        <v>0.84320922915574203</v>
      </c>
      <c r="P126" s="167">
        <v>0.804977375565611</v>
      </c>
      <c r="Q126" s="161">
        <v>0.84</v>
      </c>
      <c r="R126" s="162">
        <v>0.83841886269070698</v>
      </c>
      <c r="S126" s="162">
        <v>0.67121212121212104</v>
      </c>
    </row>
    <row r="127" spans="1:19">
      <c r="A127" s="150" t="s">
        <v>58</v>
      </c>
      <c r="B127" s="154">
        <v>0.84</v>
      </c>
      <c r="C127" s="154">
        <v>0.8</v>
      </c>
      <c r="D127" s="154">
        <v>0.89</v>
      </c>
      <c r="E127" s="154">
        <v>0.89</v>
      </c>
      <c r="F127" s="166">
        <v>0.91616876551153603</v>
      </c>
      <c r="G127" s="166">
        <v>0.94548471201706596</v>
      </c>
      <c r="H127" s="166">
        <v>0.93071798667653605</v>
      </c>
      <c r="I127" s="166">
        <v>0.92047172664045995</v>
      </c>
      <c r="J127" s="166">
        <v>0.94011283089830799</v>
      </c>
      <c r="K127" s="167">
        <v>0.77182770663562295</v>
      </c>
      <c r="L127" s="167">
        <v>0.90909090909090895</v>
      </c>
      <c r="M127" s="167">
        <v>0.919427036705461</v>
      </c>
      <c r="N127" s="167">
        <v>0.91993817619783602</v>
      </c>
      <c r="O127" s="167">
        <v>0.908472379718127</v>
      </c>
      <c r="P127" s="167">
        <v>0.89466840052015595</v>
      </c>
      <c r="Q127" s="161">
        <v>0.84</v>
      </c>
      <c r="R127" s="162">
        <v>0.90682343346472705</v>
      </c>
      <c r="S127" s="162">
        <v>0.85226932668329203</v>
      </c>
    </row>
    <row r="128" spans="1:19">
      <c r="A128" s="150" t="s">
        <v>59</v>
      </c>
      <c r="B128" s="154">
        <v>0.98</v>
      </c>
      <c r="C128" s="154">
        <v>0.98</v>
      </c>
      <c r="D128" s="154">
        <v>0.97</v>
      </c>
      <c r="E128" s="154">
        <v>0.96</v>
      </c>
      <c r="F128" s="166">
        <v>0.96408839779005495</v>
      </c>
      <c r="G128" s="166">
        <v>0.97122302158273399</v>
      </c>
      <c r="H128" s="166">
        <v>0.97029702970297005</v>
      </c>
      <c r="I128" s="166">
        <v>0.96694214876033102</v>
      </c>
      <c r="J128" s="166">
        <v>0.822784810126582</v>
      </c>
      <c r="K128" s="167">
        <v>0.83069427527405604</v>
      </c>
      <c r="L128" s="167">
        <v>0.74751491053677899</v>
      </c>
      <c r="M128" s="167">
        <v>0.86202964652223502</v>
      </c>
      <c r="N128" s="167">
        <v>0.88952164009111601</v>
      </c>
      <c r="O128" s="167">
        <v>0.89392265193370202</v>
      </c>
      <c r="P128" s="167">
        <v>0.89885664028144197</v>
      </c>
      <c r="Q128" s="161">
        <v>0.89</v>
      </c>
      <c r="R128" s="162">
        <v>0.82833787465940101</v>
      </c>
      <c r="S128" s="162">
        <v>0.653372008701958</v>
      </c>
    </row>
    <row r="129" spans="1:19">
      <c r="A129" s="150" t="s">
        <v>487</v>
      </c>
      <c r="B129" s="154">
        <v>0.72</v>
      </c>
      <c r="C129" s="154">
        <v>0.72</v>
      </c>
      <c r="D129" s="154">
        <v>0.79</v>
      </c>
      <c r="E129" s="154">
        <v>0.78</v>
      </c>
      <c r="F129" s="166">
        <v>0.82929585422699303</v>
      </c>
      <c r="G129" s="166">
        <v>0.88250591804754397</v>
      </c>
      <c r="H129" s="166">
        <v>0.88792178736706595</v>
      </c>
      <c r="I129" s="166">
        <v>0.87142337536372405</v>
      </c>
      <c r="J129" s="166">
        <v>0.873079531715373</v>
      </c>
      <c r="K129" s="167">
        <v>0.79481532750267403</v>
      </c>
      <c r="L129" s="167">
        <v>0.843386682772158</v>
      </c>
      <c r="M129" s="167">
        <v>0.84122955442752401</v>
      </c>
      <c r="N129" s="167">
        <v>0.84588083796601699</v>
      </c>
      <c r="O129" s="167">
        <v>0.85478034535297098</v>
      </c>
      <c r="P129" s="167">
        <v>0.84104459073407001</v>
      </c>
      <c r="Q129" s="161">
        <v>0.85</v>
      </c>
      <c r="R129" s="162">
        <v>0.86538516547956201</v>
      </c>
      <c r="S129" s="162">
        <v>0.72821899290300796</v>
      </c>
    </row>
    <row r="130" spans="1:19">
      <c r="Q130" s="160"/>
    </row>
    <row r="131" spans="1:19">
      <c r="A131" s="169" t="s">
        <v>491</v>
      </c>
      <c r="B131" s="169"/>
      <c r="C131" s="169"/>
      <c r="Q131" s="160"/>
    </row>
    <row r="132" spans="1:19">
      <c r="Q132" s="160"/>
    </row>
    <row r="133" spans="1:19">
      <c r="Q133" s="160"/>
    </row>
    <row r="134" spans="1:19">
      <c r="Q134" s="160"/>
    </row>
    <row r="135" spans="1:19">
      <c r="Q135" s="160"/>
    </row>
    <row r="136" spans="1:19">
      <c r="Q136" s="160"/>
    </row>
    <row r="137" spans="1:19">
      <c r="Q137" s="160"/>
    </row>
    <row r="138" spans="1:19">
      <c r="Q138" s="160"/>
    </row>
    <row r="139" spans="1:19">
      <c r="Q139" s="160"/>
    </row>
    <row r="140" spans="1:19">
      <c r="Q140" s="160"/>
    </row>
    <row r="141" spans="1:19">
      <c r="Q141" s="160"/>
    </row>
    <row r="142" spans="1:19">
      <c r="Q142" s="160"/>
    </row>
    <row r="143" spans="1:19">
      <c r="Q143" s="160"/>
    </row>
    <row r="144" spans="1:19">
      <c r="Q144" s="160"/>
    </row>
    <row r="145" spans="4:17">
      <c r="Q145" s="160"/>
    </row>
    <row r="146" spans="4:17">
      <c r="Q146" s="160"/>
    </row>
    <row r="147" spans="4:17">
      <c r="Q147" s="160"/>
    </row>
    <row r="148" spans="4:17">
      <c r="Q148" s="160"/>
    </row>
    <row r="149" spans="4:17">
      <c r="Q149" s="160"/>
    </row>
    <row r="150" spans="4:17">
      <c r="Q150" s="160"/>
    </row>
    <row r="151" spans="4:17">
      <c r="Q151" s="160"/>
    </row>
    <row r="152" spans="4:17">
      <c r="Q152" s="160"/>
    </row>
    <row r="153" spans="4:17">
      <c r="Q153" s="160"/>
    </row>
    <row r="154" spans="4:17">
      <c r="Q154" s="160"/>
    </row>
    <row r="155" spans="4:17">
      <c r="Q155" s="160"/>
    </row>
    <row r="156" spans="4:17">
      <c r="Q156" s="160"/>
    </row>
    <row r="157" spans="4:17">
      <c r="Q157" s="160"/>
    </row>
    <row r="158" spans="4:17">
      <c r="Q158" s="160"/>
    </row>
    <row r="159" spans="4:17">
      <c r="Q159" s="160"/>
    </row>
    <row r="160" spans="4:17">
      <c r="D160" s="152"/>
      <c r="E160" s="152"/>
      <c r="F160" s="152"/>
      <c r="G160" s="152"/>
      <c r="H160" s="152"/>
      <c r="I160" s="152"/>
      <c r="J160" s="152"/>
      <c r="K160" s="152"/>
      <c r="L160" s="152"/>
      <c r="M160" s="152"/>
      <c r="Q160" s="160"/>
    </row>
    <row r="161" spans="4:20">
      <c r="D161" s="152"/>
      <c r="E161" s="152"/>
      <c r="F161" s="152"/>
      <c r="G161" s="152"/>
      <c r="H161" s="152"/>
      <c r="I161" s="152"/>
      <c r="J161" s="152"/>
      <c r="K161" s="152"/>
      <c r="L161" s="152"/>
      <c r="M161" s="152"/>
      <c r="Q161" s="160"/>
    </row>
    <row r="162" spans="4:20">
      <c r="D162" s="152"/>
      <c r="E162" s="152"/>
      <c r="F162" s="152"/>
      <c r="G162" s="152"/>
      <c r="H162" s="152"/>
      <c r="I162" s="152"/>
      <c r="J162" s="152"/>
      <c r="K162" s="152"/>
      <c r="L162" s="152"/>
      <c r="M162" s="152"/>
      <c r="Q162" s="160"/>
    </row>
    <row r="163" spans="4:20">
      <c r="D163" s="152"/>
      <c r="E163" s="152"/>
      <c r="F163" s="152"/>
      <c r="G163" s="152"/>
      <c r="H163" s="152"/>
      <c r="I163" s="152"/>
      <c r="J163" s="152"/>
      <c r="K163" s="152"/>
      <c r="L163" s="152"/>
      <c r="M163" s="152"/>
      <c r="Q163" s="160"/>
    </row>
    <row r="164" spans="4:20">
      <c r="Q164" s="160"/>
    </row>
    <row r="165" spans="4:20">
      <c r="Q165" s="160"/>
    </row>
    <row r="166" spans="4:20">
      <c r="Q166" s="160"/>
    </row>
    <row r="167" spans="4:20">
      <c r="Q167" s="160"/>
      <c r="T167" s="170"/>
    </row>
    <row r="168" spans="4:20">
      <c r="Q168" s="160"/>
    </row>
    <row r="169" spans="4:20">
      <c r="Q169" s="160"/>
    </row>
    <row r="170" spans="4:20">
      <c r="Q170" s="160"/>
    </row>
    <row r="171" spans="4:20">
      <c r="Q171" s="160"/>
    </row>
    <row r="172" spans="4:20">
      <c r="Q172" s="160"/>
    </row>
    <row r="173" spans="4:20">
      <c r="Q173" s="160"/>
    </row>
    <row r="174" spans="4:20">
      <c r="Q174" s="160"/>
    </row>
    <row r="175" spans="4:20">
      <c r="Q175" s="160"/>
    </row>
    <row r="176" spans="4:20">
      <c r="Q176" s="160"/>
    </row>
    <row r="177" spans="17:17">
      <c r="Q177" s="160"/>
    </row>
    <row r="178" spans="17:17">
      <c r="Q178" s="160"/>
    </row>
    <row r="179" spans="17:17">
      <c r="Q179" s="160"/>
    </row>
    <row r="180" spans="17:17">
      <c r="Q180" s="160"/>
    </row>
    <row r="181" spans="17:17">
      <c r="Q181" s="160"/>
    </row>
    <row r="182" spans="17:17">
      <c r="Q182" s="160"/>
    </row>
    <row r="183" spans="17:17">
      <c r="Q183" s="160"/>
    </row>
    <row r="184" spans="17:17">
      <c r="Q184" s="160"/>
    </row>
    <row r="185" spans="17:17">
      <c r="Q185" s="160"/>
    </row>
    <row r="186" spans="17:17">
      <c r="Q186" s="160"/>
    </row>
    <row r="187" spans="17:17">
      <c r="Q187" s="160"/>
    </row>
    <row r="188" spans="17:17">
      <c r="Q188" s="160"/>
    </row>
    <row r="189" spans="17:17">
      <c r="Q189" s="160"/>
    </row>
    <row r="190" spans="17:17">
      <c r="Q190" s="160"/>
    </row>
    <row r="191" spans="17:17">
      <c r="Q191" s="160"/>
    </row>
    <row r="192" spans="17:17">
      <c r="Q192" s="160"/>
    </row>
    <row r="193" spans="8:17">
      <c r="Q193" s="160"/>
    </row>
    <row r="194" spans="8:17">
      <c r="Q194" s="160"/>
    </row>
    <row r="195" spans="8:17">
      <c r="Q195" s="160"/>
    </row>
    <row r="196" spans="8:17">
      <c r="Q196" s="160"/>
    </row>
    <row r="197" spans="8:17">
      <c r="Q197" s="160"/>
    </row>
    <row r="198" spans="8:17">
      <c r="Q198" s="160"/>
    </row>
    <row r="199" spans="8:17">
      <c r="Q199" s="160"/>
    </row>
    <row r="200" spans="8:17">
      <c r="Q200" s="160"/>
    </row>
    <row r="201" spans="8:17">
      <c r="Q201" s="160"/>
    </row>
    <row r="202" spans="8:17">
      <c r="Q202" s="160"/>
    </row>
    <row r="203" spans="8:17">
      <c r="Q203" s="160"/>
    </row>
    <row r="204" spans="8:17">
      <c r="Q204" s="160"/>
    </row>
    <row r="205" spans="8:17">
      <c r="Q205" s="160"/>
    </row>
    <row r="206" spans="8:17">
      <c r="H206" s="171"/>
      <c r="I206" s="171"/>
      <c r="J206" s="171"/>
      <c r="K206" s="171"/>
      <c r="L206" s="171"/>
      <c r="Q206" s="160"/>
    </row>
    <row r="207" spans="8:17">
      <c r="H207" s="171"/>
      <c r="I207" s="171"/>
      <c r="J207" s="171"/>
      <c r="K207" s="171"/>
      <c r="L207" s="171"/>
      <c r="Q207" s="160"/>
    </row>
    <row r="208" spans="8:17">
      <c r="H208" s="171"/>
      <c r="I208" s="171"/>
      <c r="J208" s="171"/>
      <c r="K208" s="171"/>
      <c r="L208" s="171"/>
      <c r="Q208" s="160"/>
    </row>
    <row r="209" spans="8:12">
      <c r="H209" s="171"/>
      <c r="I209" s="171"/>
      <c r="J209" s="171"/>
      <c r="K209" s="171"/>
      <c r="L209" s="171"/>
    </row>
    <row r="210" spans="8:12">
      <c r="H210" s="171"/>
      <c r="I210" s="171"/>
      <c r="J210" s="171"/>
      <c r="K210" s="171"/>
      <c r="L210" s="171"/>
    </row>
    <row r="211" spans="8:12">
      <c r="H211" s="171"/>
      <c r="I211" s="171"/>
      <c r="J211" s="171"/>
      <c r="K211" s="171"/>
      <c r="L211" s="171"/>
    </row>
    <row r="212" spans="8:12">
      <c r="H212" s="171"/>
      <c r="I212" s="171"/>
      <c r="J212" s="171"/>
      <c r="K212" s="171"/>
      <c r="L212" s="171"/>
    </row>
  </sheetData>
  <phoneticPr fontId="93" type="noConversion"/>
  <hyperlinks>
    <hyperlink ref="Q1" location="Content!A1" display="content" xr:uid="{00000000-0004-0000-1500-000000000000}"/>
  </hyperlinks>
  <pageMargins left="0.69930555555555596" right="0.69930555555555596" top="0.75" bottom="0.75" header="0.3" footer="0.3"/>
  <pageSetup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AD188"/>
  <sheetViews>
    <sheetView zoomScaleNormal="100" workbookViewId="0">
      <pane xSplit="1" ySplit="7" topLeftCell="AQ29" activePane="bottomRight" state="frozenSplit"/>
      <selection pane="topRight"/>
      <selection pane="bottomLeft"/>
      <selection pane="bottomRight" activeCell="A15" sqref="A15"/>
    </sheetView>
  </sheetViews>
  <sheetFormatPr defaultColWidth="9" defaultRowHeight="14.4"/>
  <cols>
    <col min="1" max="1" width="28.77734375" customWidth="1"/>
  </cols>
  <sheetData>
    <row r="1" spans="1:30" ht="18">
      <c r="A1" s="71" t="s">
        <v>47</v>
      </c>
      <c r="B1" s="2"/>
      <c r="C1" s="2"/>
      <c r="D1" s="2"/>
      <c r="E1" s="2"/>
      <c r="F1" s="2"/>
      <c r="G1" s="2"/>
      <c r="H1" s="2"/>
      <c r="I1" s="2"/>
      <c r="J1" s="2"/>
      <c r="K1" s="2"/>
      <c r="L1" s="2"/>
      <c r="M1" s="2"/>
      <c r="N1" s="2"/>
      <c r="O1" s="2"/>
      <c r="P1" s="2"/>
      <c r="Q1" s="1"/>
      <c r="R1" s="1"/>
      <c r="S1" s="2"/>
      <c r="T1" s="2"/>
      <c r="U1" s="2"/>
      <c r="V1" s="2"/>
      <c r="W1" s="2"/>
      <c r="X1" s="2"/>
      <c r="Y1" s="2"/>
      <c r="Z1" s="2"/>
      <c r="AB1" s="57" t="s">
        <v>48</v>
      </c>
    </row>
    <row r="2" spans="1:30">
      <c r="A2" s="72" t="s">
        <v>417</v>
      </c>
      <c r="B2" s="2"/>
      <c r="C2" s="2"/>
      <c r="D2" s="2"/>
      <c r="E2" s="2"/>
      <c r="F2" s="2"/>
      <c r="G2" s="2"/>
      <c r="H2" s="2"/>
      <c r="I2" s="2"/>
      <c r="J2" s="2"/>
      <c r="K2" s="2"/>
      <c r="L2" s="2"/>
      <c r="M2" s="2"/>
      <c r="N2" s="2"/>
      <c r="O2" s="2"/>
      <c r="P2" s="2"/>
      <c r="Q2" s="1"/>
      <c r="R2" s="1"/>
      <c r="S2" s="2"/>
      <c r="T2" s="2"/>
      <c r="U2" s="2"/>
      <c r="V2" s="2"/>
      <c r="W2" s="2"/>
      <c r="X2" s="2"/>
      <c r="Y2" s="2"/>
      <c r="Z2" s="2"/>
    </row>
    <row r="3" spans="1:30">
      <c r="A3" s="73" t="s">
        <v>492</v>
      </c>
      <c r="B3" s="2"/>
      <c r="C3" s="2"/>
      <c r="D3" s="2"/>
      <c r="E3" s="2"/>
      <c r="F3" s="2"/>
      <c r="G3" s="2"/>
      <c r="H3" s="2"/>
      <c r="I3" s="2"/>
      <c r="J3" s="2"/>
      <c r="K3" s="2"/>
      <c r="L3" s="2"/>
      <c r="M3" s="2"/>
      <c r="N3" s="2"/>
      <c r="O3" s="2"/>
      <c r="P3" s="2"/>
      <c r="Q3" s="1"/>
      <c r="R3" s="1"/>
      <c r="S3" s="2"/>
      <c r="T3" s="2"/>
      <c r="U3" s="2"/>
      <c r="V3" s="2"/>
      <c r="W3" s="2"/>
      <c r="X3" s="2"/>
      <c r="Y3" s="2"/>
      <c r="Z3" s="2"/>
    </row>
    <row r="4" spans="1:30">
      <c r="A4" s="73" t="s">
        <v>493</v>
      </c>
      <c r="B4" s="2"/>
      <c r="C4" s="2"/>
      <c r="D4" s="2"/>
      <c r="E4" s="2"/>
      <c r="F4" s="2"/>
      <c r="G4" s="2"/>
      <c r="H4" s="2"/>
      <c r="I4" s="2"/>
      <c r="J4" s="2"/>
      <c r="K4" s="101"/>
      <c r="L4" s="101"/>
      <c r="M4" s="101"/>
      <c r="N4" s="101"/>
      <c r="O4" s="101"/>
      <c r="P4" s="101"/>
      <c r="Q4" s="101"/>
      <c r="R4" s="101"/>
      <c r="S4" s="2"/>
      <c r="T4" s="2"/>
      <c r="U4" s="2"/>
      <c r="V4" s="2"/>
      <c r="W4" s="2"/>
      <c r="X4" s="2"/>
      <c r="Y4" s="2"/>
      <c r="Z4" s="2"/>
    </row>
    <row r="5" spans="1:30">
      <c r="A5" s="2"/>
      <c r="B5" s="2"/>
      <c r="C5" s="2"/>
      <c r="D5" s="2"/>
      <c r="E5" s="2"/>
      <c r="F5" s="2"/>
      <c r="G5" s="2"/>
      <c r="H5" s="2"/>
      <c r="I5" s="2"/>
      <c r="J5" s="2"/>
      <c r="K5" s="101"/>
      <c r="L5" s="101"/>
      <c r="M5" s="101"/>
      <c r="N5" s="101"/>
      <c r="O5" s="101"/>
      <c r="P5" s="101"/>
      <c r="Q5" s="101"/>
      <c r="R5" s="101"/>
      <c r="S5" s="2"/>
      <c r="T5" s="2"/>
      <c r="U5" s="2"/>
      <c r="V5" s="2"/>
      <c r="W5" s="2"/>
      <c r="X5" s="2"/>
      <c r="Y5" s="2"/>
      <c r="Z5" s="2"/>
      <c r="AB5" s="123"/>
      <c r="AC5" s="123"/>
      <c r="AD5" s="123"/>
    </row>
    <row r="6" spans="1:30">
      <c r="A6" t="s">
        <v>494</v>
      </c>
      <c r="P6" s="101"/>
      <c r="Q6" s="101"/>
      <c r="R6" s="101"/>
      <c r="S6" s="2"/>
      <c r="T6" s="2"/>
      <c r="U6" s="2"/>
      <c r="V6" s="2"/>
      <c r="W6" s="2"/>
      <c r="X6" s="2"/>
      <c r="Y6" s="2"/>
      <c r="Z6" s="2"/>
      <c r="AB6" s="123"/>
      <c r="AC6" s="123"/>
      <c r="AD6" s="123"/>
    </row>
    <row r="7" spans="1:30">
      <c r="A7" s="74" t="s">
        <v>94</v>
      </c>
      <c r="B7" s="75">
        <f t="shared" ref="B7:M7" si="0">C7-1</f>
        <v>1996</v>
      </c>
      <c r="C7" s="74">
        <f t="shared" si="0"/>
        <v>1997</v>
      </c>
      <c r="D7" s="74">
        <f t="shared" si="0"/>
        <v>1998</v>
      </c>
      <c r="E7" s="74">
        <f t="shared" si="0"/>
        <v>1999</v>
      </c>
      <c r="F7" s="74">
        <f t="shared" si="0"/>
        <v>2000</v>
      </c>
      <c r="G7" s="74">
        <f t="shared" si="0"/>
        <v>2001</v>
      </c>
      <c r="H7" s="74">
        <f t="shared" si="0"/>
        <v>2002</v>
      </c>
      <c r="I7" s="74">
        <f t="shared" si="0"/>
        <v>2003</v>
      </c>
      <c r="J7" s="74">
        <f t="shared" si="0"/>
        <v>2004</v>
      </c>
      <c r="K7" s="74">
        <f t="shared" si="0"/>
        <v>2005</v>
      </c>
      <c r="L7" s="74">
        <f t="shared" si="0"/>
        <v>2006</v>
      </c>
      <c r="M7" s="74">
        <f t="shared" si="0"/>
        <v>2007</v>
      </c>
      <c r="N7" s="74">
        <v>2008</v>
      </c>
      <c r="O7" s="74">
        <v>2009</v>
      </c>
      <c r="P7" s="74">
        <v>2010</v>
      </c>
      <c r="Q7" s="74">
        <v>2011</v>
      </c>
      <c r="R7" s="74">
        <v>2012</v>
      </c>
      <c r="S7" s="74">
        <v>2013</v>
      </c>
      <c r="T7" s="74">
        <v>2014</v>
      </c>
      <c r="U7" s="74">
        <v>2015</v>
      </c>
      <c r="V7" s="74">
        <v>2016</v>
      </c>
      <c r="W7" s="74">
        <v>2017</v>
      </c>
      <c r="X7" s="74">
        <v>2018</v>
      </c>
      <c r="Y7" s="74">
        <v>2019</v>
      </c>
      <c r="Z7" s="124">
        <v>2020</v>
      </c>
      <c r="AA7" s="124">
        <v>2021</v>
      </c>
      <c r="AB7" s="74">
        <v>2022</v>
      </c>
      <c r="AC7" s="124">
        <v>2023</v>
      </c>
      <c r="AD7" s="124">
        <v>2024</v>
      </c>
    </row>
    <row r="8" spans="1:30">
      <c r="A8" s="74" t="s">
        <v>186</v>
      </c>
      <c r="B8" s="76">
        <v>5766</v>
      </c>
      <c r="C8" s="77">
        <v>6376</v>
      </c>
      <c r="D8" s="77">
        <v>8311</v>
      </c>
      <c r="E8" s="77">
        <v>10528</v>
      </c>
      <c r="F8" s="77">
        <v>13245</v>
      </c>
      <c r="G8" s="77">
        <v>15358</v>
      </c>
      <c r="H8" s="77">
        <v>14816</v>
      </c>
      <c r="I8" s="77">
        <v>15867</v>
      </c>
      <c r="J8" s="77">
        <v>18548</v>
      </c>
      <c r="K8" s="77">
        <v>21254</v>
      </c>
      <c r="L8" s="33">
        <v>23382</v>
      </c>
      <c r="M8" s="77">
        <v>26061</v>
      </c>
      <c r="N8" s="77">
        <v>29494</v>
      </c>
      <c r="O8" s="77">
        <v>27360</v>
      </c>
      <c r="P8" s="77">
        <v>28900</v>
      </c>
      <c r="Q8" s="77">
        <v>30893</v>
      </c>
      <c r="R8" s="77">
        <v>32430</v>
      </c>
      <c r="S8" s="77">
        <v>32036</v>
      </c>
      <c r="T8" s="77">
        <v>32902</v>
      </c>
      <c r="U8" s="77">
        <v>34151</v>
      </c>
      <c r="V8" s="77">
        <v>35288</v>
      </c>
      <c r="W8" s="77">
        <v>36619</v>
      </c>
      <c r="X8" s="77">
        <v>37937</v>
      </c>
      <c r="Y8" s="77">
        <v>37998</v>
      </c>
      <c r="Z8" s="85">
        <v>38872</v>
      </c>
      <c r="AA8" s="85">
        <v>38322</v>
      </c>
      <c r="AB8" s="125">
        <v>38761</v>
      </c>
      <c r="AC8" s="126">
        <v>38631</v>
      </c>
      <c r="AD8" s="126">
        <v>39084</v>
      </c>
    </row>
    <row r="9" spans="1:30">
      <c r="A9" s="74" t="s">
        <v>129</v>
      </c>
      <c r="B9" s="78">
        <v>3834</v>
      </c>
      <c r="C9" s="79">
        <v>4815</v>
      </c>
      <c r="D9" s="79">
        <v>6063</v>
      </c>
      <c r="E9" s="79">
        <v>7209</v>
      </c>
      <c r="F9" s="79">
        <v>9447</v>
      </c>
      <c r="G9" s="79">
        <v>11687</v>
      </c>
      <c r="H9" s="80">
        <v>13879</v>
      </c>
      <c r="I9" s="80">
        <v>17097</v>
      </c>
      <c r="J9" s="102">
        <v>20264</v>
      </c>
      <c r="K9" s="103">
        <v>24868</v>
      </c>
      <c r="L9" s="104">
        <v>27024</v>
      </c>
      <c r="M9" s="77">
        <v>27748</v>
      </c>
      <c r="N9" s="77">
        <v>28027</v>
      </c>
      <c r="O9" s="77">
        <v>29291</v>
      </c>
      <c r="P9" s="77">
        <v>31523</v>
      </c>
      <c r="Q9" s="77">
        <v>37972</v>
      </c>
      <c r="R9" s="77">
        <v>42787</v>
      </c>
      <c r="S9" s="77">
        <v>43075</v>
      </c>
      <c r="T9" s="77">
        <v>41292</v>
      </c>
      <c r="U9" s="77">
        <v>43097</v>
      </c>
      <c r="V9" s="77">
        <v>44495</v>
      </c>
      <c r="W9" s="77">
        <v>47425</v>
      </c>
      <c r="X9" s="77">
        <v>48630</v>
      </c>
      <c r="Y9" s="77">
        <v>51652</v>
      </c>
      <c r="Z9" s="85">
        <v>49313</v>
      </c>
      <c r="AA9" s="85">
        <v>49039</v>
      </c>
      <c r="AB9" s="125">
        <v>48719</v>
      </c>
      <c r="AC9" s="126">
        <v>47372</v>
      </c>
      <c r="AD9" s="126">
        <v>46750</v>
      </c>
    </row>
    <row r="10" spans="1:30">
      <c r="A10" s="74" t="s">
        <v>146</v>
      </c>
      <c r="B10" s="76">
        <v>281</v>
      </c>
      <c r="C10" s="77">
        <v>288</v>
      </c>
      <c r="D10" s="77">
        <v>495</v>
      </c>
      <c r="E10" s="77">
        <v>854</v>
      </c>
      <c r="F10" s="77">
        <v>1573</v>
      </c>
      <c r="G10" s="77">
        <v>2314</v>
      </c>
      <c r="H10" s="77">
        <v>2511</v>
      </c>
      <c r="I10" s="77">
        <v>2942</v>
      </c>
      <c r="J10" s="77">
        <v>3558</v>
      </c>
      <c r="K10" s="77">
        <v>4689</v>
      </c>
      <c r="L10" s="77">
        <v>5918</v>
      </c>
      <c r="M10" s="77">
        <v>7060</v>
      </c>
      <c r="N10" s="77">
        <v>7911</v>
      </c>
      <c r="O10" s="77">
        <v>8025</v>
      </c>
      <c r="P10" s="77">
        <v>9639</v>
      </c>
      <c r="Q10" s="77">
        <v>10413</v>
      </c>
      <c r="R10" s="77">
        <v>11869</v>
      </c>
      <c r="S10" s="77">
        <v>12439</v>
      </c>
      <c r="T10" s="77">
        <v>13138</v>
      </c>
      <c r="U10" s="77">
        <v>14593</v>
      </c>
      <c r="V10" s="77">
        <v>15595</v>
      </c>
      <c r="W10" s="77">
        <v>15789</v>
      </c>
      <c r="X10" s="77">
        <v>16990</v>
      </c>
      <c r="Y10" s="77">
        <v>18885</v>
      </c>
      <c r="Z10" s="85">
        <v>19675</v>
      </c>
      <c r="AA10" s="85">
        <v>20525</v>
      </c>
      <c r="AB10" s="125">
        <v>21916</v>
      </c>
      <c r="AC10" s="126">
        <v>22164</v>
      </c>
      <c r="AD10" s="126">
        <v>23637</v>
      </c>
    </row>
    <row r="11" spans="1:30">
      <c r="A11" s="74" t="s">
        <v>156</v>
      </c>
      <c r="B11" s="76">
        <v>118</v>
      </c>
      <c r="C11" s="77">
        <v>152</v>
      </c>
      <c r="D11" s="77">
        <v>322</v>
      </c>
      <c r="E11" s="77">
        <v>223</v>
      </c>
      <c r="F11" s="77">
        <v>745</v>
      </c>
      <c r="G11" s="77">
        <v>1656</v>
      </c>
      <c r="H11" s="77">
        <v>951</v>
      </c>
      <c r="I11" s="77">
        <v>1165</v>
      </c>
      <c r="J11" s="77">
        <v>1592</v>
      </c>
      <c r="K11" s="77">
        <v>2437</v>
      </c>
      <c r="L11" s="77">
        <v>3827</v>
      </c>
      <c r="M11" s="77">
        <v>5400</v>
      </c>
      <c r="N11" s="77">
        <v>6081</v>
      </c>
      <c r="O11" s="77">
        <v>8000</v>
      </c>
      <c r="P11" s="77">
        <v>12917</v>
      </c>
      <c r="Q11" s="77">
        <v>17471</v>
      </c>
      <c r="R11" s="77">
        <v>19924</v>
      </c>
      <c r="S11" s="77">
        <v>22927</v>
      </c>
      <c r="T11" s="77">
        <v>27088</v>
      </c>
      <c r="U11" s="77">
        <v>31044</v>
      </c>
      <c r="V11" s="77">
        <v>44463</v>
      </c>
      <c r="W11" s="77">
        <v>50657</v>
      </c>
      <c r="X11" s="77">
        <v>55204</v>
      </c>
      <c r="Y11" s="77">
        <v>60997</v>
      </c>
      <c r="Z11" s="85">
        <v>72340</v>
      </c>
      <c r="AA11" s="85">
        <v>73456</v>
      </c>
      <c r="AB11" s="125">
        <v>74413</v>
      </c>
      <c r="AC11" s="126">
        <v>73770</v>
      </c>
      <c r="AD11" s="126">
        <v>74630</v>
      </c>
    </row>
    <row r="12" spans="1:30">
      <c r="A12" s="74" t="s">
        <v>170</v>
      </c>
      <c r="B12" s="81">
        <v>20504</v>
      </c>
      <c r="C12" s="82">
        <v>22456</v>
      </c>
      <c r="D12" s="82">
        <v>27891</v>
      </c>
      <c r="E12" s="82">
        <v>29138</v>
      </c>
      <c r="F12" s="82">
        <v>38093</v>
      </c>
      <c r="G12" s="82">
        <v>43215</v>
      </c>
      <c r="H12" s="83">
        <v>41296</v>
      </c>
      <c r="I12" s="83">
        <v>41028</v>
      </c>
      <c r="J12" s="37">
        <v>43352</v>
      </c>
      <c r="K12" s="105">
        <v>46830</v>
      </c>
      <c r="L12" s="77">
        <v>51248</v>
      </c>
      <c r="M12" s="77">
        <v>53994</v>
      </c>
      <c r="N12" s="77">
        <v>52053</v>
      </c>
      <c r="O12" s="77">
        <v>46055</v>
      </c>
      <c r="P12" s="77">
        <v>45228</v>
      </c>
      <c r="Q12" s="77">
        <v>49366</v>
      </c>
      <c r="R12" s="77">
        <v>52009</v>
      </c>
      <c r="S12" s="77">
        <v>57678</v>
      </c>
      <c r="T12" s="77">
        <v>61963</v>
      </c>
      <c r="U12" s="77">
        <v>57419</v>
      </c>
      <c r="V12" s="77">
        <v>56665</v>
      </c>
      <c r="W12" s="77">
        <v>56256</v>
      </c>
      <c r="X12" s="77">
        <v>55230</v>
      </c>
      <c r="Y12" s="77">
        <v>56230</v>
      </c>
      <c r="Z12" s="85">
        <v>55848</v>
      </c>
      <c r="AA12" s="85">
        <v>56428</v>
      </c>
      <c r="AB12" s="125">
        <v>55247</v>
      </c>
      <c r="AC12" s="126">
        <v>52850</v>
      </c>
      <c r="AD12" s="126">
        <v>51315</v>
      </c>
    </row>
    <row r="13" spans="1:30">
      <c r="A13" s="74" t="s">
        <v>59</v>
      </c>
      <c r="B13" s="84">
        <v>17711</v>
      </c>
      <c r="C13" s="85">
        <v>22973</v>
      </c>
      <c r="D13" s="85">
        <v>23978</v>
      </c>
      <c r="E13" s="85">
        <v>28403</v>
      </c>
      <c r="F13" s="85">
        <v>30126</v>
      </c>
      <c r="G13" s="85">
        <v>33995</v>
      </c>
      <c r="H13" s="85">
        <v>36933</v>
      </c>
      <c r="I13" s="85">
        <v>37099</v>
      </c>
      <c r="J13" s="85">
        <v>35312</v>
      </c>
      <c r="K13" s="85">
        <v>36664</v>
      </c>
      <c r="L13" s="85">
        <v>38223</v>
      </c>
      <c r="M13" s="85">
        <v>39658</v>
      </c>
      <c r="N13" s="85">
        <v>39674</v>
      </c>
      <c r="O13" s="77">
        <v>39674</v>
      </c>
      <c r="P13" s="77">
        <v>36671</v>
      </c>
      <c r="Q13" s="77">
        <v>36133</v>
      </c>
      <c r="R13" s="77">
        <v>36322</v>
      </c>
      <c r="S13" s="77">
        <v>36315</v>
      </c>
      <c r="T13" s="77">
        <v>37125</v>
      </c>
      <c r="U13" s="77">
        <v>37897</v>
      </c>
      <c r="V13" s="77">
        <v>36551</v>
      </c>
      <c r="W13" s="77">
        <v>36599</v>
      </c>
      <c r="X13" s="77">
        <v>36599</v>
      </c>
      <c r="Y13" s="77">
        <v>39618</v>
      </c>
      <c r="Z13" s="85">
        <v>38785</v>
      </c>
      <c r="AA13" s="85">
        <v>39326</v>
      </c>
      <c r="AB13" s="125">
        <v>38383</v>
      </c>
      <c r="AC13" s="126">
        <v>37508</v>
      </c>
      <c r="AD13" s="126">
        <v>38181</v>
      </c>
    </row>
    <row r="14" spans="1:30">
      <c r="A14" s="74" t="s">
        <v>62</v>
      </c>
      <c r="B14" s="84">
        <v>48214</v>
      </c>
      <c r="C14" s="85">
        <v>57060</v>
      </c>
      <c r="D14" s="85">
        <v>67060</v>
      </c>
      <c r="E14" s="85">
        <v>76355</v>
      </c>
      <c r="F14" s="85">
        <v>93229</v>
      </c>
      <c r="G14" s="85">
        <v>108225</v>
      </c>
      <c r="H14" s="85">
        <v>110386</v>
      </c>
      <c r="I14" s="85">
        <v>115198</v>
      </c>
      <c r="J14" s="85">
        <v>122626</v>
      </c>
      <c r="K14" s="85">
        <v>136742</v>
      </c>
      <c r="L14" s="85">
        <v>149622</v>
      </c>
      <c r="M14" s="85">
        <v>159921</v>
      </c>
      <c r="N14" s="77">
        <v>163240</v>
      </c>
      <c r="O14" s="77">
        <v>155402</v>
      </c>
      <c r="P14" s="77">
        <v>164340</v>
      </c>
      <c r="Q14" s="77">
        <v>182437</v>
      </c>
      <c r="R14" s="77">
        <v>195334</v>
      </c>
      <c r="S14" s="77">
        <v>205280</v>
      </c>
      <c r="T14" s="77">
        <v>214280</v>
      </c>
      <c r="U14" s="77">
        <v>216855</v>
      </c>
      <c r="V14" s="77">
        <v>232853</v>
      </c>
      <c r="W14" s="77">
        <v>243345</v>
      </c>
      <c r="X14" s="77">
        <v>252530</v>
      </c>
      <c r="Y14" s="77">
        <f t="shared" ref="Y14:AD14" si="1">SUM(Y8:Y13)</f>
        <v>265380</v>
      </c>
      <c r="Z14" s="85">
        <f t="shared" si="1"/>
        <v>274833</v>
      </c>
      <c r="AA14" s="85">
        <f t="shared" si="1"/>
        <v>277096</v>
      </c>
      <c r="AB14" s="125">
        <f t="shared" si="1"/>
        <v>277439</v>
      </c>
      <c r="AC14" s="125">
        <f t="shared" si="1"/>
        <v>272295</v>
      </c>
      <c r="AD14" s="125">
        <f t="shared" si="1"/>
        <v>273597</v>
      </c>
    </row>
    <row r="15" spans="1:30">
      <c r="A15" s="2"/>
      <c r="B15" s="2"/>
      <c r="C15" s="2"/>
      <c r="D15" s="2"/>
      <c r="E15" s="2"/>
      <c r="F15" s="2"/>
      <c r="G15" s="2"/>
      <c r="H15" s="2"/>
      <c r="I15" s="2"/>
      <c r="J15" s="2"/>
      <c r="K15" s="101"/>
      <c r="L15" s="101"/>
      <c r="M15" s="101"/>
      <c r="N15" s="101"/>
      <c r="O15" s="101"/>
      <c r="P15" s="101"/>
      <c r="Q15" s="101"/>
      <c r="R15" s="101"/>
      <c r="S15" s="2"/>
      <c r="T15" s="2"/>
      <c r="U15" s="2"/>
      <c r="V15" s="2"/>
      <c r="W15" s="2"/>
      <c r="X15" s="2"/>
      <c r="Y15" s="2"/>
      <c r="Z15" s="2"/>
      <c r="AB15" s="123"/>
      <c r="AC15" s="123"/>
      <c r="AD15" s="123"/>
    </row>
    <row r="16" spans="1:30">
      <c r="A16" s="2"/>
      <c r="B16" s="2"/>
      <c r="C16" s="2"/>
      <c r="D16" s="2"/>
      <c r="E16" s="2"/>
      <c r="F16" s="2"/>
      <c r="G16" s="2"/>
      <c r="H16" s="2"/>
      <c r="I16" s="2"/>
      <c r="J16" s="2"/>
      <c r="K16" s="101"/>
      <c r="L16" s="101"/>
      <c r="M16" s="101"/>
      <c r="N16" s="101"/>
      <c r="O16" s="101"/>
      <c r="P16" s="101"/>
      <c r="Q16" s="101"/>
      <c r="R16" s="101"/>
      <c r="S16" s="2"/>
      <c r="T16" s="2"/>
      <c r="U16" s="2"/>
      <c r="V16" s="2"/>
      <c r="W16" s="2"/>
      <c r="X16" s="2"/>
      <c r="Y16" s="2"/>
      <c r="Z16" s="2"/>
      <c r="AB16" s="123"/>
      <c r="AC16" s="123"/>
      <c r="AD16" s="123"/>
    </row>
    <row r="17" spans="1:30">
      <c r="A17" t="s">
        <v>495</v>
      </c>
      <c r="P17" s="101"/>
      <c r="Q17" s="101"/>
      <c r="R17" s="101"/>
      <c r="S17" s="2"/>
      <c r="T17" s="2"/>
      <c r="U17" s="2"/>
      <c r="V17" s="2"/>
      <c r="W17" s="2"/>
      <c r="X17" s="2"/>
      <c r="Y17" s="2"/>
      <c r="Z17" s="2"/>
      <c r="AB17" s="123"/>
      <c r="AC17" s="123"/>
      <c r="AD17" s="123"/>
    </row>
    <row r="18" spans="1:30">
      <c r="A18" s="74" t="s">
        <v>94</v>
      </c>
      <c r="B18" s="75">
        <f t="shared" ref="B18:M18" si="2">C18-1</f>
        <v>1996</v>
      </c>
      <c r="C18" s="74">
        <f t="shared" si="2"/>
        <v>1997</v>
      </c>
      <c r="D18" s="74">
        <f t="shared" si="2"/>
        <v>1998</v>
      </c>
      <c r="E18" s="74">
        <f t="shared" si="2"/>
        <v>1999</v>
      </c>
      <c r="F18" s="74">
        <f t="shared" si="2"/>
        <v>2000</v>
      </c>
      <c r="G18" s="74">
        <f t="shared" si="2"/>
        <v>2001</v>
      </c>
      <c r="H18" s="74">
        <f t="shared" si="2"/>
        <v>2002</v>
      </c>
      <c r="I18" s="74">
        <f t="shared" si="2"/>
        <v>2003</v>
      </c>
      <c r="J18" s="74">
        <f t="shared" si="2"/>
        <v>2004</v>
      </c>
      <c r="K18" s="74">
        <f t="shared" si="2"/>
        <v>2005</v>
      </c>
      <c r="L18" s="74">
        <f t="shared" si="2"/>
        <v>2006</v>
      </c>
      <c r="M18" s="74">
        <f t="shared" si="2"/>
        <v>2007</v>
      </c>
      <c r="N18" s="74">
        <v>2008</v>
      </c>
      <c r="O18" s="74">
        <v>2009</v>
      </c>
      <c r="P18" s="74">
        <v>2010</v>
      </c>
      <c r="Q18" s="74">
        <v>2011</v>
      </c>
      <c r="R18" s="74">
        <v>2012</v>
      </c>
      <c r="S18" s="74">
        <v>2013</v>
      </c>
      <c r="T18" s="74">
        <v>2014</v>
      </c>
      <c r="U18" s="74">
        <v>2015</v>
      </c>
      <c r="V18" s="74">
        <v>2016</v>
      </c>
      <c r="W18" s="74">
        <v>2017</v>
      </c>
      <c r="X18" s="74">
        <v>2018</v>
      </c>
      <c r="Y18" s="74">
        <v>2019</v>
      </c>
      <c r="Z18" s="124">
        <v>2020</v>
      </c>
      <c r="AA18" s="124">
        <v>2021</v>
      </c>
      <c r="AB18" s="74">
        <v>2022</v>
      </c>
      <c r="AC18" s="124">
        <v>2023</v>
      </c>
      <c r="AD18" s="74">
        <v>2024</v>
      </c>
    </row>
    <row r="19" spans="1:30">
      <c r="A19" s="74" t="s">
        <v>186</v>
      </c>
      <c r="B19" s="86">
        <v>28250</v>
      </c>
      <c r="C19" s="87">
        <v>33110</v>
      </c>
      <c r="D19" s="87">
        <v>41710</v>
      </c>
      <c r="E19" s="87">
        <v>47420</v>
      </c>
      <c r="F19" s="87">
        <v>57210</v>
      </c>
      <c r="G19" s="87">
        <v>65987</v>
      </c>
      <c r="H19" s="88">
        <v>60426</v>
      </c>
      <c r="I19" s="88">
        <v>60885</v>
      </c>
      <c r="J19" s="106">
        <v>63201</v>
      </c>
      <c r="K19" s="107">
        <v>67119</v>
      </c>
      <c r="L19" s="108">
        <v>71513</v>
      </c>
      <c r="M19" s="88">
        <v>75387</v>
      </c>
      <c r="N19" s="88">
        <v>77907</v>
      </c>
      <c r="O19" s="77">
        <v>69960</v>
      </c>
      <c r="P19" s="77">
        <v>68937</v>
      </c>
      <c r="Q19" s="77">
        <v>71624</v>
      </c>
      <c r="R19" s="77">
        <v>75148</v>
      </c>
      <c r="S19" s="77">
        <v>77411</v>
      </c>
      <c r="T19" s="77">
        <v>79545</v>
      </c>
      <c r="U19" s="77">
        <v>79280</v>
      </c>
      <c r="V19" s="77">
        <v>79912</v>
      </c>
      <c r="W19" s="77">
        <v>81257</v>
      </c>
      <c r="X19" s="77">
        <v>82235</v>
      </c>
      <c r="Y19" s="77">
        <v>82452</v>
      </c>
      <c r="Z19" s="85">
        <v>83300</v>
      </c>
      <c r="AA19" s="85">
        <v>84013</v>
      </c>
      <c r="AB19" s="125">
        <v>84128</v>
      </c>
      <c r="AC19" s="126">
        <v>83214</v>
      </c>
      <c r="AD19" s="126">
        <v>83494</v>
      </c>
    </row>
    <row r="20" spans="1:30">
      <c r="A20" s="74" t="s">
        <v>129</v>
      </c>
      <c r="B20" s="86">
        <v>3605</v>
      </c>
      <c r="C20" s="87">
        <v>4604</v>
      </c>
      <c r="D20" s="87">
        <v>5640</v>
      </c>
      <c r="E20" s="87">
        <v>7003</v>
      </c>
      <c r="F20" s="87">
        <v>8961</v>
      </c>
      <c r="G20" s="87">
        <v>11091</v>
      </c>
      <c r="H20" s="88">
        <v>13161</v>
      </c>
      <c r="I20" s="88">
        <v>16142</v>
      </c>
      <c r="J20" s="106">
        <v>18696</v>
      </c>
      <c r="K20" s="107">
        <v>23020</v>
      </c>
      <c r="L20" s="104">
        <v>25146</v>
      </c>
      <c r="M20" s="77">
        <v>25947</v>
      </c>
      <c r="N20" s="77">
        <v>27117</v>
      </c>
      <c r="O20" s="77">
        <v>28446</v>
      </c>
      <c r="P20" s="77">
        <v>30856</v>
      </c>
      <c r="Q20" s="77">
        <v>37094</v>
      </c>
      <c r="R20" s="77">
        <v>41677</v>
      </c>
      <c r="S20" s="77">
        <v>42270</v>
      </c>
      <c r="T20" s="77">
        <v>40803</v>
      </c>
      <c r="U20" s="77">
        <v>43057</v>
      </c>
      <c r="V20" s="77">
        <v>44462</v>
      </c>
      <c r="W20" s="77">
        <v>47127</v>
      </c>
      <c r="X20" s="77">
        <v>48526</v>
      </c>
      <c r="Y20" s="77">
        <v>51736</v>
      </c>
      <c r="Z20" s="85">
        <v>49392</v>
      </c>
      <c r="AA20" s="85">
        <v>49145</v>
      </c>
      <c r="AB20" s="125">
        <v>48925</v>
      </c>
      <c r="AC20" s="126">
        <v>47344</v>
      </c>
      <c r="AD20" s="126">
        <v>46800</v>
      </c>
    </row>
    <row r="21" spans="1:30">
      <c r="A21" s="74" t="s">
        <v>146</v>
      </c>
      <c r="B21" s="76">
        <v>0</v>
      </c>
      <c r="C21" s="77">
        <v>0</v>
      </c>
      <c r="D21" s="77">
        <v>0</v>
      </c>
      <c r="E21" s="77">
        <v>86</v>
      </c>
      <c r="F21" s="77">
        <v>1287</v>
      </c>
      <c r="G21" s="77">
        <v>2052</v>
      </c>
      <c r="H21" s="77">
        <v>2247</v>
      </c>
      <c r="I21" s="77">
        <v>2595</v>
      </c>
      <c r="J21" s="106">
        <v>3211</v>
      </c>
      <c r="K21" s="107">
        <v>4230</v>
      </c>
      <c r="L21" s="77">
        <v>6673</v>
      </c>
      <c r="M21" s="77">
        <v>10238</v>
      </c>
      <c r="N21" s="77">
        <v>19018</v>
      </c>
      <c r="O21" s="77">
        <v>21714</v>
      </c>
      <c r="P21" s="77">
        <v>23310</v>
      </c>
      <c r="Q21" s="77">
        <v>27180</v>
      </c>
      <c r="R21" s="77">
        <v>27578</v>
      </c>
      <c r="S21" s="77">
        <v>30653</v>
      </c>
      <c r="T21" s="77">
        <v>30630</v>
      </c>
      <c r="U21" s="77">
        <v>29149</v>
      </c>
      <c r="V21" s="77">
        <v>28093</v>
      </c>
      <c r="W21" s="77">
        <v>26179</v>
      </c>
      <c r="X21" s="77">
        <v>26424</v>
      </c>
      <c r="Y21" s="77">
        <v>28288</v>
      </c>
      <c r="Z21" s="85">
        <v>28640</v>
      </c>
      <c r="AA21" s="85">
        <v>29278</v>
      </c>
      <c r="AB21" s="125">
        <v>30577</v>
      </c>
      <c r="AC21" s="126">
        <v>30059</v>
      </c>
      <c r="AD21" s="126">
        <v>31103</v>
      </c>
    </row>
    <row r="22" spans="1:30">
      <c r="A22" s="74" t="s">
        <v>156</v>
      </c>
      <c r="B22" s="76">
        <v>120</v>
      </c>
      <c r="C22" s="77">
        <v>156</v>
      </c>
      <c r="D22" s="77">
        <v>329</v>
      </c>
      <c r="E22" s="77">
        <v>238</v>
      </c>
      <c r="F22" s="77">
        <v>773</v>
      </c>
      <c r="G22" s="77">
        <v>1680</v>
      </c>
      <c r="H22" s="77">
        <v>978</v>
      </c>
      <c r="I22" s="77">
        <v>1225</v>
      </c>
      <c r="J22" s="77">
        <v>1652</v>
      </c>
      <c r="K22" s="77">
        <v>2484</v>
      </c>
      <c r="L22" s="77">
        <v>3893</v>
      </c>
      <c r="M22" s="77">
        <v>5492</v>
      </c>
      <c r="N22" s="77">
        <v>6081</v>
      </c>
      <c r="O22" s="77">
        <v>8095</v>
      </c>
      <c r="P22" s="77">
        <v>13271</v>
      </c>
      <c r="Q22" s="77">
        <v>18017</v>
      </c>
      <c r="R22" s="77">
        <v>20720</v>
      </c>
      <c r="S22" s="77">
        <v>23707</v>
      </c>
      <c r="T22" s="77">
        <v>27603</v>
      </c>
      <c r="U22" s="77">
        <v>31408</v>
      </c>
      <c r="V22" s="77">
        <v>44884</v>
      </c>
      <c r="W22" s="77">
        <v>51119</v>
      </c>
      <c r="X22" s="77">
        <v>55851</v>
      </c>
      <c r="Y22" s="77">
        <v>61419</v>
      </c>
      <c r="Z22" s="85">
        <v>72926</v>
      </c>
      <c r="AA22" s="85">
        <v>73045</v>
      </c>
      <c r="AB22" s="125">
        <v>73908</v>
      </c>
      <c r="AC22" s="126">
        <v>72931</v>
      </c>
      <c r="AD22" s="126">
        <v>73554</v>
      </c>
    </row>
    <row r="23" spans="1:30">
      <c r="A23" s="74" t="s">
        <v>170</v>
      </c>
      <c r="B23" s="86">
        <v>11914</v>
      </c>
      <c r="C23" s="87">
        <v>9750</v>
      </c>
      <c r="D23" s="87">
        <v>12859</v>
      </c>
      <c r="E23" s="87">
        <v>14116</v>
      </c>
      <c r="F23" s="87">
        <v>17503</v>
      </c>
      <c r="G23" s="87">
        <v>19413</v>
      </c>
      <c r="H23" s="88">
        <v>25525</v>
      </c>
      <c r="I23" s="88">
        <v>26476</v>
      </c>
      <c r="J23" s="106">
        <v>26896</v>
      </c>
      <c r="K23" s="107">
        <v>28622</v>
      </c>
      <c r="L23" s="77">
        <v>30541</v>
      </c>
      <c r="M23" s="77">
        <v>30506</v>
      </c>
      <c r="N23" s="77">
        <v>21380</v>
      </c>
      <c r="O23" s="77">
        <v>15462</v>
      </c>
      <c r="P23" s="77">
        <v>15902</v>
      </c>
      <c r="Q23" s="77">
        <v>16482</v>
      </c>
      <c r="R23" s="77">
        <v>17111</v>
      </c>
      <c r="S23" s="77">
        <v>16686</v>
      </c>
      <c r="T23" s="77">
        <v>21908</v>
      </c>
      <c r="U23" s="77">
        <v>20878</v>
      </c>
      <c r="V23" s="77">
        <v>20758</v>
      </c>
      <c r="W23" s="77">
        <v>21443</v>
      </c>
      <c r="X23" s="77">
        <v>21958</v>
      </c>
      <c r="Y23" s="77">
        <v>23136</v>
      </c>
      <c r="Z23" s="85">
        <v>22875</v>
      </c>
      <c r="AA23" s="85">
        <v>24035</v>
      </c>
      <c r="AB23" s="125">
        <v>23971</v>
      </c>
      <c r="AC23" s="126">
        <v>23066</v>
      </c>
      <c r="AD23" s="126">
        <v>21746</v>
      </c>
    </row>
    <row r="24" spans="1:30">
      <c r="A24" s="74" t="s">
        <v>59</v>
      </c>
      <c r="B24" s="84">
        <v>4325</v>
      </c>
      <c r="C24" s="85">
        <v>9440</v>
      </c>
      <c r="D24" s="85">
        <v>6522</v>
      </c>
      <c r="E24" s="85">
        <v>7492</v>
      </c>
      <c r="F24" s="85">
        <v>7495</v>
      </c>
      <c r="G24" s="85">
        <v>8002</v>
      </c>
      <c r="H24" s="85">
        <v>8049</v>
      </c>
      <c r="I24" s="85">
        <v>7875</v>
      </c>
      <c r="J24" s="85">
        <v>8970</v>
      </c>
      <c r="K24" s="85">
        <v>11267</v>
      </c>
      <c r="L24" s="85">
        <v>11856</v>
      </c>
      <c r="M24" s="85">
        <v>12351</v>
      </c>
      <c r="N24" s="85">
        <v>11737</v>
      </c>
      <c r="O24" s="109">
        <v>11710</v>
      </c>
      <c r="P24" s="109">
        <v>12032</v>
      </c>
      <c r="Q24" s="109">
        <v>11993</v>
      </c>
      <c r="R24" s="109">
        <v>13047</v>
      </c>
      <c r="S24" s="109">
        <v>14495</v>
      </c>
      <c r="T24" s="109">
        <v>13690</v>
      </c>
      <c r="U24" s="109">
        <v>13327</v>
      </c>
      <c r="V24" s="109">
        <v>14346</v>
      </c>
      <c r="W24" s="109">
        <v>16220</v>
      </c>
      <c r="X24" s="109">
        <v>17512</v>
      </c>
      <c r="Y24" s="109">
        <v>18308</v>
      </c>
      <c r="Z24" s="115">
        <v>17676</v>
      </c>
      <c r="AA24" s="127">
        <v>17580</v>
      </c>
      <c r="AB24" s="125">
        <v>15930</v>
      </c>
      <c r="AC24" s="126">
        <v>15681</v>
      </c>
      <c r="AD24" s="126">
        <v>16868</v>
      </c>
    </row>
    <row r="25" spans="1:30">
      <c r="A25" s="74" t="s">
        <v>62</v>
      </c>
      <c r="B25" s="84">
        <v>48214</v>
      </c>
      <c r="C25" s="85">
        <v>57060</v>
      </c>
      <c r="D25" s="85">
        <v>67060</v>
      </c>
      <c r="E25" s="85">
        <v>76355</v>
      </c>
      <c r="F25" s="85">
        <v>93229</v>
      </c>
      <c r="G25" s="85">
        <v>108225</v>
      </c>
      <c r="H25" s="85">
        <v>110386</v>
      </c>
      <c r="I25" s="85">
        <v>115198</v>
      </c>
      <c r="J25" s="85">
        <v>122626</v>
      </c>
      <c r="K25" s="85">
        <v>136742</v>
      </c>
      <c r="L25" s="85">
        <v>149622</v>
      </c>
      <c r="M25" s="85">
        <v>159921</v>
      </c>
      <c r="N25" s="77">
        <v>163240</v>
      </c>
      <c r="O25" s="77">
        <v>155402</v>
      </c>
      <c r="P25" s="77">
        <v>164340</v>
      </c>
      <c r="Q25" s="77">
        <v>182437</v>
      </c>
      <c r="R25" s="77">
        <v>195334</v>
      </c>
      <c r="S25" s="85">
        <f t="shared" ref="S25:AD25" si="3">SUM(S19:S24)</f>
        <v>205222</v>
      </c>
      <c r="T25" s="85">
        <f t="shared" si="3"/>
        <v>214179</v>
      </c>
      <c r="U25" s="85">
        <f t="shared" si="3"/>
        <v>217099</v>
      </c>
      <c r="V25" s="85">
        <f t="shared" si="3"/>
        <v>232455</v>
      </c>
      <c r="W25" s="85">
        <f t="shared" si="3"/>
        <v>243345</v>
      </c>
      <c r="X25" s="85">
        <f t="shared" si="3"/>
        <v>252506</v>
      </c>
      <c r="Y25" s="85">
        <f t="shared" si="3"/>
        <v>265339</v>
      </c>
      <c r="Z25" s="85">
        <f t="shared" si="3"/>
        <v>274809</v>
      </c>
      <c r="AA25" s="85">
        <f t="shared" si="3"/>
        <v>277096</v>
      </c>
      <c r="AB25" s="125">
        <f t="shared" si="3"/>
        <v>277439</v>
      </c>
      <c r="AC25" s="125">
        <f t="shared" si="3"/>
        <v>272295</v>
      </c>
      <c r="AD25" s="125">
        <f t="shared" si="3"/>
        <v>273565</v>
      </c>
    </row>
    <row r="26" spans="1:30">
      <c r="A26" s="2"/>
      <c r="B26" s="2"/>
      <c r="C26" s="2"/>
      <c r="D26" s="2"/>
      <c r="E26" s="2"/>
      <c r="F26" s="2"/>
      <c r="G26" s="2"/>
      <c r="H26" s="2"/>
      <c r="I26" s="2"/>
      <c r="J26" s="2"/>
      <c r="K26" s="101"/>
      <c r="L26" s="101"/>
      <c r="M26" s="101"/>
      <c r="N26" s="101"/>
      <c r="O26" s="101"/>
      <c r="P26" s="101"/>
      <c r="Q26" s="101"/>
      <c r="R26" s="101"/>
      <c r="S26" s="2"/>
      <c r="T26" s="2"/>
      <c r="U26" s="2"/>
      <c r="V26" s="2"/>
      <c r="W26" s="2"/>
      <c r="X26" s="2"/>
      <c r="Y26" s="2"/>
      <c r="Z26" s="2"/>
      <c r="AB26" s="123"/>
      <c r="AC26" s="123"/>
      <c r="AD26" s="123"/>
    </row>
    <row r="27" spans="1:30">
      <c r="A27" t="s">
        <v>496</v>
      </c>
      <c r="P27" s="101"/>
      <c r="Q27" s="101"/>
      <c r="R27" s="101"/>
      <c r="S27" s="2"/>
      <c r="T27" s="2"/>
      <c r="U27" s="2"/>
      <c r="V27" s="2"/>
      <c r="W27" s="2"/>
      <c r="X27" s="2"/>
      <c r="Y27" s="2"/>
      <c r="Z27" s="2"/>
      <c r="AB27" s="123"/>
      <c r="AC27" s="123"/>
      <c r="AD27" s="123"/>
    </row>
    <row r="28" spans="1:30">
      <c r="A28" s="74" t="s">
        <v>94</v>
      </c>
      <c r="B28" s="75">
        <f t="shared" ref="B28:M28" si="4">C28-1</f>
        <v>1996</v>
      </c>
      <c r="C28" s="74">
        <f t="shared" si="4"/>
        <v>1997</v>
      </c>
      <c r="D28" s="74">
        <f t="shared" si="4"/>
        <v>1998</v>
      </c>
      <c r="E28" s="74">
        <f t="shared" si="4"/>
        <v>1999</v>
      </c>
      <c r="F28" s="74">
        <f t="shared" si="4"/>
        <v>2000</v>
      </c>
      <c r="G28" s="74">
        <f t="shared" si="4"/>
        <v>2001</v>
      </c>
      <c r="H28" s="74">
        <f t="shared" si="4"/>
        <v>2002</v>
      </c>
      <c r="I28" s="74">
        <f t="shared" si="4"/>
        <v>2003</v>
      </c>
      <c r="J28" s="74">
        <f t="shared" si="4"/>
        <v>2004</v>
      </c>
      <c r="K28" s="74">
        <f t="shared" si="4"/>
        <v>2005</v>
      </c>
      <c r="L28" s="74">
        <f t="shared" si="4"/>
        <v>2006</v>
      </c>
      <c r="M28" s="74">
        <f t="shared" si="4"/>
        <v>2007</v>
      </c>
      <c r="N28" s="74">
        <v>2008</v>
      </c>
      <c r="O28" s="74">
        <v>2009</v>
      </c>
      <c r="P28" s="74">
        <v>2010</v>
      </c>
      <c r="Q28" s="74">
        <v>2011</v>
      </c>
      <c r="R28" s="74">
        <v>2012</v>
      </c>
      <c r="S28" s="74">
        <v>2013</v>
      </c>
      <c r="T28" s="74">
        <v>2014</v>
      </c>
      <c r="U28" s="74">
        <v>2015</v>
      </c>
      <c r="V28" s="74">
        <v>2016</v>
      </c>
      <c r="W28" s="74">
        <v>2017</v>
      </c>
      <c r="X28" s="74">
        <v>2018</v>
      </c>
      <c r="Y28" s="74">
        <v>2019</v>
      </c>
      <c r="Z28" s="124">
        <v>2020</v>
      </c>
      <c r="AA28" s="124">
        <v>2021</v>
      </c>
      <c r="AB28" s="74">
        <v>2022</v>
      </c>
      <c r="AC28" s="124">
        <v>2023</v>
      </c>
      <c r="AD28" s="124">
        <v>2024</v>
      </c>
    </row>
    <row r="29" spans="1:30">
      <c r="A29" s="74" t="s">
        <v>186</v>
      </c>
      <c r="B29" s="89">
        <v>18110</v>
      </c>
      <c r="C29" s="90">
        <v>22010</v>
      </c>
      <c r="D29" s="90">
        <v>27600</v>
      </c>
      <c r="E29" s="90">
        <v>31770</v>
      </c>
      <c r="F29" s="90">
        <v>38863</v>
      </c>
      <c r="G29" s="90">
        <v>45938</v>
      </c>
      <c r="H29" s="91">
        <v>41054</v>
      </c>
      <c r="I29" s="91">
        <v>31472</v>
      </c>
      <c r="J29" s="110">
        <v>21642</v>
      </c>
      <c r="K29" s="111">
        <v>13878</v>
      </c>
      <c r="L29" s="33">
        <v>11602</v>
      </c>
      <c r="M29" s="77">
        <v>10586</v>
      </c>
      <c r="N29" s="112">
        <v>9862</v>
      </c>
      <c r="O29" s="113">
        <v>8592</v>
      </c>
      <c r="P29" s="113">
        <v>7918</v>
      </c>
      <c r="Q29" s="113">
        <v>7393</v>
      </c>
      <c r="R29" s="113">
        <v>7764</v>
      </c>
      <c r="S29" s="113">
        <v>7750</v>
      </c>
      <c r="T29" s="113">
        <v>8336</v>
      </c>
      <c r="U29" s="113">
        <v>8673</v>
      </c>
      <c r="V29" s="113">
        <v>8933</v>
      </c>
      <c r="W29" s="113">
        <v>7950</v>
      </c>
      <c r="X29" s="113">
        <v>7024</v>
      </c>
      <c r="Y29" s="113">
        <v>5733</v>
      </c>
      <c r="Z29" s="128">
        <v>5303</v>
      </c>
      <c r="AA29" s="85">
        <v>5173</v>
      </c>
      <c r="AB29" s="125">
        <v>5035</v>
      </c>
      <c r="AC29" s="126">
        <v>4904</v>
      </c>
      <c r="AD29" s="126">
        <v>4618</v>
      </c>
    </row>
    <row r="30" spans="1:30">
      <c r="A30" s="74" t="s">
        <v>129</v>
      </c>
      <c r="B30" s="89">
        <v>1605</v>
      </c>
      <c r="C30" s="90">
        <v>2139</v>
      </c>
      <c r="D30" s="90">
        <v>2754</v>
      </c>
      <c r="E30" s="90">
        <v>3541</v>
      </c>
      <c r="F30" s="90">
        <v>4608</v>
      </c>
      <c r="G30" s="90">
        <v>6139</v>
      </c>
      <c r="H30" s="91">
        <v>7038</v>
      </c>
      <c r="I30" s="91">
        <v>6785</v>
      </c>
      <c r="J30" s="110">
        <v>4208</v>
      </c>
      <c r="K30" s="111">
        <v>2526</v>
      </c>
      <c r="L30" s="104">
        <v>2580</v>
      </c>
      <c r="M30" s="77">
        <v>2555</v>
      </c>
      <c r="N30" s="112">
        <v>2122</v>
      </c>
      <c r="O30" s="113">
        <v>2152</v>
      </c>
      <c r="P30" s="113">
        <v>2121</v>
      </c>
      <c r="Q30" s="113">
        <v>2446</v>
      </c>
      <c r="R30" s="113">
        <v>2661</v>
      </c>
      <c r="S30" s="113">
        <v>2291</v>
      </c>
      <c r="T30" s="113">
        <v>2250</v>
      </c>
      <c r="U30" s="113">
        <v>2119</v>
      </c>
      <c r="V30" s="113">
        <v>2002</v>
      </c>
      <c r="W30" s="113">
        <v>2019</v>
      </c>
      <c r="X30" s="113">
        <v>1963</v>
      </c>
      <c r="Y30" s="113">
        <v>1749</v>
      </c>
      <c r="Z30" s="128">
        <v>1458</v>
      </c>
      <c r="AA30" s="85">
        <v>1381</v>
      </c>
      <c r="AB30" s="125">
        <v>1156</v>
      </c>
      <c r="AC30" s="126">
        <v>1199</v>
      </c>
      <c r="AD30" s="126">
        <v>1129</v>
      </c>
    </row>
    <row r="31" spans="1:30">
      <c r="A31" s="74" t="s">
        <v>146</v>
      </c>
      <c r="B31" s="76">
        <v>0</v>
      </c>
      <c r="C31" s="77">
        <v>0</v>
      </c>
      <c r="D31" s="77">
        <v>0</v>
      </c>
      <c r="E31" s="77">
        <v>10</v>
      </c>
      <c r="F31" s="77">
        <v>397</v>
      </c>
      <c r="G31" s="77">
        <v>968</v>
      </c>
      <c r="H31" s="77">
        <v>1364</v>
      </c>
      <c r="I31" s="77">
        <v>1079</v>
      </c>
      <c r="J31" s="77">
        <v>931</v>
      </c>
      <c r="K31" s="77">
        <v>652</v>
      </c>
      <c r="L31" s="77">
        <v>598</v>
      </c>
      <c r="M31" s="77">
        <v>511</v>
      </c>
      <c r="N31" s="112">
        <v>358</v>
      </c>
      <c r="O31" s="113">
        <v>340</v>
      </c>
      <c r="P31" s="113">
        <v>271</v>
      </c>
      <c r="Q31" s="113">
        <v>223</v>
      </c>
      <c r="R31" s="113">
        <v>299</v>
      </c>
      <c r="S31" s="113">
        <v>253</v>
      </c>
      <c r="T31" s="113">
        <v>234</v>
      </c>
      <c r="U31" s="113">
        <v>207</v>
      </c>
      <c r="V31" s="113">
        <v>178</v>
      </c>
      <c r="W31" s="113">
        <v>160</v>
      </c>
      <c r="X31" s="113">
        <v>125</v>
      </c>
      <c r="Y31" s="113">
        <v>128</v>
      </c>
      <c r="Z31" s="128">
        <v>109</v>
      </c>
      <c r="AA31" s="85">
        <v>124</v>
      </c>
      <c r="AB31" s="125">
        <v>121</v>
      </c>
      <c r="AC31" s="126">
        <v>103</v>
      </c>
      <c r="AD31" s="126">
        <v>106</v>
      </c>
    </row>
    <row r="32" spans="1:30">
      <c r="A32" s="74" t="s">
        <v>156</v>
      </c>
      <c r="B32" s="76">
        <v>72</v>
      </c>
      <c r="C32" s="77">
        <v>131</v>
      </c>
      <c r="D32" s="77">
        <v>120</v>
      </c>
      <c r="E32" s="77">
        <v>194</v>
      </c>
      <c r="F32" s="77">
        <v>267</v>
      </c>
      <c r="G32" s="77">
        <v>780</v>
      </c>
      <c r="H32" s="77">
        <v>675</v>
      </c>
      <c r="I32" s="77">
        <v>668</v>
      </c>
      <c r="J32" s="77">
        <v>500</v>
      </c>
      <c r="K32" s="77">
        <v>435</v>
      </c>
      <c r="L32" s="77">
        <v>364</v>
      </c>
      <c r="M32" s="77">
        <v>384</v>
      </c>
      <c r="N32" s="112">
        <v>416</v>
      </c>
      <c r="O32" s="113">
        <v>303</v>
      </c>
      <c r="P32" s="113">
        <v>362</v>
      </c>
      <c r="Q32" s="113">
        <v>421</v>
      </c>
      <c r="R32" s="113">
        <v>476</v>
      </c>
      <c r="S32" s="113">
        <v>384</v>
      </c>
      <c r="T32" s="113">
        <v>375</v>
      </c>
      <c r="U32" s="113">
        <v>387</v>
      </c>
      <c r="V32" s="113">
        <v>339</v>
      </c>
      <c r="W32" s="113">
        <v>376</v>
      </c>
      <c r="X32" s="113">
        <v>417</v>
      </c>
      <c r="Y32" s="113">
        <v>438</v>
      </c>
      <c r="Z32" s="128">
        <v>370</v>
      </c>
      <c r="AA32" s="85">
        <v>368</v>
      </c>
      <c r="AB32" s="125">
        <v>293</v>
      </c>
      <c r="AC32" s="126">
        <v>234</v>
      </c>
      <c r="AD32" s="126">
        <v>200</v>
      </c>
    </row>
    <row r="33" spans="1:30">
      <c r="A33" s="74" t="s">
        <v>170</v>
      </c>
      <c r="B33" s="92">
        <v>8736</v>
      </c>
      <c r="C33" s="93">
        <v>9233</v>
      </c>
      <c r="D33" s="93">
        <v>12003</v>
      </c>
      <c r="E33" s="93">
        <v>14615</v>
      </c>
      <c r="F33" s="93">
        <v>18110</v>
      </c>
      <c r="G33" s="93">
        <v>21257</v>
      </c>
      <c r="H33" s="94">
        <v>24685</v>
      </c>
      <c r="I33" s="94">
        <v>20165</v>
      </c>
      <c r="J33" s="114">
        <v>11591</v>
      </c>
      <c r="K33" s="94">
        <v>5575</v>
      </c>
      <c r="L33" s="77">
        <v>3903</v>
      </c>
      <c r="M33" s="77">
        <v>2996</v>
      </c>
      <c r="N33" s="112">
        <v>2937</v>
      </c>
      <c r="O33" s="113">
        <v>1875</v>
      </c>
      <c r="P33" s="113">
        <v>1460</v>
      </c>
      <c r="Q33" s="113">
        <v>1440</v>
      </c>
      <c r="R33" s="113">
        <v>1305</v>
      </c>
      <c r="S33" s="113">
        <v>1146</v>
      </c>
      <c r="T33" s="113">
        <v>1269</v>
      </c>
      <c r="U33" s="113">
        <v>1480</v>
      </c>
      <c r="V33" s="113">
        <v>1167</v>
      </c>
      <c r="W33" s="113">
        <v>1090</v>
      </c>
      <c r="X33" s="113">
        <v>998</v>
      </c>
      <c r="Y33" s="113">
        <v>994</v>
      </c>
      <c r="Z33" s="128">
        <v>864</v>
      </c>
      <c r="AA33" s="85">
        <v>878</v>
      </c>
      <c r="AB33" s="125">
        <v>779</v>
      </c>
      <c r="AC33" s="126">
        <v>726</v>
      </c>
      <c r="AD33" s="126">
        <v>681</v>
      </c>
    </row>
    <row r="34" spans="1:30">
      <c r="A34" s="74" t="s">
        <v>59</v>
      </c>
      <c r="B34" s="95">
        <v>5580</v>
      </c>
      <c r="C34" s="96">
        <v>6561</v>
      </c>
      <c r="D34" s="96">
        <v>6574</v>
      </c>
      <c r="E34" s="96">
        <v>6440</v>
      </c>
      <c r="F34" s="96">
        <v>5454</v>
      </c>
      <c r="G34" s="96">
        <v>5949</v>
      </c>
      <c r="H34" s="96">
        <v>5886</v>
      </c>
      <c r="I34" s="96">
        <v>4731</v>
      </c>
      <c r="J34" s="96">
        <v>3312</v>
      </c>
      <c r="K34" s="96">
        <v>2820</v>
      </c>
      <c r="L34" s="85">
        <v>2662</v>
      </c>
      <c r="M34" s="85">
        <v>2482</v>
      </c>
      <c r="N34" s="115">
        <v>2426</v>
      </c>
      <c r="O34" s="113">
        <v>1993</v>
      </c>
      <c r="P34" s="113">
        <v>1775</v>
      </c>
      <c r="Q34" s="113">
        <v>1816</v>
      </c>
      <c r="R34" s="113">
        <v>1746</v>
      </c>
      <c r="S34" s="113">
        <v>1505</v>
      </c>
      <c r="T34" s="113">
        <v>1600</v>
      </c>
      <c r="U34" s="113">
        <v>1590</v>
      </c>
      <c r="V34" s="113">
        <v>1396</v>
      </c>
      <c r="W34" s="113">
        <v>1441</v>
      </c>
      <c r="X34" s="113">
        <v>1342</v>
      </c>
      <c r="Y34" s="113">
        <v>1311</v>
      </c>
      <c r="Z34" s="128">
        <v>1334</v>
      </c>
      <c r="AA34" s="127">
        <v>1331</v>
      </c>
      <c r="AB34" s="125">
        <v>1136</v>
      </c>
      <c r="AC34" s="126">
        <v>1046</v>
      </c>
      <c r="AD34" s="126">
        <v>917</v>
      </c>
    </row>
    <row r="35" spans="1:30">
      <c r="A35" s="74" t="s">
        <v>62</v>
      </c>
      <c r="B35" s="84">
        <v>34103</v>
      </c>
      <c r="C35" s="85">
        <v>40074</v>
      </c>
      <c r="D35" s="85">
        <v>49051</v>
      </c>
      <c r="E35" s="85">
        <v>56570</v>
      </c>
      <c r="F35" s="85">
        <v>67699</v>
      </c>
      <c r="G35" s="85">
        <v>81031</v>
      </c>
      <c r="H35" s="85">
        <v>80702</v>
      </c>
      <c r="I35" s="85">
        <v>64900</v>
      </c>
      <c r="J35" s="85">
        <v>42184</v>
      </c>
      <c r="K35" s="85">
        <v>25886</v>
      </c>
      <c r="L35" s="85">
        <v>21709</v>
      </c>
      <c r="M35" s="85">
        <v>19514</v>
      </c>
      <c r="N35" s="85">
        <f t="shared" ref="N35:AD35" si="5">SUM(N29:N34)</f>
        <v>18121</v>
      </c>
      <c r="O35" s="85">
        <f t="shared" si="5"/>
        <v>15255</v>
      </c>
      <c r="P35" s="85">
        <f t="shared" si="5"/>
        <v>13907</v>
      </c>
      <c r="Q35" s="85">
        <f t="shared" si="5"/>
        <v>13739</v>
      </c>
      <c r="R35" s="85">
        <f t="shared" si="5"/>
        <v>14251</v>
      </c>
      <c r="S35" s="85">
        <f t="shared" si="5"/>
        <v>13329</v>
      </c>
      <c r="T35" s="85">
        <f t="shared" si="5"/>
        <v>14064</v>
      </c>
      <c r="U35" s="85">
        <f t="shared" si="5"/>
        <v>14456</v>
      </c>
      <c r="V35" s="85">
        <f t="shared" si="5"/>
        <v>14015</v>
      </c>
      <c r="W35" s="85">
        <f t="shared" si="5"/>
        <v>13036</v>
      </c>
      <c r="X35" s="85">
        <f t="shared" si="5"/>
        <v>11869</v>
      </c>
      <c r="Y35" s="85">
        <f t="shared" si="5"/>
        <v>10353</v>
      </c>
      <c r="Z35" s="85">
        <f t="shared" si="5"/>
        <v>9438</v>
      </c>
      <c r="AA35" s="85">
        <f t="shared" si="5"/>
        <v>9255</v>
      </c>
      <c r="AB35" s="125">
        <f t="shared" si="5"/>
        <v>8520</v>
      </c>
      <c r="AC35" s="125">
        <f t="shared" si="5"/>
        <v>8212</v>
      </c>
      <c r="AD35" s="125">
        <f t="shared" si="5"/>
        <v>7651</v>
      </c>
    </row>
    <row r="36" spans="1:30">
      <c r="A36" s="2"/>
      <c r="B36" s="2"/>
      <c r="C36" s="2"/>
      <c r="D36" s="2"/>
      <c r="E36" s="2"/>
      <c r="F36" s="2"/>
      <c r="G36" s="2"/>
      <c r="H36" s="2"/>
      <c r="I36" s="2"/>
      <c r="J36" s="2"/>
      <c r="K36" s="2"/>
      <c r="L36" s="2"/>
      <c r="M36" s="2"/>
      <c r="N36" s="2"/>
      <c r="O36" s="116"/>
      <c r="P36" s="116"/>
      <c r="Q36" s="116"/>
      <c r="R36" s="116"/>
      <c r="S36" s="116"/>
      <c r="T36" s="116"/>
      <c r="U36" s="116"/>
      <c r="V36" s="116"/>
      <c r="W36" s="116"/>
      <c r="X36" s="116"/>
      <c r="Y36" s="116"/>
      <c r="Z36" s="116"/>
      <c r="AA36" s="116"/>
      <c r="AB36" s="123"/>
      <c r="AC36" s="123"/>
      <c r="AD36" s="123"/>
    </row>
    <row r="37" spans="1:30">
      <c r="A37" s="81"/>
      <c r="B37" s="81"/>
      <c r="C37" s="97"/>
      <c r="D37" s="97"/>
      <c r="E37" s="97"/>
      <c r="F37" s="97"/>
      <c r="G37" s="97"/>
      <c r="H37" s="97"/>
      <c r="I37" s="97"/>
      <c r="J37" s="97"/>
      <c r="K37" s="97"/>
      <c r="L37" s="97"/>
      <c r="M37" s="97"/>
      <c r="N37" s="97"/>
      <c r="O37" s="97"/>
      <c r="P37" s="97"/>
      <c r="Q37" s="97"/>
      <c r="R37" s="97"/>
      <c r="S37" s="120"/>
      <c r="T37" s="120"/>
      <c r="U37" s="120"/>
      <c r="V37" s="120"/>
      <c r="W37" s="120"/>
      <c r="X37" s="120"/>
      <c r="Y37" s="120"/>
      <c r="Z37" s="120"/>
      <c r="AA37" s="120"/>
      <c r="AB37" s="123"/>
      <c r="AC37" s="123"/>
      <c r="AD37" s="123"/>
    </row>
    <row r="38" spans="1:30">
      <c r="A38" s="81"/>
      <c r="B38" s="81"/>
      <c r="C38" s="81"/>
      <c r="D38" s="81"/>
      <c r="E38" s="81"/>
      <c r="F38" s="81"/>
      <c r="G38" s="81"/>
      <c r="H38" s="81"/>
      <c r="I38" s="37"/>
      <c r="J38" s="37"/>
      <c r="K38" s="37"/>
      <c r="L38" s="37"/>
      <c r="M38" s="37"/>
      <c r="N38" s="37"/>
      <c r="O38" s="37"/>
      <c r="P38" s="37"/>
      <c r="Q38" s="37"/>
      <c r="R38" s="118"/>
      <c r="S38" s="37"/>
      <c r="T38" s="37"/>
      <c r="U38" s="37"/>
      <c r="V38" s="37"/>
      <c r="W38" s="37"/>
      <c r="X38" s="37"/>
      <c r="Y38" s="37"/>
      <c r="Z38" s="37"/>
      <c r="AA38" s="37"/>
      <c r="AB38" s="123"/>
      <c r="AC38" s="123"/>
      <c r="AD38" s="123"/>
    </row>
    <row r="39" spans="1:30">
      <c r="A39" s="81"/>
      <c r="B39" s="81"/>
      <c r="C39" s="81"/>
      <c r="D39" s="81"/>
      <c r="E39" s="81"/>
      <c r="F39" s="81"/>
      <c r="G39" s="81"/>
      <c r="H39" s="81"/>
      <c r="I39" s="37"/>
      <c r="J39" s="37"/>
      <c r="K39" s="37"/>
      <c r="L39" s="117"/>
      <c r="M39" s="117"/>
      <c r="N39" s="117"/>
      <c r="O39" s="117"/>
      <c r="P39" s="117"/>
      <c r="Q39" s="117"/>
      <c r="R39" s="117"/>
      <c r="S39" s="117"/>
      <c r="T39" s="117"/>
      <c r="U39" s="117"/>
      <c r="V39" s="117"/>
      <c r="W39" s="117"/>
      <c r="X39" s="117"/>
      <c r="Y39" s="117"/>
      <c r="Z39" s="117"/>
      <c r="AA39" s="117"/>
    </row>
    <row r="40" spans="1:30">
      <c r="A40" s="81"/>
      <c r="B40" s="81"/>
      <c r="C40" s="81"/>
      <c r="D40" s="81"/>
      <c r="E40" s="81"/>
      <c r="F40" s="81"/>
      <c r="G40" s="81"/>
      <c r="H40" s="81"/>
      <c r="I40" s="37"/>
      <c r="J40" s="37"/>
      <c r="K40" s="37"/>
      <c r="L40" s="37"/>
      <c r="M40" s="37"/>
      <c r="N40" s="37"/>
      <c r="O40" s="37"/>
      <c r="P40" s="118"/>
      <c r="Q40" s="118"/>
      <c r="R40" s="118"/>
      <c r="S40" s="118"/>
      <c r="T40" s="37"/>
      <c r="U40" s="37"/>
      <c r="V40" s="37"/>
      <c r="W40" s="37"/>
      <c r="X40" s="37"/>
      <c r="Y40" s="37"/>
      <c r="Z40" s="37"/>
      <c r="AA40" s="37"/>
    </row>
    <row r="41" spans="1:30">
      <c r="A41" s="81"/>
      <c r="B41" s="81"/>
      <c r="C41" s="81"/>
      <c r="D41" s="81"/>
      <c r="E41" s="81"/>
      <c r="F41" s="81"/>
      <c r="G41" s="81"/>
      <c r="H41" s="81"/>
      <c r="I41" s="37"/>
      <c r="J41" s="37"/>
      <c r="K41" s="37"/>
      <c r="L41" s="37"/>
      <c r="M41" s="37"/>
      <c r="N41" s="37"/>
      <c r="O41" s="37"/>
      <c r="P41" s="37"/>
      <c r="Q41" s="37"/>
      <c r="R41" s="37"/>
      <c r="S41" s="37"/>
      <c r="T41" s="37"/>
      <c r="U41" s="37"/>
      <c r="V41" s="37"/>
      <c r="W41" s="37"/>
      <c r="X41" s="37"/>
      <c r="Y41" s="37"/>
      <c r="Z41" s="37"/>
      <c r="AA41" s="37"/>
    </row>
    <row r="42" spans="1:30">
      <c r="A42" s="81"/>
      <c r="B42" s="81"/>
      <c r="C42" s="81"/>
      <c r="D42" s="81"/>
      <c r="E42" s="81"/>
      <c r="F42" s="81"/>
      <c r="G42" s="81"/>
      <c r="H42" s="81"/>
      <c r="I42" s="37"/>
      <c r="J42" s="37"/>
      <c r="K42" s="37"/>
      <c r="L42" s="37"/>
      <c r="M42" s="37"/>
      <c r="N42" s="37"/>
      <c r="O42" s="37"/>
      <c r="P42" s="118"/>
      <c r="Q42" s="118"/>
      <c r="R42" s="118"/>
      <c r="S42" s="118"/>
      <c r="T42" s="37"/>
      <c r="U42" s="37"/>
      <c r="V42" s="37"/>
      <c r="W42" s="37"/>
      <c r="X42" s="37"/>
      <c r="Y42" s="37"/>
      <c r="Z42" s="37"/>
      <c r="AA42" s="37"/>
    </row>
    <row r="43" spans="1:30">
      <c r="A43" s="81"/>
      <c r="B43" s="81"/>
      <c r="C43" s="81"/>
      <c r="D43" s="81"/>
      <c r="E43" s="81"/>
      <c r="F43" s="81"/>
      <c r="G43" s="81"/>
      <c r="H43" s="81"/>
      <c r="I43" s="37"/>
      <c r="J43" s="37"/>
      <c r="K43" s="37"/>
      <c r="L43" s="37"/>
      <c r="M43" s="37"/>
      <c r="N43" s="37"/>
      <c r="O43" s="37"/>
      <c r="P43" s="118"/>
      <c r="Q43" s="118"/>
      <c r="R43" s="118"/>
      <c r="S43" s="118"/>
      <c r="T43" s="37"/>
      <c r="U43" s="37"/>
      <c r="V43" s="37"/>
      <c r="W43" s="37"/>
      <c r="X43" s="37"/>
      <c r="Y43" s="37"/>
      <c r="Z43" s="37"/>
      <c r="AA43" s="37"/>
    </row>
    <row r="44" spans="1:30">
      <c r="A44" s="81"/>
      <c r="B44" s="81"/>
      <c r="C44" s="81"/>
      <c r="D44" s="81"/>
      <c r="E44" s="81"/>
      <c r="F44" s="81"/>
      <c r="G44" s="81"/>
      <c r="H44" s="81"/>
      <c r="I44" s="37"/>
      <c r="J44" s="37"/>
      <c r="K44" s="37"/>
      <c r="L44" s="37"/>
      <c r="M44" s="37"/>
      <c r="N44" s="37"/>
      <c r="O44" s="37"/>
      <c r="P44" s="37"/>
      <c r="Q44" s="37"/>
      <c r="R44" s="37"/>
      <c r="S44" s="37"/>
      <c r="T44" s="37"/>
      <c r="U44" s="37"/>
      <c r="V44" s="37"/>
      <c r="W44" s="37"/>
      <c r="X44" s="37"/>
      <c r="Y44" s="37"/>
      <c r="Z44" s="37"/>
      <c r="AA44" s="37"/>
    </row>
    <row r="45" spans="1:30">
      <c r="A45" s="81"/>
      <c r="B45" s="81"/>
      <c r="C45" s="81"/>
      <c r="D45" s="81"/>
      <c r="E45" s="81"/>
      <c r="F45" s="81"/>
      <c r="G45" s="81"/>
      <c r="H45" s="81"/>
      <c r="I45" s="37"/>
      <c r="J45" s="37"/>
      <c r="K45" s="37"/>
      <c r="L45" s="37"/>
      <c r="M45" s="37"/>
      <c r="N45" s="37"/>
      <c r="O45" s="37"/>
      <c r="P45" s="118"/>
      <c r="Q45" s="118"/>
      <c r="R45" s="118"/>
      <c r="S45" s="118"/>
      <c r="T45" s="37"/>
      <c r="U45" s="37"/>
      <c r="V45" s="37"/>
      <c r="W45" s="37"/>
      <c r="X45" s="37"/>
      <c r="Y45" s="37"/>
      <c r="Z45" s="37"/>
      <c r="AA45" s="37"/>
    </row>
    <row r="46" spans="1:30">
      <c r="A46" s="81"/>
      <c r="B46" s="81"/>
      <c r="C46" s="81"/>
      <c r="D46" s="81"/>
      <c r="E46" s="81"/>
      <c r="F46" s="81"/>
      <c r="G46" s="81"/>
      <c r="H46" s="81"/>
      <c r="I46" s="37"/>
      <c r="J46" s="37"/>
      <c r="K46" s="37"/>
      <c r="L46" s="37"/>
      <c r="M46" s="37"/>
      <c r="N46" s="37"/>
      <c r="O46" s="37"/>
      <c r="P46" s="37"/>
      <c r="Q46" s="37"/>
      <c r="R46" s="37"/>
      <c r="S46" s="37"/>
      <c r="T46" s="37"/>
      <c r="U46" s="37"/>
      <c r="V46" s="37"/>
      <c r="W46" s="37"/>
      <c r="X46" s="37"/>
      <c r="Y46" s="37"/>
      <c r="Z46" s="37"/>
      <c r="AA46" s="37"/>
    </row>
    <row r="47" spans="1:30">
      <c r="A47" s="81"/>
      <c r="B47" s="81"/>
      <c r="C47" s="81"/>
      <c r="D47" s="81"/>
      <c r="E47" s="81"/>
      <c r="F47" s="81"/>
      <c r="G47" s="81"/>
      <c r="H47" s="81"/>
      <c r="I47" s="37"/>
      <c r="J47" s="37"/>
      <c r="K47" s="37"/>
      <c r="L47" s="37"/>
      <c r="M47" s="37"/>
      <c r="N47" s="37"/>
      <c r="O47" s="37"/>
      <c r="P47" s="37"/>
      <c r="Q47" s="37"/>
      <c r="R47" s="118"/>
      <c r="S47" s="118"/>
      <c r="T47" s="37"/>
      <c r="U47" s="37"/>
      <c r="V47" s="37"/>
      <c r="W47" s="37"/>
      <c r="X47" s="37"/>
      <c r="Y47" s="37"/>
      <c r="Z47" s="37"/>
      <c r="AA47" s="37"/>
    </row>
    <row r="48" spans="1:30">
      <c r="A48" s="81"/>
      <c r="B48" s="81"/>
      <c r="C48" s="81"/>
      <c r="D48" s="81"/>
      <c r="E48" s="81"/>
      <c r="F48" s="81"/>
      <c r="G48" s="81"/>
      <c r="H48" s="81"/>
      <c r="I48" s="37"/>
      <c r="J48" s="37"/>
      <c r="K48" s="37"/>
      <c r="L48" s="37"/>
      <c r="M48" s="37"/>
      <c r="N48" s="37"/>
      <c r="O48" s="37"/>
      <c r="P48" s="118"/>
      <c r="Q48" s="118"/>
      <c r="R48" s="118"/>
      <c r="S48" s="118"/>
      <c r="T48" s="37"/>
      <c r="U48" s="37"/>
      <c r="V48" s="37"/>
      <c r="W48" s="37"/>
      <c r="X48" s="37"/>
      <c r="Y48" s="37"/>
      <c r="Z48" s="37"/>
      <c r="AA48" s="37"/>
    </row>
    <row r="49" spans="1:27">
      <c r="A49" s="81"/>
      <c r="B49" s="81"/>
      <c r="C49" s="81"/>
      <c r="D49" s="81"/>
      <c r="E49" s="81"/>
      <c r="F49" s="81"/>
      <c r="G49" s="81"/>
      <c r="H49" s="81"/>
      <c r="I49" s="37"/>
      <c r="J49" s="37"/>
      <c r="K49" s="37"/>
      <c r="L49" s="37"/>
      <c r="M49" s="37"/>
      <c r="N49" s="37"/>
      <c r="O49" s="37"/>
      <c r="P49" s="118"/>
      <c r="Q49" s="118"/>
      <c r="R49" s="118"/>
      <c r="S49" s="118"/>
      <c r="T49" s="37"/>
      <c r="U49" s="37"/>
      <c r="V49" s="37"/>
      <c r="W49" s="37"/>
      <c r="X49" s="37"/>
      <c r="Y49" s="37"/>
      <c r="Z49" s="37"/>
      <c r="AA49" s="37"/>
    </row>
    <row r="50" spans="1:27">
      <c r="A50" s="81"/>
      <c r="B50" s="81"/>
      <c r="C50" s="81"/>
      <c r="D50" s="81"/>
      <c r="E50" s="81"/>
      <c r="F50" s="81"/>
      <c r="G50" s="81"/>
      <c r="H50" s="81"/>
      <c r="I50" s="37"/>
      <c r="J50" s="37"/>
      <c r="K50" s="37"/>
      <c r="L50" s="37"/>
      <c r="M50" s="37"/>
      <c r="N50" s="37"/>
      <c r="O50" s="37"/>
      <c r="P50" s="118"/>
      <c r="Q50" s="118"/>
      <c r="R50" s="118"/>
      <c r="S50" s="118"/>
      <c r="T50" s="37"/>
      <c r="U50" s="37"/>
      <c r="V50" s="37"/>
      <c r="W50" s="37"/>
      <c r="X50" s="37"/>
      <c r="Y50" s="37"/>
      <c r="Z50" s="37"/>
      <c r="AA50" s="37"/>
    </row>
    <row r="51" spans="1:27">
      <c r="A51" s="81"/>
      <c r="B51" s="81"/>
      <c r="C51" s="81"/>
      <c r="D51" s="81"/>
      <c r="E51" s="81"/>
      <c r="F51" s="81"/>
      <c r="G51" s="81"/>
      <c r="H51" s="81"/>
      <c r="I51" s="37"/>
      <c r="J51" s="37"/>
      <c r="K51" s="37"/>
      <c r="L51" s="37"/>
      <c r="M51" s="37"/>
      <c r="N51" s="37"/>
      <c r="O51" s="37"/>
      <c r="P51" s="37"/>
      <c r="Q51" s="118"/>
      <c r="R51" s="118"/>
      <c r="S51" s="118"/>
      <c r="T51" s="37"/>
      <c r="U51" s="37"/>
      <c r="V51" s="37"/>
      <c r="W51" s="37"/>
      <c r="X51" s="37"/>
      <c r="Y51" s="37"/>
      <c r="Z51" s="37"/>
      <c r="AA51" s="37"/>
    </row>
    <row r="52" spans="1:27">
      <c r="A52" s="81"/>
      <c r="B52" s="81"/>
      <c r="C52" s="81"/>
      <c r="D52" s="81"/>
      <c r="E52" s="81"/>
      <c r="F52" s="81"/>
      <c r="G52" s="81"/>
      <c r="H52" s="81"/>
      <c r="I52" s="37"/>
      <c r="J52" s="37"/>
      <c r="K52" s="37"/>
      <c r="L52" s="37"/>
      <c r="M52" s="37"/>
      <c r="N52" s="37"/>
      <c r="O52" s="37"/>
      <c r="P52" s="118"/>
      <c r="Q52" s="118"/>
      <c r="R52" s="118"/>
      <c r="S52" s="118"/>
      <c r="T52" s="37"/>
      <c r="U52" s="37"/>
      <c r="V52" s="37"/>
      <c r="W52" s="37"/>
      <c r="X52" s="37"/>
      <c r="Y52" s="37"/>
      <c r="Z52" s="37"/>
      <c r="AA52" s="37"/>
    </row>
    <row r="53" spans="1:27">
      <c r="A53" s="2"/>
      <c r="B53" s="2"/>
      <c r="C53" s="2"/>
      <c r="D53" s="2"/>
      <c r="E53" s="2"/>
      <c r="F53" s="2"/>
      <c r="G53" s="2"/>
      <c r="H53" s="2"/>
      <c r="I53" s="2"/>
      <c r="J53" s="2"/>
      <c r="K53" s="2"/>
      <c r="L53" s="2"/>
      <c r="M53" s="2"/>
      <c r="N53" s="2"/>
      <c r="O53" s="2"/>
      <c r="P53" s="2"/>
      <c r="Q53" s="1"/>
      <c r="R53" s="1"/>
      <c r="S53" s="2"/>
      <c r="T53" s="2"/>
      <c r="U53" s="2"/>
      <c r="V53" s="2"/>
      <c r="W53" s="2"/>
      <c r="X53" s="2"/>
      <c r="Y53" s="2"/>
      <c r="Z53" s="2"/>
      <c r="AA53" s="2"/>
    </row>
    <row r="54" spans="1:27">
      <c r="A54" s="2"/>
      <c r="B54" s="2"/>
      <c r="C54" s="2"/>
      <c r="D54" s="2"/>
      <c r="E54" s="2"/>
      <c r="F54" s="2"/>
      <c r="G54" s="2"/>
      <c r="H54" s="2"/>
      <c r="I54" s="2"/>
      <c r="J54" s="2"/>
      <c r="K54" s="2"/>
      <c r="L54" s="2"/>
      <c r="M54" s="2"/>
      <c r="N54" s="2"/>
      <c r="O54" s="2"/>
      <c r="P54" s="2"/>
      <c r="Q54" s="1"/>
      <c r="R54" s="1"/>
      <c r="S54" s="2"/>
      <c r="T54" s="2"/>
      <c r="U54" s="2"/>
      <c r="V54" s="2"/>
      <c r="W54" s="2"/>
      <c r="X54" s="2"/>
      <c r="Y54" s="2"/>
      <c r="Z54" s="2"/>
      <c r="AA54" s="2"/>
    </row>
    <row r="55" spans="1:27">
      <c r="A55" s="2"/>
      <c r="B55" s="98"/>
      <c r="C55" s="99"/>
      <c r="D55" s="2"/>
      <c r="E55" s="2"/>
      <c r="F55" s="2"/>
      <c r="G55" s="2"/>
      <c r="H55" s="2"/>
      <c r="I55" s="2"/>
      <c r="J55" s="2"/>
      <c r="K55" s="101"/>
      <c r="L55" s="101"/>
      <c r="M55" s="101"/>
      <c r="N55" s="101"/>
      <c r="O55" s="101"/>
      <c r="P55" s="101"/>
      <c r="Q55" s="101"/>
      <c r="R55" s="101"/>
      <c r="S55" s="2"/>
      <c r="T55" s="2"/>
      <c r="U55" s="2"/>
      <c r="V55" s="2"/>
      <c r="W55" s="2"/>
      <c r="X55" s="2"/>
      <c r="Y55" s="2"/>
      <c r="Z55" s="2"/>
      <c r="AA55" s="2"/>
    </row>
    <row r="56" spans="1:27">
      <c r="A56" s="2"/>
      <c r="B56" s="100"/>
      <c r="C56" s="99"/>
      <c r="D56" s="2"/>
      <c r="E56" s="2"/>
      <c r="F56" s="2"/>
      <c r="G56" s="2"/>
      <c r="H56" s="2"/>
      <c r="I56" s="2"/>
      <c r="J56" s="2"/>
      <c r="K56" s="2"/>
      <c r="L56" s="2"/>
      <c r="M56" s="39"/>
      <c r="N56" s="2"/>
      <c r="O56" s="2"/>
      <c r="P56" s="2"/>
      <c r="Q56" s="1"/>
      <c r="R56" s="1"/>
      <c r="S56" s="2"/>
      <c r="T56" s="2"/>
      <c r="U56" s="2"/>
      <c r="V56" s="2"/>
      <c r="W56" s="2"/>
      <c r="X56" s="2"/>
      <c r="Y56" s="2"/>
      <c r="Z56" s="2"/>
      <c r="AA56" s="2"/>
    </row>
    <row r="57" spans="1:27">
      <c r="A57" s="2"/>
      <c r="B57" s="100"/>
      <c r="C57" s="99"/>
      <c r="D57" s="2"/>
      <c r="E57" s="2"/>
      <c r="F57" s="2"/>
      <c r="G57" s="2"/>
      <c r="H57" s="2"/>
      <c r="I57" s="2"/>
      <c r="J57" s="2"/>
      <c r="K57" s="2"/>
      <c r="L57" s="2"/>
      <c r="M57" s="39"/>
      <c r="N57" s="97"/>
      <c r="O57" s="97"/>
      <c r="P57" s="97"/>
      <c r="Q57" s="97"/>
      <c r="R57" s="97"/>
      <c r="S57" s="97"/>
      <c r="T57" s="120"/>
      <c r="U57" s="120"/>
      <c r="V57" s="120"/>
      <c r="W57" s="120"/>
      <c r="X57" s="120"/>
      <c r="Y57" s="120"/>
      <c r="Z57" s="120"/>
      <c r="AA57" s="120"/>
    </row>
    <row r="58" spans="1:27">
      <c r="A58" s="2"/>
      <c r="B58" s="100"/>
      <c r="C58" s="99"/>
      <c r="D58" s="2"/>
      <c r="E58" s="2"/>
      <c r="F58" s="2"/>
      <c r="G58" s="2"/>
      <c r="H58" s="2"/>
      <c r="I58" s="2"/>
      <c r="J58" s="2"/>
      <c r="K58" s="2"/>
      <c r="L58" s="2"/>
      <c r="M58" s="39"/>
      <c r="N58" s="2"/>
      <c r="O58" s="2"/>
      <c r="P58" s="2"/>
      <c r="Q58" s="2"/>
      <c r="R58" s="2"/>
      <c r="S58" s="2"/>
      <c r="T58" s="2"/>
      <c r="U58" s="2"/>
      <c r="V58" s="2"/>
      <c r="W58" s="2"/>
      <c r="X58" s="2"/>
      <c r="Y58" s="2"/>
      <c r="Z58" s="2"/>
      <c r="AA58" s="2"/>
    </row>
    <row r="59" spans="1:27">
      <c r="A59" s="2"/>
      <c r="B59" s="2"/>
      <c r="C59" s="2"/>
      <c r="D59" s="2"/>
      <c r="E59" s="2"/>
      <c r="F59" s="2"/>
      <c r="G59" s="2"/>
      <c r="H59" s="2"/>
      <c r="I59" s="2"/>
      <c r="J59" s="2"/>
      <c r="K59" s="2"/>
      <c r="L59" s="2"/>
      <c r="M59" s="39"/>
      <c r="N59" s="2"/>
      <c r="O59" s="2"/>
      <c r="P59" s="2"/>
      <c r="Q59" s="2"/>
      <c r="R59" s="2"/>
      <c r="S59" s="2"/>
      <c r="T59" s="2"/>
      <c r="U59" s="2"/>
      <c r="V59" s="2"/>
      <c r="W59" s="2"/>
      <c r="X59" s="2"/>
      <c r="Y59" s="2"/>
      <c r="Z59" s="2"/>
      <c r="AA59" s="2"/>
    </row>
    <row r="60" spans="1:27">
      <c r="A60" s="2"/>
      <c r="B60" s="2"/>
      <c r="C60" s="2"/>
      <c r="D60" s="2"/>
      <c r="E60" s="2"/>
      <c r="F60" s="2"/>
      <c r="G60" s="2"/>
      <c r="H60" s="2"/>
      <c r="I60" s="2"/>
      <c r="J60" s="2"/>
      <c r="K60" s="2"/>
      <c r="L60" s="2"/>
      <c r="M60" s="39"/>
      <c r="N60" s="2"/>
      <c r="O60" s="2"/>
      <c r="P60" s="2"/>
      <c r="Q60" s="2"/>
      <c r="R60" s="2"/>
      <c r="S60" s="2"/>
      <c r="T60" s="2"/>
      <c r="U60" s="2"/>
      <c r="V60" s="2"/>
      <c r="W60" s="2"/>
      <c r="X60" s="2"/>
      <c r="Y60" s="2"/>
      <c r="Z60" s="2"/>
      <c r="AA60" s="2"/>
    </row>
    <row r="61" spans="1:27">
      <c r="A61" s="2"/>
      <c r="B61" s="2"/>
      <c r="C61" s="2"/>
      <c r="D61" s="2"/>
      <c r="E61" s="2"/>
      <c r="F61" s="2"/>
      <c r="G61" s="2"/>
      <c r="H61" s="2"/>
      <c r="I61" s="2"/>
      <c r="J61" s="2"/>
      <c r="K61" s="2"/>
      <c r="L61" s="2"/>
      <c r="M61" s="39"/>
      <c r="N61" s="2"/>
      <c r="O61" s="2"/>
      <c r="P61" s="2"/>
      <c r="Q61" s="2"/>
      <c r="R61" s="2"/>
      <c r="S61" s="121"/>
      <c r="T61" s="121"/>
      <c r="U61" s="121"/>
      <c r="V61" s="122"/>
      <c r="W61" s="122"/>
      <c r="X61" s="122"/>
      <c r="Y61" s="122"/>
      <c r="Z61" s="122"/>
      <c r="AA61" s="122"/>
    </row>
    <row r="62" spans="1:27">
      <c r="A62" s="2"/>
      <c r="B62" s="2"/>
      <c r="C62" s="2"/>
      <c r="D62" s="2"/>
      <c r="E62" s="2"/>
      <c r="F62" s="2"/>
      <c r="G62" s="2"/>
      <c r="H62" s="2"/>
      <c r="I62" s="2"/>
      <c r="J62" s="2"/>
      <c r="K62" s="2"/>
      <c r="L62" s="2"/>
      <c r="M62" s="39"/>
      <c r="N62" s="2"/>
      <c r="O62" s="2"/>
      <c r="P62" s="2"/>
      <c r="Q62" s="2"/>
      <c r="R62" s="2"/>
      <c r="S62" s="2"/>
      <c r="T62" s="2"/>
      <c r="U62" s="2"/>
      <c r="V62" s="2"/>
      <c r="W62" s="2"/>
      <c r="X62" s="2"/>
      <c r="Y62" s="2"/>
      <c r="Z62" s="2"/>
      <c r="AA62" s="2"/>
    </row>
    <row r="63" spans="1:27">
      <c r="A63" s="2"/>
      <c r="B63" s="2"/>
      <c r="C63" s="2"/>
      <c r="D63" s="2"/>
      <c r="E63" s="2"/>
      <c r="F63" s="2"/>
      <c r="G63" s="2"/>
      <c r="H63" s="2"/>
      <c r="I63" s="2"/>
      <c r="J63" s="2"/>
      <c r="K63" s="2"/>
      <c r="L63" s="2"/>
      <c r="M63" s="39"/>
      <c r="N63" s="2"/>
      <c r="O63" s="2"/>
      <c r="P63" s="2"/>
      <c r="Q63" s="2"/>
      <c r="R63" s="2"/>
      <c r="S63" s="2"/>
      <c r="T63" s="2"/>
      <c r="U63" s="2"/>
      <c r="V63" s="2"/>
      <c r="W63" s="2"/>
      <c r="X63" s="2"/>
      <c r="Y63" s="2"/>
      <c r="Z63" s="2"/>
      <c r="AA63" s="2"/>
    </row>
    <row r="64" spans="1:27">
      <c r="A64" s="2"/>
      <c r="B64" s="2"/>
      <c r="C64" s="2"/>
      <c r="D64" s="2"/>
      <c r="E64" s="2"/>
      <c r="F64" s="2"/>
      <c r="G64" s="2"/>
      <c r="H64" s="2"/>
      <c r="I64" s="2"/>
      <c r="J64" s="2"/>
      <c r="K64" s="2"/>
      <c r="L64" s="2"/>
      <c r="M64" s="2"/>
      <c r="N64" s="119"/>
      <c r="O64" s="2"/>
      <c r="P64" s="2"/>
      <c r="Q64" s="2"/>
      <c r="R64" s="2"/>
      <c r="S64" s="2"/>
      <c r="T64" s="2"/>
      <c r="U64" s="2"/>
      <c r="V64" s="2"/>
      <c r="W64" s="2"/>
      <c r="X64" s="2"/>
      <c r="Y64" s="2"/>
      <c r="Z64" s="2"/>
      <c r="AA64" s="2"/>
    </row>
    <row r="65" spans="1:27">
      <c r="A65" s="2"/>
      <c r="B65" s="2"/>
      <c r="C65" s="2"/>
      <c r="D65" s="2"/>
      <c r="E65" s="2"/>
      <c r="F65" s="2"/>
      <c r="G65" s="2"/>
      <c r="H65" s="2"/>
      <c r="I65" s="2"/>
      <c r="J65" s="2"/>
      <c r="K65" s="2"/>
      <c r="L65" s="2"/>
      <c r="M65" s="2"/>
      <c r="N65" s="2"/>
      <c r="O65" s="2"/>
      <c r="P65" s="2"/>
      <c r="Q65" s="2"/>
      <c r="R65" s="2"/>
      <c r="S65" s="72"/>
      <c r="T65" s="72"/>
      <c r="U65" s="72"/>
      <c r="V65" s="134"/>
      <c r="W65" s="134"/>
      <c r="X65" s="134"/>
      <c r="Y65" s="134"/>
      <c r="Z65" s="134"/>
      <c r="AA65" s="134"/>
    </row>
    <row r="66" spans="1:27">
      <c r="A66" s="2"/>
      <c r="B66" s="2"/>
      <c r="C66" s="2"/>
      <c r="D66" s="2"/>
      <c r="E66" s="2"/>
      <c r="F66" s="2"/>
      <c r="G66" s="2"/>
      <c r="H66" s="2"/>
      <c r="I66" s="2"/>
      <c r="J66" s="2"/>
      <c r="K66" s="2"/>
      <c r="L66" s="2"/>
      <c r="M66" s="2"/>
      <c r="N66" s="2"/>
      <c r="O66" s="2"/>
      <c r="P66" s="2"/>
      <c r="Q66" s="1"/>
      <c r="R66" s="1"/>
      <c r="S66" s="2"/>
      <c r="T66" s="2"/>
      <c r="U66" s="2"/>
      <c r="V66" s="2"/>
      <c r="W66" s="2"/>
      <c r="X66" s="2"/>
      <c r="Y66" s="2"/>
      <c r="Z66" s="2"/>
      <c r="AA66" s="2"/>
    </row>
    <row r="67" spans="1:27">
      <c r="A67" s="2"/>
      <c r="B67" s="2"/>
      <c r="C67" s="2"/>
      <c r="D67" s="2"/>
      <c r="E67" s="2"/>
      <c r="F67" s="2"/>
      <c r="G67" s="2"/>
      <c r="H67" s="2"/>
      <c r="I67" s="2"/>
      <c r="J67" s="2"/>
      <c r="K67" s="2"/>
      <c r="L67" s="2"/>
    </row>
    <row r="68" spans="1:27">
      <c r="A68" s="2"/>
      <c r="B68" s="2"/>
      <c r="C68" s="2"/>
      <c r="D68" s="2"/>
      <c r="E68" s="2"/>
      <c r="F68" s="2"/>
      <c r="G68" s="2"/>
      <c r="H68" s="2"/>
      <c r="I68" s="2"/>
      <c r="J68" s="2"/>
      <c r="K68" s="2"/>
      <c r="L68" s="2"/>
    </row>
    <row r="69" spans="1:27">
      <c r="A69" s="2"/>
      <c r="B69" s="2"/>
      <c r="C69" s="2"/>
      <c r="D69" s="2"/>
      <c r="E69" s="2"/>
      <c r="F69" s="2"/>
      <c r="G69" s="2"/>
      <c r="H69" s="2"/>
      <c r="I69" s="2"/>
      <c r="J69" s="2"/>
      <c r="K69" s="2"/>
      <c r="L69" s="2"/>
    </row>
    <row r="70" spans="1:27">
      <c r="A70" s="2"/>
      <c r="B70" s="2"/>
      <c r="C70" s="2"/>
      <c r="D70" s="2"/>
      <c r="E70" s="2"/>
      <c r="F70" s="2"/>
      <c r="G70" s="2"/>
      <c r="H70" s="2"/>
      <c r="I70" s="2"/>
      <c r="J70" s="2"/>
      <c r="K70" s="2"/>
      <c r="L70" s="2"/>
    </row>
    <row r="71" spans="1:27">
      <c r="A71" s="2"/>
      <c r="B71" s="2"/>
      <c r="C71" s="2"/>
      <c r="D71" s="2"/>
      <c r="E71" s="2"/>
      <c r="F71" s="2"/>
      <c r="G71" s="2"/>
      <c r="H71" s="2"/>
      <c r="I71" s="2"/>
      <c r="J71" s="2"/>
      <c r="K71" s="2"/>
      <c r="L71" s="2"/>
    </row>
    <row r="72" spans="1:27">
      <c r="A72" s="2"/>
      <c r="B72" s="2"/>
      <c r="C72" s="2"/>
      <c r="D72" s="2"/>
      <c r="E72" s="2"/>
      <c r="F72" s="2"/>
      <c r="G72" s="2"/>
      <c r="H72" s="2"/>
      <c r="I72" s="2"/>
      <c r="J72" s="2"/>
      <c r="K72" s="2"/>
      <c r="L72" s="2"/>
    </row>
    <row r="73" spans="1:27">
      <c r="A73" s="2"/>
      <c r="B73" s="2"/>
      <c r="C73" s="2"/>
      <c r="D73" s="2"/>
      <c r="E73" s="2"/>
      <c r="F73" s="2"/>
      <c r="G73" s="2"/>
      <c r="H73" s="2"/>
      <c r="I73" s="2"/>
      <c r="J73" s="2"/>
      <c r="K73" s="2"/>
      <c r="L73" s="2"/>
    </row>
    <row r="74" spans="1:27">
      <c r="A74" s="2"/>
      <c r="B74" s="2"/>
      <c r="C74" s="2"/>
      <c r="D74" s="2"/>
      <c r="E74" s="2"/>
      <c r="F74" s="2"/>
      <c r="G74" s="2"/>
      <c r="H74" s="2"/>
      <c r="I74" s="2"/>
      <c r="J74" s="2"/>
      <c r="K74" s="2"/>
      <c r="L74" s="2"/>
    </row>
    <row r="75" spans="1:27">
      <c r="A75" s="2"/>
      <c r="B75" s="2"/>
      <c r="C75" s="2"/>
      <c r="D75" s="2"/>
      <c r="E75" s="2"/>
      <c r="F75" s="2"/>
      <c r="G75" s="2"/>
      <c r="H75" s="2"/>
      <c r="I75" s="2"/>
      <c r="J75" s="2"/>
      <c r="K75" s="2"/>
      <c r="L75" s="2"/>
      <c r="M75" s="2"/>
      <c r="N75" s="2"/>
      <c r="O75" s="32"/>
      <c r="P75" s="32"/>
      <c r="Q75" s="32"/>
      <c r="R75" s="32"/>
      <c r="S75" s="32"/>
      <c r="T75" s="32"/>
      <c r="U75" s="32"/>
      <c r="V75" s="32"/>
      <c r="W75" s="32"/>
      <c r="X75" s="32"/>
      <c r="Y75" s="2"/>
      <c r="Z75" s="2"/>
    </row>
    <row r="76" spans="1:27">
      <c r="A76" s="2"/>
      <c r="B76" s="2"/>
      <c r="C76" s="2"/>
      <c r="D76" s="2"/>
      <c r="E76" s="2"/>
      <c r="F76" s="2"/>
      <c r="G76" s="2"/>
      <c r="H76" s="2"/>
      <c r="I76" s="2"/>
      <c r="J76" s="2"/>
      <c r="K76" s="2"/>
      <c r="L76" s="2"/>
      <c r="M76" s="2"/>
      <c r="N76" s="2"/>
      <c r="O76" s="32"/>
      <c r="P76" s="32"/>
      <c r="Q76" s="32"/>
      <c r="R76" s="32"/>
      <c r="S76" s="32"/>
      <c r="T76" s="32"/>
      <c r="U76" s="32"/>
      <c r="V76" s="32"/>
      <c r="W76" s="32"/>
      <c r="X76" s="32"/>
      <c r="Y76" s="2"/>
      <c r="Z76" s="2"/>
    </row>
    <row r="77" spans="1:27">
      <c r="A77" s="2"/>
      <c r="B77" s="2"/>
      <c r="C77" s="2"/>
      <c r="D77" s="2"/>
      <c r="E77" s="2"/>
      <c r="F77" s="2"/>
      <c r="G77" s="2"/>
      <c r="H77" s="2"/>
      <c r="I77" s="2"/>
      <c r="J77" s="2"/>
      <c r="K77" s="2"/>
      <c r="L77" s="2"/>
      <c r="M77" s="2"/>
      <c r="N77" s="2"/>
      <c r="O77" s="32"/>
      <c r="P77" s="32"/>
      <c r="Q77" s="32"/>
      <c r="R77" s="32"/>
      <c r="S77" s="32"/>
      <c r="T77" s="32"/>
      <c r="U77" s="32"/>
      <c r="V77" s="32"/>
      <c r="W77" s="32"/>
      <c r="X77" s="32"/>
      <c r="Y77" s="2"/>
      <c r="Z77" s="2"/>
    </row>
    <row r="78" spans="1:27">
      <c r="A78" s="2"/>
      <c r="B78" s="2"/>
      <c r="C78" s="2"/>
      <c r="D78" s="2"/>
      <c r="E78" s="2"/>
      <c r="F78" s="2"/>
      <c r="G78" s="2"/>
      <c r="H78" s="2"/>
      <c r="I78" s="2"/>
      <c r="J78" s="2"/>
      <c r="K78" s="2"/>
      <c r="L78" s="2"/>
      <c r="M78" s="2"/>
      <c r="N78" s="2"/>
      <c r="O78" s="32"/>
      <c r="P78" s="32"/>
      <c r="Q78" s="32"/>
      <c r="R78" s="32"/>
      <c r="S78" s="32"/>
      <c r="T78" s="32"/>
      <c r="U78" s="32"/>
      <c r="V78" s="32"/>
      <c r="W78" s="32"/>
      <c r="X78" s="32"/>
      <c r="Y78" s="2"/>
      <c r="Z78" s="2"/>
    </row>
    <row r="79" spans="1:27">
      <c r="A79" s="2"/>
      <c r="B79" s="2"/>
      <c r="C79" s="2"/>
      <c r="D79" s="2"/>
      <c r="E79" s="2"/>
      <c r="F79" s="2"/>
      <c r="G79" s="2"/>
      <c r="H79" s="2"/>
      <c r="I79" s="2"/>
      <c r="J79" s="2"/>
      <c r="K79" s="2"/>
      <c r="L79" s="2"/>
      <c r="M79" s="2"/>
      <c r="N79" s="2"/>
      <c r="O79" s="32"/>
      <c r="P79" s="32"/>
      <c r="Q79" s="32"/>
      <c r="R79" s="32"/>
      <c r="S79" s="32"/>
      <c r="T79" s="32"/>
      <c r="U79" s="32"/>
      <c r="V79" s="32"/>
      <c r="W79" s="32"/>
      <c r="X79" s="32"/>
      <c r="Y79" s="2"/>
      <c r="Z79" s="2"/>
    </row>
    <row r="80" spans="1:27">
      <c r="A80" s="2"/>
      <c r="B80" s="2"/>
      <c r="C80" s="2"/>
      <c r="D80" s="2"/>
      <c r="E80" s="2"/>
      <c r="F80" s="2"/>
      <c r="G80" s="2"/>
      <c r="H80" s="2"/>
      <c r="I80" s="2"/>
      <c r="J80" s="2"/>
      <c r="K80" s="2"/>
      <c r="L80" s="2"/>
      <c r="M80" s="2"/>
      <c r="N80" s="2"/>
      <c r="O80" s="2"/>
      <c r="P80" s="2"/>
      <c r="Q80" s="1"/>
      <c r="R80" s="1"/>
      <c r="S80" s="2"/>
      <c r="T80" s="2"/>
      <c r="U80" s="2"/>
      <c r="V80" s="2"/>
      <c r="W80" s="2"/>
      <c r="X80" s="2"/>
      <c r="Y80" s="2"/>
      <c r="Z80" s="2"/>
    </row>
    <row r="81" spans="1:26">
      <c r="A81" s="2"/>
      <c r="B81" s="2"/>
      <c r="C81" s="2"/>
      <c r="D81" s="2"/>
      <c r="E81" s="2"/>
      <c r="F81" s="2"/>
      <c r="G81" s="2"/>
      <c r="H81" s="2"/>
      <c r="I81" s="2"/>
      <c r="J81" s="2"/>
      <c r="K81" s="2"/>
      <c r="L81" s="2"/>
      <c r="M81" s="2"/>
      <c r="N81" s="2"/>
      <c r="O81" s="2"/>
      <c r="P81" s="2"/>
      <c r="Q81" s="1"/>
      <c r="R81" s="1"/>
      <c r="S81" s="2"/>
      <c r="T81" s="2"/>
      <c r="U81" s="2"/>
      <c r="V81" s="2"/>
      <c r="W81" s="2"/>
      <c r="X81" s="2"/>
      <c r="Y81" s="2"/>
      <c r="Z81" s="2"/>
    </row>
    <row r="82" spans="1:26">
      <c r="A82" s="2"/>
      <c r="B82" s="2"/>
      <c r="C82" s="2"/>
      <c r="D82" s="2"/>
      <c r="E82" s="2"/>
      <c r="F82" s="2"/>
      <c r="G82" s="2"/>
      <c r="H82" s="2"/>
      <c r="I82" s="2"/>
      <c r="J82" s="2"/>
      <c r="K82" s="2"/>
      <c r="L82" s="2"/>
      <c r="M82" s="2"/>
      <c r="N82" s="2"/>
      <c r="O82" s="2"/>
      <c r="P82" s="2"/>
      <c r="Q82" s="1"/>
      <c r="R82" s="1"/>
      <c r="S82" s="2"/>
      <c r="T82" s="2"/>
      <c r="U82" s="2"/>
      <c r="V82" s="2"/>
      <c r="W82" s="2"/>
      <c r="X82" s="2"/>
      <c r="Y82" s="2"/>
      <c r="Z82" s="2"/>
    </row>
    <row r="83" spans="1:26">
      <c r="A83" s="2"/>
      <c r="B83" s="2"/>
      <c r="C83" s="2"/>
      <c r="D83" s="2"/>
      <c r="E83" s="2"/>
      <c r="F83" s="2"/>
      <c r="G83" s="2"/>
      <c r="H83" s="2"/>
      <c r="I83" s="2"/>
      <c r="J83" s="2"/>
      <c r="K83" s="2"/>
      <c r="L83" s="2"/>
      <c r="M83" s="2"/>
      <c r="N83" s="2"/>
      <c r="O83" s="2"/>
      <c r="P83" s="2"/>
      <c r="Q83" s="1"/>
      <c r="R83" s="1"/>
      <c r="S83" s="2"/>
      <c r="T83" s="2"/>
      <c r="U83" s="2"/>
      <c r="V83" s="2"/>
      <c r="W83" s="2"/>
      <c r="X83" s="2"/>
      <c r="Y83" s="2"/>
      <c r="Z83" s="2"/>
    </row>
    <row r="84" spans="1:26">
      <c r="A84" s="2"/>
      <c r="B84" s="2"/>
      <c r="C84" s="2"/>
      <c r="D84" s="2"/>
      <c r="E84" s="2"/>
      <c r="F84" s="2"/>
      <c r="G84" s="2"/>
      <c r="H84" s="2"/>
      <c r="I84" s="2"/>
      <c r="J84" s="2"/>
      <c r="K84" s="2"/>
      <c r="L84" s="2"/>
      <c r="M84" s="2"/>
      <c r="N84" s="2"/>
      <c r="O84" s="2"/>
      <c r="P84" s="2"/>
      <c r="Q84" s="1"/>
      <c r="R84" s="1"/>
      <c r="S84" s="2"/>
      <c r="T84" s="2"/>
      <c r="U84" s="2"/>
      <c r="V84" s="2"/>
      <c r="W84" s="2"/>
      <c r="X84" s="2"/>
      <c r="Y84" s="2"/>
      <c r="Z84" s="2"/>
    </row>
    <row r="85" spans="1:26">
      <c r="A85" s="2"/>
      <c r="B85" s="2"/>
      <c r="C85" s="2"/>
      <c r="D85" s="2"/>
      <c r="E85" s="2"/>
      <c r="F85" s="2"/>
      <c r="G85" s="2"/>
      <c r="H85" s="2"/>
      <c r="I85" s="2"/>
      <c r="J85" s="2"/>
      <c r="K85" s="2"/>
      <c r="L85" s="2"/>
      <c r="M85" s="2"/>
      <c r="N85" s="2"/>
      <c r="O85" s="2"/>
      <c r="P85" s="2"/>
      <c r="Q85" s="1"/>
      <c r="R85" s="1"/>
      <c r="S85" s="2"/>
      <c r="T85" s="2"/>
      <c r="U85" s="2"/>
      <c r="V85" s="2"/>
      <c r="W85" s="2"/>
      <c r="X85" s="2"/>
      <c r="Y85" s="2"/>
      <c r="Z85" s="2"/>
    </row>
    <row r="86" spans="1:26">
      <c r="A86" s="2"/>
      <c r="B86" s="2"/>
      <c r="C86" s="2"/>
      <c r="D86" s="2"/>
      <c r="E86" s="2"/>
      <c r="F86" s="2"/>
      <c r="G86" s="2"/>
      <c r="H86" s="2"/>
      <c r="I86" s="2"/>
      <c r="J86" s="2"/>
      <c r="K86" s="2"/>
      <c r="L86" s="2"/>
      <c r="M86" s="2"/>
      <c r="N86" s="2"/>
      <c r="O86" s="2"/>
      <c r="P86" s="2"/>
      <c r="Q86" s="1"/>
      <c r="R86" s="1"/>
      <c r="S86" s="2"/>
      <c r="T86" s="2"/>
      <c r="U86" s="2"/>
      <c r="V86" s="2"/>
      <c r="W86" s="2"/>
      <c r="X86" s="2"/>
      <c r="Y86" s="2"/>
      <c r="Z86" s="2"/>
    </row>
    <row r="87" spans="1:26">
      <c r="A87" s="2"/>
      <c r="B87" s="2"/>
      <c r="C87" s="2"/>
      <c r="D87" s="2"/>
      <c r="E87" s="2"/>
      <c r="F87" s="2"/>
      <c r="G87" s="2"/>
      <c r="H87" s="2"/>
      <c r="I87" s="2"/>
      <c r="J87" s="2"/>
      <c r="K87" s="2"/>
      <c r="L87" s="2"/>
      <c r="M87" s="2"/>
      <c r="N87" s="2"/>
      <c r="O87" s="2"/>
      <c r="P87" s="2"/>
      <c r="Q87" s="1"/>
      <c r="R87" s="1"/>
      <c r="S87" s="2"/>
      <c r="T87" s="2"/>
      <c r="U87" s="2"/>
      <c r="V87" s="2"/>
      <c r="W87" s="2"/>
      <c r="X87" s="2"/>
      <c r="Y87" s="2"/>
      <c r="Z87" s="2"/>
    </row>
    <row r="88" spans="1:26">
      <c r="A88" s="2"/>
      <c r="B88" s="2"/>
      <c r="C88" s="2"/>
      <c r="D88" s="2"/>
      <c r="E88" s="2"/>
      <c r="F88" s="2"/>
      <c r="G88" s="2"/>
      <c r="H88" s="2"/>
      <c r="I88" s="2"/>
      <c r="J88" s="2"/>
      <c r="K88" s="2"/>
      <c r="L88" s="2"/>
      <c r="M88" s="2"/>
      <c r="N88" s="2"/>
      <c r="O88" s="2"/>
      <c r="P88" s="2"/>
      <c r="Q88" s="1"/>
      <c r="R88" s="1"/>
      <c r="S88" s="2"/>
      <c r="T88" s="2"/>
      <c r="U88" s="2"/>
      <c r="V88" s="2"/>
      <c r="W88" s="2"/>
      <c r="X88" s="2"/>
      <c r="Y88" s="2"/>
      <c r="Z88" s="2"/>
    </row>
    <row r="89" spans="1:26">
      <c r="A89" s="2"/>
      <c r="B89" s="2"/>
      <c r="C89" s="2"/>
      <c r="D89" s="2"/>
      <c r="E89" s="2"/>
      <c r="F89" s="2"/>
      <c r="G89" s="2"/>
      <c r="H89" s="2"/>
      <c r="I89" s="2"/>
      <c r="J89" s="2"/>
      <c r="K89" s="2"/>
      <c r="L89" s="2"/>
      <c r="M89" s="2"/>
      <c r="N89" s="2"/>
      <c r="O89" s="2"/>
      <c r="P89" s="2"/>
      <c r="Q89" s="1"/>
      <c r="R89" s="1"/>
      <c r="S89" s="2"/>
      <c r="T89" s="2"/>
      <c r="U89" s="2"/>
      <c r="V89" s="2"/>
      <c r="W89" s="2"/>
      <c r="X89" s="2"/>
      <c r="Y89" s="2"/>
      <c r="Z89" s="2"/>
    </row>
    <row r="90" spans="1:26">
      <c r="A90" s="2"/>
      <c r="B90" s="2"/>
      <c r="C90" s="2"/>
      <c r="D90" s="2"/>
      <c r="E90" s="2"/>
      <c r="F90" s="2"/>
      <c r="G90" s="2"/>
      <c r="H90" s="2"/>
      <c r="I90" s="2"/>
      <c r="J90" s="2"/>
      <c r="K90" s="2"/>
      <c r="L90" s="2"/>
      <c r="M90" s="2"/>
      <c r="N90" s="2"/>
      <c r="O90" s="2"/>
      <c r="P90" s="2"/>
      <c r="Q90" s="1"/>
      <c r="R90" s="1"/>
      <c r="S90" s="2"/>
      <c r="T90" s="2"/>
      <c r="U90" s="2"/>
      <c r="V90" s="2"/>
      <c r="W90" s="2"/>
      <c r="X90" s="2"/>
      <c r="Y90" s="2"/>
      <c r="Z90" s="2"/>
    </row>
    <row r="91" spans="1:26">
      <c r="A91" s="2"/>
      <c r="B91" s="2"/>
      <c r="C91" s="2"/>
      <c r="D91" s="2"/>
      <c r="E91" s="2"/>
      <c r="F91" s="2"/>
      <c r="G91" s="2"/>
      <c r="H91" s="2"/>
      <c r="I91" s="2"/>
      <c r="J91" s="2"/>
      <c r="K91" s="2"/>
      <c r="L91" s="2"/>
      <c r="M91" s="2"/>
      <c r="N91" s="2"/>
      <c r="O91" s="2"/>
      <c r="P91" s="2"/>
      <c r="Q91" s="1"/>
      <c r="R91" s="1"/>
      <c r="S91" s="2"/>
      <c r="T91" s="2"/>
      <c r="U91" s="2"/>
      <c r="V91" s="2"/>
      <c r="W91" s="2"/>
      <c r="X91" s="2"/>
      <c r="Y91" s="2"/>
      <c r="Z91" s="2"/>
    </row>
    <row r="92" spans="1:26">
      <c r="A92" s="2"/>
      <c r="B92" s="2"/>
      <c r="C92" s="2"/>
      <c r="D92" s="2"/>
      <c r="E92" s="2"/>
      <c r="F92" s="2"/>
      <c r="G92" s="2"/>
      <c r="H92" s="2"/>
      <c r="I92" s="2"/>
      <c r="J92" s="2"/>
      <c r="K92" s="2"/>
      <c r="L92" s="2"/>
      <c r="M92" s="2"/>
      <c r="N92" s="2"/>
      <c r="O92" s="2"/>
      <c r="P92" s="2"/>
      <c r="Q92" s="1"/>
      <c r="R92" s="1"/>
      <c r="S92" s="2"/>
      <c r="T92" s="2"/>
      <c r="U92" s="2"/>
      <c r="V92" s="2"/>
      <c r="W92" s="2"/>
      <c r="X92" s="2"/>
      <c r="Y92" s="2"/>
      <c r="Z92" s="2"/>
    </row>
    <row r="93" spans="1:26">
      <c r="A93" s="2"/>
      <c r="B93" s="2"/>
      <c r="C93" s="2"/>
      <c r="D93" s="2"/>
      <c r="E93" s="2"/>
      <c r="F93" s="2"/>
      <c r="G93" s="2"/>
      <c r="H93" s="2"/>
      <c r="I93" s="2"/>
      <c r="J93" s="2"/>
      <c r="K93" s="2"/>
      <c r="L93" s="2"/>
      <c r="M93" s="2"/>
      <c r="N93" s="2"/>
      <c r="O93" s="2"/>
      <c r="P93" s="2"/>
      <c r="Q93" s="1"/>
      <c r="R93" s="1"/>
      <c r="S93" s="2"/>
      <c r="T93" s="2"/>
      <c r="U93" s="2"/>
      <c r="V93" s="2"/>
      <c r="W93" s="2"/>
      <c r="X93" s="2"/>
      <c r="Y93" s="2"/>
      <c r="Z93" s="2"/>
    </row>
    <row r="94" spans="1:26">
      <c r="A94" s="2"/>
      <c r="B94" s="2"/>
      <c r="C94" s="2"/>
      <c r="D94" s="2"/>
      <c r="E94" s="2"/>
      <c r="F94" s="2"/>
      <c r="G94" s="2"/>
      <c r="H94" s="2"/>
      <c r="I94" s="2"/>
      <c r="J94" s="2"/>
      <c r="K94" s="2"/>
      <c r="L94" s="2"/>
      <c r="M94" s="2"/>
      <c r="N94" s="2"/>
      <c r="O94" s="2"/>
      <c r="P94" s="2"/>
      <c r="Q94" s="1"/>
      <c r="R94" s="1"/>
      <c r="S94" s="2"/>
      <c r="T94" s="2"/>
      <c r="U94" s="2"/>
      <c r="V94" s="2"/>
      <c r="W94" s="2"/>
      <c r="X94" s="2"/>
      <c r="Y94" s="2"/>
      <c r="Z94" s="2"/>
    </row>
    <row r="95" spans="1:26">
      <c r="A95" s="2"/>
      <c r="B95" s="2"/>
      <c r="C95" s="2"/>
      <c r="D95" s="2"/>
      <c r="E95" s="2"/>
      <c r="F95" s="2"/>
      <c r="G95" s="2"/>
      <c r="H95" s="2"/>
      <c r="I95" s="2"/>
      <c r="J95" s="2"/>
      <c r="K95" s="2"/>
      <c r="L95" s="2"/>
      <c r="M95" s="2"/>
      <c r="N95" s="2"/>
      <c r="O95" s="2"/>
      <c r="P95" s="2"/>
      <c r="Q95" s="1"/>
      <c r="R95" s="1"/>
      <c r="S95" s="2"/>
      <c r="T95" s="2"/>
      <c r="U95" s="2"/>
      <c r="V95" s="2"/>
      <c r="W95" s="2"/>
      <c r="X95" s="2"/>
      <c r="Y95" s="2"/>
      <c r="Z95" s="2"/>
    </row>
    <row r="96" spans="1:26">
      <c r="A96" s="2"/>
      <c r="B96" s="2"/>
      <c r="C96" s="2"/>
      <c r="D96" s="2"/>
      <c r="E96" s="2"/>
      <c r="F96" s="2"/>
      <c r="G96" s="2"/>
      <c r="H96" s="2"/>
      <c r="I96" s="2"/>
      <c r="J96" s="2"/>
      <c r="K96" s="2"/>
      <c r="L96" s="2"/>
      <c r="M96" s="2"/>
      <c r="N96" s="2"/>
      <c r="O96" s="2"/>
      <c r="P96" s="2"/>
      <c r="Q96" s="1"/>
      <c r="R96" s="1"/>
      <c r="S96" s="2"/>
      <c r="T96" s="2"/>
      <c r="U96" s="2"/>
      <c r="V96" s="2"/>
      <c r="W96" s="2"/>
      <c r="X96" s="2"/>
      <c r="Y96" s="2"/>
      <c r="Z96" s="2"/>
    </row>
    <row r="97" spans="1:26">
      <c r="A97" s="2"/>
      <c r="B97" s="2"/>
      <c r="C97" s="2"/>
      <c r="D97" s="2"/>
      <c r="E97" s="2"/>
      <c r="F97" s="2"/>
      <c r="G97" s="2"/>
      <c r="H97" s="2"/>
      <c r="I97" s="2"/>
      <c r="J97" s="2"/>
      <c r="K97" s="2"/>
      <c r="L97" s="2"/>
      <c r="M97" s="2"/>
      <c r="N97" s="2"/>
      <c r="O97" s="2"/>
      <c r="P97" s="2"/>
      <c r="Q97" s="1"/>
      <c r="R97" s="1"/>
      <c r="S97" s="2"/>
      <c r="T97" s="2"/>
      <c r="U97" s="2"/>
      <c r="V97" s="2"/>
      <c r="W97" s="2"/>
      <c r="X97" s="2"/>
      <c r="Y97" s="2"/>
      <c r="Z97" s="2"/>
    </row>
    <row r="98" spans="1:26">
      <c r="A98" s="2"/>
      <c r="B98" s="2"/>
      <c r="C98" s="2"/>
      <c r="D98" s="2"/>
      <c r="E98" s="2"/>
      <c r="F98" s="2"/>
      <c r="G98" s="2"/>
      <c r="H98" s="2"/>
      <c r="I98" s="2"/>
      <c r="J98" s="2"/>
      <c r="K98" s="2"/>
      <c r="L98" s="2"/>
      <c r="M98" s="2"/>
      <c r="N98" s="2"/>
      <c r="O98" s="2"/>
      <c r="P98" s="2"/>
      <c r="Q98" s="1"/>
      <c r="R98" s="1"/>
      <c r="S98" s="2"/>
      <c r="T98" s="2"/>
      <c r="U98" s="2"/>
      <c r="V98" s="2"/>
      <c r="W98" s="2"/>
      <c r="X98" s="2"/>
      <c r="Y98" s="2"/>
      <c r="Z98" s="2"/>
    </row>
    <row r="99" spans="1:26">
      <c r="A99" s="2"/>
      <c r="B99" s="2"/>
      <c r="C99" s="2"/>
      <c r="D99" s="2"/>
      <c r="E99" s="2"/>
      <c r="F99" s="2"/>
      <c r="G99" s="2"/>
      <c r="H99" s="2"/>
      <c r="I99" s="2"/>
      <c r="J99" s="2"/>
      <c r="K99" s="2"/>
      <c r="L99" s="2"/>
      <c r="M99" s="2"/>
      <c r="N99" s="2"/>
      <c r="O99" s="2"/>
      <c r="P99" s="2"/>
      <c r="Q99" s="1"/>
      <c r="R99" s="1"/>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1"/>
      <c r="R100" s="1"/>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1"/>
      <c r="R101" s="1"/>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1"/>
      <c r="R102" s="1"/>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1"/>
      <c r="R103" s="1"/>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1"/>
      <c r="R104" s="1"/>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1"/>
      <c r="R105" s="1"/>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1"/>
      <c r="R106" s="1"/>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1"/>
      <c r="R107" s="1"/>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1"/>
      <c r="R108" s="1"/>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1"/>
      <c r="R109" s="1"/>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1"/>
      <c r="R110" s="1"/>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1"/>
      <c r="R111" s="1"/>
      <c r="S111" s="2"/>
      <c r="T111" s="2"/>
      <c r="U111" s="2"/>
      <c r="V111" s="2"/>
      <c r="W111" s="2"/>
      <c r="X111" s="2"/>
      <c r="Y111" s="2"/>
      <c r="Z111" s="2"/>
    </row>
    <row r="112" spans="1:26">
      <c r="A112" s="2"/>
      <c r="B112" s="2"/>
      <c r="C112" s="2"/>
      <c r="D112" s="2"/>
      <c r="E112" s="2"/>
      <c r="F112" s="2"/>
      <c r="G112" s="2"/>
      <c r="H112" s="2"/>
      <c r="I112" s="2"/>
      <c r="J112" s="2"/>
      <c r="K112" s="2"/>
      <c r="L112" s="129"/>
      <c r="M112" s="129"/>
      <c r="N112" s="129"/>
      <c r="O112" s="129"/>
      <c r="P112" s="129"/>
      <c r="Q112" s="129"/>
      <c r="R112" s="129"/>
      <c r="S112" s="129"/>
      <c r="T112" s="129"/>
      <c r="U112" s="129"/>
      <c r="V112" s="129"/>
      <c r="W112" s="129"/>
      <c r="X112" s="129"/>
      <c r="Y112" s="129"/>
      <c r="Z112" s="129"/>
    </row>
    <row r="113" spans="1:27">
      <c r="A113" s="2"/>
      <c r="B113" s="2"/>
      <c r="C113" s="2"/>
      <c r="D113" s="2"/>
      <c r="E113" s="2"/>
      <c r="F113" s="2"/>
      <c r="G113" s="2"/>
      <c r="H113" s="2"/>
      <c r="I113" s="2"/>
      <c r="J113" s="2"/>
      <c r="K113" s="2"/>
      <c r="L113" s="129"/>
      <c r="M113" s="129"/>
      <c r="N113" s="129"/>
      <c r="O113" s="129"/>
      <c r="P113" s="129"/>
      <c r="Q113" s="129"/>
      <c r="R113" s="129"/>
      <c r="S113" s="129"/>
      <c r="T113" s="129"/>
      <c r="U113" s="129"/>
      <c r="V113" s="129"/>
      <c r="W113" s="129"/>
      <c r="X113" s="129"/>
      <c r="Y113" s="129"/>
      <c r="Z113" s="129"/>
    </row>
    <row r="114" spans="1:27">
      <c r="A114" s="39"/>
      <c r="B114" s="39"/>
      <c r="C114" s="39"/>
      <c r="D114" s="39"/>
      <c r="E114" s="39"/>
      <c r="F114" s="39"/>
      <c r="G114" s="39"/>
      <c r="H114" s="39"/>
      <c r="I114" s="39"/>
      <c r="J114" s="39"/>
      <c r="K114" s="39"/>
      <c r="L114" s="130"/>
      <c r="M114" s="130"/>
      <c r="N114" s="130"/>
      <c r="O114" s="130"/>
      <c r="P114" s="130"/>
      <c r="Q114" s="130"/>
      <c r="R114" s="130"/>
      <c r="S114" s="130"/>
      <c r="T114" s="130"/>
      <c r="U114" s="130"/>
      <c r="V114" s="130"/>
      <c r="W114" s="130"/>
      <c r="X114" s="130"/>
      <c r="Y114" s="130"/>
      <c r="Z114" s="130"/>
    </row>
    <row r="115" spans="1:27">
      <c r="A115" s="39"/>
      <c r="B115" s="39"/>
      <c r="C115" s="39"/>
      <c r="D115" s="39"/>
      <c r="E115" s="39"/>
      <c r="F115" s="39"/>
      <c r="G115" s="39"/>
      <c r="H115" s="39"/>
      <c r="I115" s="39"/>
      <c r="J115" s="39"/>
      <c r="K115" s="39"/>
      <c r="L115" s="130"/>
      <c r="M115" s="130"/>
      <c r="N115" s="130"/>
      <c r="O115" s="130"/>
      <c r="P115" s="130"/>
      <c r="Q115" s="130"/>
      <c r="R115" s="130"/>
      <c r="S115" s="130"/>
      <c r="T115" s="130"/>
      <c r="U115" s="130"/>
      <c r="V115" s="130"/>
      <c r="W115" s="130"/>
      <c r="X115" s="130"/>
      <c r="Y115" s="130"/>
      <c r="Z115" s="130"/>
      <c r="AA115" s="130"/>
    </row>
    <row r="116" spans="1:27">
      <c r="A116" s="39"/>
      <c r="B116" s="39"/>
      <c r="C116" s="39"/>
      <c r="D116" s="39"/>
      <c r="E116" s="39"/>
      <c r="F116" s="39"/>
      <c r="G116" s="39"/>
      <c r="H116" s="39"/>
      <c r="I116" s="39"/>
      <c r="J116" s="39"/>
      <c r="K116" s="39"/>
      <c r="L116" s="130"/>
      <c r="M116" s="130"/>
      <c r="N116" s="131"/>
      <c r="O116" s="131"/>
      <c r="P116" s="131"/>
      <c r="Q116" s="131"/>
      <c r="R116" s="131"/>
      <c r="S116" s="131"/>
      <c r="T116" s="131"/>
      <c r="U116" s="131"/>
      <c r="V116" s="131"/>
      <c r="W116" s="131"/>
      <c r="X116" s="131"/>
      <c r="Y116" s="133"/>
      <c r="Z116" s="133"/>
      <c r="AA116" s="133"/>
    </row>
    <row r="117" spans="1:27">
      <c r="A117" s="39"/>
      <c r="B117" s="39"/>
      <c r="C117" s="39"/>
      <c r="D117" s="39"/>
      <c r="E117" s="39"/>
      <c r="F117" s="39"/>
      <c r="G117" s="39"/>
      <c r="H117" s="39"/>
      <c r="I117" s="39"/>
      <c r="J117" s="39"/>
      <c r="K117" s="39"/>
      <c r="L117" s="130"/>
      <c r="M117" s="130"/>
      <c r="N117" s="131"/>
      <c r="O117" s="131"/>
      <c r="P117" s="131"/>
      <c r="Q117" s="131"/>
      <c r="R117" s="131"/>
      <c r="S117" s="131"/>
      <c r="T117" s="131"/>
      <c r="U117" s="131"/>
      <c r="V117" s="131"/>
      <c r="W117" s="131"/>
      <c r="X117" s="131"/>
      <c r="Y117" s="133"/>
      <c r="Z117" s="133"/>
      <c r="AA117" s="133"/>
    </row>
    <row r="118" spans="1:27">
      <c r="A118" s="39"/>
      <c r="B118" s="39"/>
      <c r="C118" s="39"/>
      <c r="D118" s="39"/>
      <c r="E118" s="39"/>
      <c r="F118" s="39"/>
      <c r="G118" s="39"/>
      <c r="H118" s="39"/>
      <c r="I118" s="39"/>
      <c r="J118" s="39"/>
      <c r="K118" s="39"/>
      <c r="L118" s="130"/>
      <c r="M118" s="130"/>
      <c r="N118" s="132"/>
      <c r="O118" s="132"/>
      <c r="P118" s="132"/>
      <c r="Q118" s="132"/>
      <c r="R118" s="132"/>
      <c r="S118" s="132"/>
      <c r="T118" s="132"/>
      <c r="U118" s="132"/>
      <c r="V118" s="132"/>
      <c r="W118" s="132"/>
      <c r="X118" s="132"/>
      <c r="Y118" s="133"/>
      <c r="Z118" s="133"/>
      <c r="AA118" s="133"/>
    </row>
    <row r="119" spans="1:27">
      <c r="A119" s="39"/>
      <c r="B119" s="39"/>
      <c r="C119" s="39"/>
      <c r="D119" s="39"/>
      <c r="E119" s="39"/>
      <c r="F119" s="39"/>
      <c r="G119" s="39"/>
      <c r="H119" s="39"/>
      <c r="I119" s="39"/>
      <c r="J119" s="39"/>
      <c r="K119" s="39"/>
      <c r="L119" s="130"/>
      <c r="M119" s="130"/>
      <c r="N119" s="132"/>
      <c r="O119" s="132"/>
      <c r="P119" s="132"/>
      <c r="Q119" s="132"/>
      <c r="R119" s="132"/>
      <c r="S119" s="132"/>
      <c r="T119" s="132"/>
      <c r="U119" s="132"/>
      <c r="V119" s="132"/>
      <c r="W119" s="132"/>
      <c r="X119" s="132"/>
      <c r="Y119" s="133"/>
      <c r="Z119" s="133"/>
      <c r="AA119" s="133"/>
    </row>
    <row r="120" spans="1:27">
      <c r="A120" s="39"/>
      <c r="B120" s="39"/>
      <c r="C120" s="39"/>
      <c r="D120" s="39"/>
      <c r="E120" s="39"/>
      <c r="F120" s="39"/>
      <c r="G120" s="39"/>
      <c r="H120" s="39"/>
      <c r="I120" s="39"/>
      <c r="J120" s="39"/>
      <c r="K120" s="39"/>
      <c r="L120" s="130"/>
      <c r="M120" s="130"/>
      <c r="N120" s="132"/>
      <c r="O120" s="132"/>
      <c r="P120" s="132"/>
      <c r="Q120" s="132"/>
      <c r="R120" s="132"/>
      <c r="S120" s="132"/>
      <c r="T120" s="132"/>
      <c r="U120" s="132"/>
      <c r="V120" s="132"/>
      <c r="W120" s="132"/>
      <c r="X120" s="132"/>
      <c r="Y120" s="133"/>
      <c r="Z120" s="133"/>
      <c r="AA120" s="133"/>
    </row>
    <row r="121" spans="1:27">
      <c r="A121" s="39"/>
      <c r="B121" s="39"/>
      <c r="C121" s="39"/>
      <c r="D121" s="39"/>
      <c r="E121" s="39"/>
      <c r="F121" s="39"/>
      <c r="G121" s="39"/>
      <c r="H121" s="39"/>
      <c r="I121" s="39"/>
      <c r="J121" s="39"/>
      <c r="K121" s="39"/>
      <c r="L121" s="130"/>
      <c r="M121" s="130"/>
      <c r="N121" s="132"/>
      <c r="O121" s="132"/>
      <c r="P121" s="132"/>
      <c r="Q121" s="132"/>
      <c r="R121" s="132"/>
      <c r="S121" s="132"/>
      <c r="T121" s="132"/>
      <c r="U121" s="132"/>
      <c r="V121" s="132"/>
      <c r="W121" s="132"/>
      <c r="X121" s="132"/>
      <c r="Y121" s="135"/>
      <c r="Z121" s="135"/>
      <c r="AA121" s="135"/>
    </row>
    <row r="122" spans="1:27">
      <c r="A122" s="39"/>
      <c r="B122" s="39"/>
      <c r="C122" s="39"/>
      <c r="D122" s="39"/>
      <c r="E122" s="39"/>
      <c r="F122" s="39"/>
      <c r="G122" s="39"/>
      <c r="H122" s="39"/>
      <c r="I122" s="39"/>
      <c r="J122" s="39"/>
      <c r="K122" s="39"/>
      <c r="L122" s="130"/>
      <c r="M122" s="130"/>
      <c r="N122" s="132"/>
      <c r="O122" s="132"/>
      <c r="P122" s="132"/>
      <c r="Q122" s="132"/>
      <c r="R122" s="132"/>
      <c r="S122" s="132"/>
      <c r="T122" s="132"/>
      <c r="U122" s="132"/>
      <c r="V122" s="132"/>
      <c r="W122" s="132"/>
      <c r="X122" s="132"/>
      <c r="Y122" s="136"/>
      <c r="Z122" s="136"/>
      <c r="AA122" s="136"/>
    </row>
    <row r="123" spans="1:27">
      <c r="A123" s="39"/>
      <c r="B123" s="39"/>
      <c r="C123" s="39"/>
      <c r="D123" s="39"/>
      <c r="E123" s="39"/>
      <c r="F123" s="39"/>
      <c r="G123" s="39"/>
      <c r="H123" s="39"/>
      <c r="I123" s="39"/>
      <c r="J123" s="39"/>
      <c r="K123" s="39"/>
      <c r="L123" s="130"/>
      <c r="M123" s="130"/>
      <c r="N123" s="132"/>
      <c r="O123" s="132"/>
      <c r="P123" s="132"/>
      <c r="Q123" s="132"/>
      <c r="R123" s="132"/>
      <c r="S123" s="132"/>
      <c r="T123" s="132"/>
      <c r="U123" s="132"/>
      <c r="V123" s="132"/>
      <c r="W123" s="132"/>
      <c r="X123" s="132"/>
      <c r="Y123" s="133"/>
      <c r="Z123" s="133"/>
      <c r="AA123" s="133"/>
    </row>
    <row r="124" spans="1:27">
      <c r="A124" s="39"/>
      <c r="B124" s="39"/>
      <c r="C124" s="39"/>
      <c r="D124" s="39"/>
      <c r="E124" s="39"/>
      <c r="F124" s="39"/>
      <c r="G124" s="39"/>
      <c r="H124" s="39"/>
      <c r="I124" s="39"/>
      <c r="J124" s="39"/>
      <c r="K124" s="39"/>
      <c r="L124" s="130"/>
      <c r="M124" s="130"/>
      <c r="N124" s="130"/>
      <c r="O124" s="130"/>
      <c r="P124" s="130"/>
      <c r="Q124" s="130"/>
      <c r="R124" s="130"/>
      <c r="S124" s="130"/>
      <c r="T124" s="130"/>
      <c r="U124" s="130"/>
      <c r="V124" s="130"/>
      <c r="W124" s="130"/>
      <c r="X124" s="130"/>
      <c r="Y124" s="130"/>
      <c r="Z124" s="130"/>
      <c r="AA124" s="130"/>
    </row>
    <row r="125" spans="1:27">
      <c r="A125" s="39"/>
      <c r="B125" s="39"/>
      <c r="C125" s="39"/>
      <c r="D125" s="39"/>
      <c r="E125" s="39"/>
      <c r="F125" s="39"/>
      <c r="G125" s="39"/>
      <c r="H125" s="39"/>
      <c r="I125" s="39"/>
      <c r="J125" s="39"/>
      <c r="K125" s="39"/>
      <c r="L125" s="130"/>
      <c r="M125" s="130"/>
      <c r="N125" s="129"/>
      <c r="O125" s="129"/>
      <c r="P125" s="129"/>
      <c r="Q125" s="129"/>
      <c r="R125" s="129"/>
      <c r="S125" s="129"/>
      <c r="T125" s="129"/>
      <c r="U125" s="129"/>
      <c r="V125" s="129"/>
      <c r="W125" s="129"/>
      <c r="X125" s="129"/>
      <c r="Y125" s="129"/>
      <c r="Z125" s="129"/>
      <c r="AA125" s="129"/>
    </row>
    <row r="126" spans="1:27">
      <c r="A126" s="39"/>
      <c r="B126" s="39"/>
      <c r="C126" s="39"/>
      <c r="D126" s="39"/>
      <c r="E126" s="39"/>
      <c r="F126" s="39"/>
      <c r="G126" s="39"/>
      <c r="H126" s="39"/>
      <c r="I126" s="39"/>
      <c r="J126" s="39"/>
      <c r="K126" s="39"/>
      <c r="L126" s="130"/>
      <c r="M126" s="130"/>
      <c r="N126" s="133"/>
      <c r="O126" s="133"/>
      <c r="P126" s="133"/>
      <c r="Q126" s="133"/>
      <c r="R126" s="133"/>
      <c r="S126" s="133"/>
      <c r="T126" s="133"/>
      <c r="U126" s="133"/>
      <c r="V126" s="133"/>
      <c r="W126" s="133"/>
      <c r="X126" s="133"/>
      <c r="Y126" s="133"/>
      <c r="Z126" s="133"/>
      <c r="AA126" s="133"/>
    </row>
    <row r="127" spans="1:27">
      <c r="A127" s="39"/>
      <c r="B127" s="39"/>
      <c r="C127" s="39"/>
      <c r="D127" s="39"/>
      <c r="E127" s="39"/>
      <c r="F127" s="39"/>
      <c r="G127" s="39"/>
      <c r="H127" s="39"/>
      <c r="I127" s="39"/>
      <c r="J127" s="39"/>
      <c r="K127" s="39"/>
      <c r="L127" s="130"/>
      <c r="M127" s="130"/>
      <c r="N127" s="133"/>
      <c r="O127" s="133"/>
      <c r="P127" s="133"/>
      <c r="Q127" s="133"/>
      <c r="R127" s="133"/>
      <c r="S127" s="133"/>
      <c r="T127" s="133"/>
      <c r="U127" s="133"/>
      <c r="V127" s="133"/>
      <c r="W127" s="133"/>
      <c r="X127" s="133"/>
      <c r="Y127" s="133"/>
      <c r="Z127" s="133"/>
      <c r="AA127" s="133"/>
    </row>
    <row r="128" spans="1:27">
      <c r="A128" s="39"/>
      <c r="B128" s="39"/>
      <c r="C128" s="39"/>
      <c r="D128" s="39"/>
      <c r="E128" s="39"/>
      <c r="F128" s="39"/>
      <c r="G128" s="39"/>
      <c r="H128" s="39"/>
      <c r="I128" s="39"/>
      <c r="J128" s="39"/>
      <c r="K128" s="39"/>
      <c r="L128" s="130"/>
      <c r="M128" s="130"/>
      <c r="N128" s="133"/>
      <c r="O128" s="133"/>
      <c r="P128" s="133"/>
      <c r="Q128" s="133"/>
      <c r="R128" s="133"/>
      <c r="S128" s="133"/>
      <c r="T128" s="133"/>
      <c r="U128" s="133"/>
      <c r="V128" s="133"/>
      <c r="W128" s="133"/>
      <c r="X128" s="133"/>
      <c r="Y128" s="133"/>
      <c r="Z128" s="133"/>
      <c r="AA128" s="133"/>
    </row>
    <row r="129" spans="1:27">
      <c r="A129" s="39"/>
      <c r="B129" s="39"/>
      <c r="C129" s="39"/>
      <c r="D129" s="39"/>
      <c r="E129" s="39"/>
      <c r="F129" s="39"/>
      <c r="G129" s="39"/>
      <c r="H129" s="39"/>
      <c r="I129" s="39"/>
      <c r="J129" s="39"/>
      <c r="K129" s="39"/>
      <c r="L129" s="130"/>
      <c r="M129" s="130"/>
      <c r="N129" s="133"/>
      <c r="O129" s="133"/>
      <c r="P129" s="133"/>
      <c r="Q129" s="133"/>
      <c r="R129" s="133"/>
      <c r="S129" s="133"/>
      <c r="T129" s="133"/>
      <c r="U129" s="133"/>
      <c r="V129" s="133"/>
      <c r="W129" s="133"/>
      <c r="X129" s="133"/>
      <c r="Y129" s="133"/>
      <c r="Z129" s="133"/>
      <c r="AA129" s="133"/>
    </row>
    <row r="130" spans="1:27">
      <c r="A130" s="39"/>
      <c r="B130" s="39"/>
      <c r="C130" s="39"/>
      <c r="D130" s="39"/>
      <c r="E130" s="39"/>
      <c r="F130" s="39"/>
      <c r="G130" s="39"/>
      <c r="H130" s="39"/>
      <c r="I130" s="39"/>
      <c r="J130" s="39"/>
      <c r="K130" s="39"/>
      <c r="L130" s="130"/>
      <c r="M130" s="130"/>
      <c r="N130" s="133"/>
      <c r="O130" s="133"/>
      <c r="P130" s="133"/>
      <c r="Q130" s="133"/>
      <c r="R130" s="133"/>
      <c r="S130" s="133"/>
      <c r="T130" s="133"/>
      <c r="U130" s="133"/>
      <c r="V130" s="133"/>
      <c r="W130" s="133"/>
      <c r="X130" s="133"/>
      <c r="Y130" s="133"/>
      <c r="Z130" s="133"/>
      <c r="AA130" s="133"/>
    </row>
    <row r="131" spans="1:27">
      <c r="A131" s="39"/>
      <c r="B131" s="39"/>
      <c r="C131" s="39"/>
      <c r="D131" s="39"/>
      <c r="E131" s="39"/>
      <c r="F131" s="39"/>
      <c r="G131" s="39"/>
      <c r="H131" s="39"/>
      <c r="I131" s="39"/>
      <c r="J131" s="39"/>
      <c r="K131" s="39"/>
      <c r="L131" s="130"/>
      <c r="M131" s="130"/>
      <c r="N131" s="135"/>
      <c r="O131" s="135"/>
      <c r="P131" s="135"/>
      <c r="Q131" s="135"/>
      <c r="R131" s="135"/>
      <c r="S131" s="135"/>
      <c r="T131" s="135"/>
      <c r="U131" s="135"/>
      <c r="V131" s="135"/>
      <c r="W131" s="135"/>
      <c r="X131" s="135"/>
      <c r="Y131" s="135"/>
      <c r="Z131" s="135"/>
      <c r="AA131" s="135"/>
    </row>
    <row r="132" spans="1:27">
      <c r="A132" s="39"/>
      <c r="B132" s="39"/>
      <c r="C132" s="39"/>
      <c r="D132" s="39"/>
      <c r="E132" s="39"/>
      <c r="F132" s="39"/>
      <c r="G132" s="39"/>
      <c r="H132" s="39"/>
      <c r="I132" s="39"/>
      <c r="J132" s="39"/>
      <c r="K132" s="39"/>
      <c r="L132" s="130"/>
      <c r="M132" s="130"/>
      <c r="N132" s="136"/>
      <c r="O132" s="136"/>
      <c r="P132" s="136"/>
      <c r="Q132" s="136"/>
      <c r="R132" s="136"/>
      <c r="S132" s="136"/>
      <c r="T132" s="136"/>
      <c r="U132" s="136"/>
      <c r="V132" s="136"/>
      <c r="W132" s="136"/>
      <c r="X132" s="136"/>
      <c r="Y132" s="136"/>
      <c r="Z132" s="136"/>
      <c r="AA132" s="136"/>
    </row>
    <row r="133" spans="1:27">
      <c r="A133" s="2"/>
      <c r="B133" s="2"/>
      <c r="C133" s="2"/>
      <c r="D133" s="2"/>
      <c r="E133" s="2"/>
      <c r="F133" s="2"/>
      <c r="G133" s="2"/>
      <c r="H133" s="2"/>
      <c r="I133" s="2"/>
      <c r="J133" s="2"/>
      <c r="K133" s="2"/>
      <c r="L133" s="129"/>
      <c r="M133" s="129"/>
      <c r="N133" s="137"/>
      <c r="O133" s="129"/>
      <c r="P133" s="129"/>
      <c r="Q133" s="129"/>
      <c r="R133" s="129"/>
      <c r="S133" s="129"/>
      <c r="T133" s="129"/>
      <c r="U133" s="129"/>
      <c r="V133" s="129"/>
      <c r="W133" s="129"/>
      <c r="X133" s="129"/>
      <c r="Y133" s="129"/>
      <c r="Z133" s="129"/>
    </row>
    <row r="134" spans="1:27">
      <c r="A134" s="2"/>
      <c r="B134" s="2"/>
      <c r="C134" s="2"/>
      <c r="D134" s="2"/>
      <c r="E134" s="2"/>
      <c r="F134" s="2"/>
      <c r="G134" s="2"/>
      <c r="H134" s="2"/>
      <c r="I134" s="2"/>
      <c r="J134" s="2"/>
      <c r="K134" s="2"/>
      <c r="L134" s="129"/>
      <c r="M134" s="129"/>
      <c r="N134" s="129"/>
      <c r="O134" s="129"/>
      <c r="P134" s="129"/>
      <c r="Q134" s="129"/>
      <c r="R134" s="129"/>
      <c r="S134" s="129"/>
      <c r="T134" s="129"/>
      <c r="U134" s="129"/>
      <c r="V134" s="129"/>
      <c r="W134" s="129"/>
      <c r="X134" s="129"/>
      <c r="Y134" s="129"/>
      <c r="Z134" s="129"/>
    </row>
    <row r="135" spans="1:27">
      <c r="A135" s="2"/>
      <c r="B135" s="2"/>
      <c r="C135" s="2"/>
      <c r="D135" s="2"/>
      <c r="E135" s="2"/>
      <c r="F135" s="2"/>
      <c r="G135" s="2"/>
      <c r="H135" s="2"/>
      <c r="I135" s="2"/>
      <c r="J135" s="2"/>
      <c r="K135" s="2"/>
      <c r="L135" s="129"/>
      <c r="M135" s="129"/>
      <c r="N135" s="129"/>
      <c r="O135" s="129"/>
      <c r="P135" s="129"/>
      <c r="Q135" s="129"/>
      <c r="R135" s="129"/>
      <c r="S135" s="129"/>
      <c r="T135" s="129"/>
      <c r="U135" s="129"/>
      <c r="V135" s="129"/>
      <c r="W135" s="129"/>
      <c r="X135" s="129"/>
      <c r="Y135" s="129"/>
      <c r="Z135" s="129"/>
    </row>
    <row r="136" spans="1:27">
      <c r="A136" s="2"/>
      <c r="B136" s="2"/>
      <c r="C136" s="2"/>
      <c r="D136" s="2"/>
      <c r="E136" s="2"/>
      <c r="F136" s="2"/>
      <c r="G136" s="2"/>
      <c r="H136" s="2"/>
      <c r="I136" s="2"/>
      <c r="J136" s="2"/>
      <c r="K136" s="2"/>
      <c r="L136" s="2"/>
      <c r="M136" s="2"/>
      <c r="N136" s="2"/>
      <c r="O136" s="2"/>
      <c r="P136" s="2"/>
      <c r="Q136" s="1"/>
      <c r="R136" s="1"/>
      <c r="S136" s="2"/>
      <c r="T136" s="2"/>
      <c r="U136" s="2"/>
      <c r="V136" s="2"/>
      <c r="W136" s="2"/>
      <c r="X136" s="2"/>
      <c r="Y136" s="2"/>
      <c r="Z136" s="2"/>
    </row>
    <row r="137" spans="1:27">
      <c r="A137" s="2"/>
      <c r="B137" s="2"/>
      <c r="C137" s="2"/>
      <c r="D137" s="2"/>
      <c r="E137" s="2"/>
      <c r="F137" s="2"/>
      <c r="G137" s="2"/>
      <c r="H137" s="2"/>
      <c r="I137" s="2"/>
      <c r="J137" s="2"/>
      <c r="K137" s="2"/>
      <c r="L137" s="2"/>
      <c r="M137" s="2"/>
      <c r="N137" s="2"/>
      <c r="O137" s="2"/>
      <c r="P137" s="2"/>
      <c r="Q137" s="1"/>
      <c r="R137" s="1"/>
      <c r="S137" s="2"/>
      <c r="T137" s="2"/>
      <c r="U137" s="2"/>
      <c r="V137" s="2"/>
      <c r="W137" s="2"/>
      <c r="X137" s="2"/>
      <c r="Y137" s="2"/>
      <c r="Z137" s="2"/>
    </row>
    <row r="138" spans="1:27">
      <c r="A138" s="2"/>
      <c r="B138" s="2"/>
      <c r="C138" s="2"/>
      <c r="D138" s="2"/>
      <c r="E138" s="2"/>
      <c r="F138" s="2"/>
      <c r="G138" s="2"/>
      <c r="H138" s="2"/>
      <c r="I138" s="2"/>
      <c r="J138" s="2"/>
      <c r="K138" s="2"/>
      <c r="L138" s="2"/>
      <c r="M138" s="2"/>
      <c r="N138" s="2"/>
      <c r="O138" s="2"/>
      <c r="P138" s="2"/>
      <c r="Q138" s="1"/>
      <c r="R138" s="1"/>
      <c r="S138" s="2"/>
      <c r="T138" s="2"/>
      <c r="U138" s="2"/>
      <c r="V138" s="2"/>
      <c r="W138" s="2"/>
      <c r="X138" s="2"/>
      <c r="Y138" s="2"/>
      <c r="Z138" s="2"/>
    </row>
    <row r="139" spans="1:27">
      <c r="A139" s="2"/>
      <c r="B139" s="2"/>
      <c r="C139" s="2"/>
      <c r="D139" s="2"/>
      <c r="E139" s="2"/>
      <c r="F139" s="2"/>
      <c r="G139" s="2"/>
      <c r="H139" s="2"/>
      <c r="I139" s="2"/>
      <c r="J139" s="2"/>
      <c r="K139" s="2"/>
      <c r="L139" s="2"/>
      <c r="M139" s="2"/>
      <c r="N139" s="2"/>
      <c r="O139" s="2"/>
      <c r="P139" s="2"/>
      <c r="Q139" s="1"/>
      <c r="R139" s="1"/>
      <c r="S139" s="2"/>
      <c r="T139" s="2"/>
      <c r="U139" s="2"/>
      <c r="V139" s="2"/>
      <c r="W139" s="2"/>
      <c r="X139" s="2"/>
      <c r="Y139" s="2"/>
      <c r="Z139" s="2"/>
    </row>
    <row r="140" spans="1:27">
      <c r="A140" s="2"/>
      <c r="B140" s="2"/>
      <c r="C140" s="2"/>
      <c r="D140" s="2"/>
      <c r="E140" s="2"/>
      <c r="F140" s="2"/>
      <c r="G140" s="2"/>
      <c r="H140" s="2"/>
      <c r="I140" s="2"/>
      <c r="J140" s="2"/>
      <c r="K140" s="2"/>
      <c r="L140" s="2"/>
      <c r="M140" s="2"/>
      <c r="N140" s="2"/>
      <c r="O140" s="2"/>
      <c r="P140" s="2"/>
      <c r="Q140" s="1"/>
      <c r="R140" s="1"/>
      <c r="S140" s="2"/>
      <c r="T140" s="2"/>
      <c r="U140" s="2"/>
      <c r="V140" s="2"/>
      <c r="W140" s="2"/>
      <c r="X140" s="2"/>
      <c r="Y140" s="2"/>
      <c r="Z140" s="2"/>
    </row>
    <row r="141" spans="1:27">
      <c r="A141" s="2"/>
      <c r="B141" s="2"/>
      <c r="C141" s="2"/>
      <c r="D141" s="2"/>
      <c r="E141" s="2"/>
      <c r="F141" s="2"/>
      <c r="G141" s="2"/>
      <c r="H141" s="2"/>
      <c r="I141" s="2"/>
      <c r="J141" s="2"/>
      <c r="K141" s="2"/>
      <c r="L141" s="2"/>
      <c r="M141" s="2"/>
      <c r="N141" s="2"/>
      <c r="O141" s="2"/>
      <c r="P141" s="2"/>
      <c r="Q141" s="1"/>
      <c r="R141" s="1"/>
      <c r="S141" s="2"/>
      <c r="T141" s="2"/>
      <c r="U141" s="2"/>
      <c r="V141" s="2"/>
      <c r="W141" s="2"/>
      <c r="X141" s="2"/>
      <c r="Y141" s="2"/>
      <c r="Z141" s="2"/>
    </row>
    <row r="142" spans="1:27">
      <c r="A142" s="2"/>
      <c r="B142" s="2"/>
      <c r="C142" s="2"/>
      <c r="D142" s="2"/>
      <c r="E142" s="2"/>
      <c r="F142" s="2"/>
      <c r="G142" s="2"/>
      <c r="H142" s="2"/>
      <c r="I142" s="2"/>
      <c r="J142" s="2"/>
      <c r="K142" s="2"/>
      <c r="L142" s="2"/>
      <c r="M142" s="2"/>
      <c r="N142" s="2"/>
      <c r="O142" s="2"/>
      <c r="P142" s="2"/>
      <c r="Q142" s="1"/>
      <c r="R142" s="1"/>
      <c r="S142" s="2"/>
      <c r="T142" s="2"/>
      <c r="U142" s="2"/>
      <c r="V142" s="2"/>
      <c r="W142" s="2"/>
      <c r="X142" s="2"/>
      <c r="Y142" s="2"/>
      <c r="Z142" s="2"/>
    </row>
    <row r="143" spans="1:27">
      <c r="A143" s="2"/>
      <c r="B143" s="2"/>
      <c r="C143" s="2"/>
      <c r="D143" s="2"/>
      <c r="E143" s="2"/>
      <c r="F143" s="2"/>
      <c r="G143" s="2"/>
      <c r="H143" s="2"/>
      <c r="I143" s="2"/>
      <c r="J143" s="2"/>
      <c r="K143" s="2"/>
      <c r="L143" s="2"/>
      <c r="M143" s="2"/>
      <c r="N143" s="2"/>
      <c r="O143" s="2"/>
      <c r="P143" s="2"/>
      <c r="Q143" s="1"/>
      <c r="R143" s="1"/>
      <c r="S143" s="2"/>
      <c r="T143" s="2"/>
      <c r="U143" s="2"/>
      <c r="V143" s="2"/>
      <c r="W143" s="2"/>
      <c r="X143" s="2"/>
      <c r="Y143" s="2"/>
      <c r="Z143" s="2"/>
    </row>
    <row r="144" spans="1:27">
      <c r="A144" s="2"/>
      <c r="B144" s="2"/>
      <c r="C144" s="2"/>
      <c r="D144" s="2"/>
      <c r="E144" s="2"/>
      <c r="F144" s="2"/>
      <c r="G144" s="2"/>
      <c r="H144" s="2"/>
      <c r="I144" s="2"/>
      <c r="J144" s="2"/>
      <c r="K144" s="2"/>
      <c r="L144" s="2"/>
      <c r="M144" s="2"/>
      <c r="N144" s="2"/>
      <c r="O144" s="2"/>
      <c r="P144" s="2"/>
      <c r="Q144" s="1"/>
      <c r="R144" s="1"/>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1"/>
      <c r="R145" s="1"/>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1"/>
      <c r="R146" s="1"/>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1"/>
      <c r="R147" s="1"/>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1"/>
      <c r="R148" s="1"/>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1"/>
      <c r="R149" s="1"/>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1"/>
      <c r="R150" s="1"/>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1"/>
      <c r="R151" s="1"/>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1"/>
      <c r="R152" s="1"/>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1"/>
      <c r="R153" s="1"/>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1"/>
      <c r="R154" s="1"/>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1"/>
      <c r="R155" s="1"/>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1"/>
      <c r="R156" s="1"/>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1"/>
      <c r="R157" s="1"/>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1"/>
      <c r="R158" s="1"/>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1"/>
      <c r="R159" s="1"/>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1"/>
      <c r="R160" s="1"/>
      <c r="S160" s="2"/>
      <c r="T160" s="2"/>
      <c r="U160" s="2"/>
      <c r="V160" s="2"/>
      <c r="W160" s="2"/>
      <c r="X160" s="2"/>
      <c r="Y160" s="2"/>
      <c r="Z160" s="2"/>
    </row>
    <row r="161" spans="1:27">
      <c r="A161" s="2"/>
      <c r="B161" s="2"/>
      <c r="C161" s="2"/>
      <c r="D161" s="2"/>
      <c r="E161" s="2"/>
      <c r="F161" s="2"/>
      <c r="G161" s="2"/>
      <c r="H161" s="2"/>
      <c r="I161" s="2"/>
      <c r="J161" s="2"/>
      <c r="K161" s="2"/>
      <c r="L161" s="2"/>
      <c r="M161" s="2"/>
      <c r="N161" s="2"/>
      <c r="O161" s="2"/>
      <c r="P161" s="2"/>
      <c r="Q161" s="1"/>
      <c r="R161" s="1"/>
      <c r="S161" s="2"/>
      <c r="T161" s="2"/>
      <c r="U161" s="2"/>
      <c r="V161" s="2"/>
      <c r="W161" s="2"/>
      <c r="X161" s="2"/>
      <c r="Y161" s="2"/>
      <c r="Z161" s="2"/>
    </row>
    <row r="162" spans="1:27">
      <c r="A162" s="2"/>
      <c r="B162" s="2"/>
      <c r="C162" s="2"/>
      <c r="D162" s="2"/>
      <c r="E162" s="2"/>
      <c r="F162" s="2"/>
      <c r="G162" s="2"/>
      <c r="H162" s="2"/>
      <c r="I162" s="2"/>
      <c r="J162" s="2"/>
      <c r="K162" s="2"/>
      <c r="L162" s="2"/>
      <c r="M162" s="2"/>
      <c r="N162" s="2"/>
      <c r="O162" s="2"/>
      <c r="P162" s="2"/>
      <c r="Q162" s="1"/>
      <c r="R162" s="1"/>
      <c r="S162" s="2"/>
      <c r="T162" s="2"/>
      <c r="U162" s="2"/>
      <c r="V162" s="2"/>
      <c r="W162" s="2"/>
      <c r="X162" s="2"/>
      <c r="Y162" s="2"/>
      <c r="Z162" s="2"/>
    </row>
    <row r="163" spans="1:27">
      <c r="A163" s="2"/>
      <c r="B163" s="2"/>
      <c r="C163" s="2"/>
      <c r="D163" s="2"/>
      <c r="E163" s="2"/>
      <c r="F163" s="2"/>
      <c r="G163" s="2"/>
      <c r="H163" s="2"/>
      <c r="I163" s="2"/>
      <c r="J163" s="2"/>
      <c r="K163" s="2"/>
      <c r="L163" s="2"/>
      <c r="M163" s="2"/>
      <c r="N163" s="2"/>
      <c r="O163" s="2"/>
      <c r="P163" s="2"/>
      <c r="Q163" s="1"/>
      <c r="R163" s="1"/>
      <c r="S163" s="2"/>
      <c r="T163" s="2"/>
      <c r="U163" s="2"/>
      <c r="V163" s="2"/>
      <c r="W163" s="2"/>
      <c r="X163" s="2"/>
      <c r="Y163" s="2"/>
      <c r="Z163" s="2"/>
    </row>
    <row r="164" spans="1:27">
      <c r="A164" s="2"/>
      <c r="B164" s="2"/>
      <c r="C164" s="2"/>
      <c r="D164" s="2"/>
      <c r="E164" s="2"/>
      <c r="F164" s="2"/>
      <c r="G164" s="2"/>
      <c r="H164" s="2"/>
      <c r="I164" s="2"/>
      <c r="J164" s="2"/>
      <c r="K164" s="2"/>
      <c r="L164" s="2"/>
      <c r="M164" s="2"/>
      <c r="N164" s="2"/>
      <c r="O164" s="2"/>
      <c r="P164" s="2"/>
      <c r="Q164" s="1"/>
      <c r="R164" s="1"/>
      <c r="S164" s="2"/>
      <c r="T164" s="2"/>
      <c r="U164" s="2"/>
      <c r="V164" s="2"/>
      <c r="W164" s="2"/>
      <c r="X164" s="2"/>
      <c r="Y164" s="2"/>
      <c r="Z164" s="2"/>
    </row>
    <row r="165" spans="1:27">
      <c r="A165" s="2"/>
      <c r="B165" s="2"/>
      <c r="C165" s="2"/>
      <c r="D165" s="2"/>
      <c r="E165" s="2"/>
      <c r="F165" s="2"/>
      <c r="G165" s="2"/>
      <c r="H165" s="2"/>
      <c r="I165" s="2"/>
      <c r="J165" s="2"/>
      <c r="K165" s="2"/>
      <c r="L165" s="2"/>
      <c r="M165" s="2"/>
      <c r="N165" s="2"/>
      <c r="O165" s="2"/>
      <c r="P165" s="2"/>
      <c r="Q165" s="1"/>
      <c r="R165" s="1"/>
      <c r="S165" s="2"/>
      <c r="T165" s="2"/>
      <c r="U165" s="2"/>
      <c r="V165" s="2"/>
      <c r="W165" s="2"/>
      <c r="X165" s="2"/>
      <c r="Y165" s="2"/>
      <c r="Z165" s="2"/>
    </row>
    <row r="166" spans="1:27">
      <c r="A166" s="2"/>
      <c r="B166" s="2"/>
      <c r="C166" s="2"/>
      <c r="D166" s="2"/>
      <c r="E166" s="2"/>
      <c r="F166" s="2"/>
      <c r="G166" s="2"/>
      <c r="H166" s="2"/>
      <c r="I166" s="2"/>
      <c r="J166" s="2"/>
      <c r="K166" s="2"/>
      <c r="L166" s="2"/>
      <c r="M166" s="2"/>
      <c r="N166" s="2"/>
      <c r="O166" s="2"/>
      <c r="P166" s="2"/>
      <c r="Q166" s="1"/>
      <c r="R166" s="1"/>
      <c r="S166" s="2"/>
      <c r="T166" s="2"/>
      <c r="U166" s="2"/>
      <c r="V166" s="2"/>
      <c r="W166" s="2"/>
      <c r="X166" s="2"/>
      <c r="Y166" s="2"/>
      <c r="Z166" s="2"/>
    </row>
    <row r="167" spans="1:27">
      <c r="A167" s="2"/>
      <c r="B167" s="2"/>
      <c r="C167" s="2"/>
      <c r="D167" s="2"/>
      <c r="E167" s="2"/>
      <c r="F167" s="2"/>
      <c r="G167" s="2"/>
      <c r="H167" s="2"/>
      <c r="I167" s="2"/>
      <c r="J167" s="2"/>
      <c r="K167" s="2"/>
      <c r="L167" s="2"/>
      <c r="M167" s="2"/>
      <c r="N167" s="2"/>
      <c r="O167" s="2"/>
      <c r="P167" s="2"/>
      <c r="Q167" s="1"/>
      <c r="R167" s="1"/>
      <c r="S167" s="2"/>
      <c r="T167" s="2"/>
      <c r="U167" s="2"/>
      <c r="V167" s="2"/>
      <c r="W167" s="2"/>
      <c r="X167" s="2"/>
      <c r="Y167" s="2"/>
      <c r="Z167" s="2"/>
    </row>
    <row r="168" spans="1:27">
      <c r="A168" s="2"/>
      <c r="B168" s="2"/>
      <c r="C168" s="2"/>
      <c r="D168" s="2"/>
      <c r="E168" s="2"/>
      <c r="F168" s="2"/>
      <c r="G168" s="2"/>
      <c r="H168" s="2"/>
      <c r="I168" s="2"/>
      <c r="J168" s="2"/>
      <c r="K168" s="2"/>
      <c r="L168" s="2"/>
      <c r="M168" s="2"/>
      <c r="N168" s="2"/>
      <c r="O168" s="2"/>
      <c r="P168" s="2"/>
      <c r="Q168" s="1"/>
      <c r="R168" s="1"/>
      <c r="S168" s="2"/>
      <c r="T168" s="2"/>
      <c r="U168" s="2"/>
      <c r="V168" s="2"/>
      <c r="W168" s="2"/>
      <c r="X168" s="2"/>
      <c r="Y168" s="2"/>
      <c r="Z168" s="2"/>
    </row>
    <row r="169" spans="1:27">
      <c r="A169" s="2"/>
      <c r="B169" s="2"/>
      <c r="C169" s="2"/>
      <c r="D169" s="2"/>
      <c r="E169" s="2"/>
      <c r="F169" s="2"/>
      <c r="G169" s="2"/>
      <c r="H169" s="2"/>
      <c r="I169" s="2"/>
      <c r="J169" s="2"/>
      <c r="K169" s="2"/>
      <c r="L169" s="2"/>
      <c r="M169" s="2"/>
      <c r="N169" s="2"/>
      <c r="O169" s="2"/>
      <c r="P169" s="2"/>
      <c r="Q169" s="1"/>
      <c r="R169" s="1"/>
      <c r="S169" s="2"/>
      <c r="T169" s="2"/>
      <c r="U169" s="2"/>
      <c r="V169" s="2"/>
      <c r="W169" s="2"/>
      <c r="X169" s="2"/>
      <c r="Y169" s="2"/>
      <c r="Z169" s="2"/>
    </row>
    <row r="170" spans="1:27">
      <c r="A170" s="2"/>
      <c r="B170" s="2"/>
      <c r="C170" s="2"/>
      <c r="D170" s="2"/>
      <c r="E170" s="2"/>
      <c r="F170" s="2"/>
      <c r="G170" s="2"/>
      <c r="H170" s="2"/>
      <c r="I170" s="2"/>
      <c r="J170" s="2"/>
      <c r="K170" s="2"/>
      <c r="L170" s="2"/>
      <c r="M170" s="138" t="s">
        <v>497</v>
      </c>
      <c r="N170" s="2"/>
      <c r="O170" s="2"/>
      <c r="P170" s="2"/>
      <c r="Q170" s="1"/>
      <c r="R170" s="1"/>
      <c r="S170" s="2"/>
      <c r="T170" s="2"/>
      <c r="U170" s="2"/>
      <c r="V170" s="2"/>
      <c r="W170" s="2"/>
      <c r="X170" s="2"/>
      <c r="Y170" s="2"/>
      <c r="Z170" s="2"/>
    </row>
    <row r="171" spans="1:27">
      <c r="A171" s="2"/>
      <c r="B171" s="2"/>
      <c r="C171" s="2"/>
      <c r="D171" s="2"/>
      <c r="E171" s="2"/>
      <c r="F171" s="2"/>
      <c r="G171" s="2"/>
      <c r="H171" s="2"/>
      <c r="I171" s="2"/>
      <c r="J171" s="2"/>
      <c r="K171" s="2"/>
      <c r="L171" s="2"/>
      <c r="M171" s="74" t="s">
        <v>61</v>
      </c>
      <c r="N171" s="124">
        <v>2008</v>
      </c>
      <c r="O171" s="124">
        <v>2009</v>
      </c>
      <c r="P171" s="124">
        <v>2010</v>
      </c>
      <c r="Q171" s="124">
        <v>2011</v>
      </c>
      <c r="R171" s="124">
        <v>2012</v>
      </c>
      <c r="S171" s="124">
        <v>2013</v>
      </c>
      <c r="T171" s="124">
        <v>2014</v>
      </c>
      <c r="U171" s="124">
        <v>2015</v>
      </c>
      <c r="V171" s="124">
        <v>2016</v>
      </c>
      <c r="W171" s="124">
        <v>2017</v>
      </c>
      <c r="X171" s="124">
        <v>2018</v>
      </c>
      <c r="Y171" s="124">
        <v>2019</v>
      </c>
      <c r="Z171" s="142">
        <v>2020</v>
      </c>
      <c r="AA171" s="142">
        <v>2021</v>
      </c>
    </row>
    <row r="172" spans="1:27">
      <c r="A172" s="2"/>
      <c r="B172" s="2"/>
      <c r="C172" s="2"/>
      <c r="D172" s="2"/>
      <c r="E172" s="2"/>
      <c r="F172" s="2"/>
      <c r="G172" s="2"/>
      <c r="H172" s="2"/>
      <c r="I172" s="2"/>
      <c r="J172" s="2"/>
      <c r="K172" s="2"/>
      <c r="L172" s="2"/>
      <c r="M172" s="138" t="s">
        <v>186</v>
      </c>
      <c r="N172" s="139">
        <v>9862</v>
      </c>
      <c r="O172" s="139">
        <v>9862</v>
      </c>
      <c r="P172" s="139">
        <v>8592</v>
      </c>
      <c r="Q172" s="139">
        <v>7918</v>
      </c>
      <c r="R172" s="139">
        <v>7393</v>
      </c>
      <c r="S172" s="139">
        <v>7764</v>
      </c>
      <c r="T172" s="139">
        <v>7750</v>
      </c>
      <c r="U172" s="139">
        <v>8336</v>
      </c>
      <c r="V172" s="139">
        <v>8673</v>
      </c>
      <c r="W172" s="139">
        <v>8933</v>
      </c>
      <c r="X172" s="139">
        <v>7950</v>
      </c>
      <c r="Y172" s="139">
        <v>5766</v>
      </c>
      <c r="Z172" s="143">
        <v>5303</v>
      </c>
      <c r="AA172" s="143"/>
    </row>
    <row r="173" spans="1:27">
      <c r="A173" s="2"/>
      <c r="B173" s="2"/>
      <c r="C173" s="2"/>
      <c r="D173" s="2"/>
      <c r="E173" s="2"/>
      <c r="F173" s="2"/>
      <c r="G173" s="2"/>
      <c r="H173" s="2"/>
      <c r="I173" s="2"/>
      <c r="J173" s="2"/>
      <c r="K173" s="2"/>
      <c r="L173" s="2"/>
      <c r="M173" s="138" t="s">
        <v>129</v>
      </c>
      <c r="N173" s="139">
        <v>2122</v>
      </c>
      <c r="O173" s="139">
        <v>2122</v>
      </c>
      <c r="P173" s="139">
        <v>2152</v>
      </c>
      <c r="Q173" s="139">
        <v>2121</v>
      </c>
      <c r="R173" s="139">
        <v>2446</v>
      </c>
      <c r="S173" s="139">
        <v>2661</v>
      </c>
      <c r="T173" s="139">
        <v>2291</v>
      </c>
      <c r="U173" s="139">
        <v>2250</v>
      </c>
      <c r="V173" s="139">
        <v>2119</v>
      </c>
      <c r="W173" s="139">
        <v>2002</v>
      </c>
      <c r="X173" s="139">
        <v>2019</v>
      </c>
      <c r="Y173" s="139">
        <v>1880</v>
      </c>
      <c r="Z173" s="143">
        <v>1458</v>
      </c>
      <c r="AA173" s="143"/>
    </row>
    <row r="174" spans="1:27">
      <c r="A174" s="2"/>
      <c r="B174" s="2"/>
      <c r="C174" s="2"/>
      <c r="D174" s="2"/>
      <c r="E174" s="2"/>
      <c r="F174" s="2"/>
      <c r="G174" s="2"/>
      <c r="H174" s="2"/>
      <c r="I174" s="2"/>
      <c r="J174" s="2"/>
      <c r="K174" s="2"/>
      <c r="L174" s="2"/>
      <c r="M174" s="138" t="s">
        <v>146</v>
      </c>
      <c r="N174" s="113">
        <v>358</v>
      </c>
      <c r="O174" s="113">
        <v>358</v>
      </c>
      <c r="P174" s="113">
        <v>340</v>
      </c>
      <c r="Q174" s="113">
        <v>271</v>
      </c>
      <c r="R174" s="113">
        <v>223</v>
      </c>
      <c r="S174" s="113">
        <v>299</v>
      </c>
      <c r="T174" s="113">
        <v>253</v>
      </c>
      <c r="U174" s="113">
        <v>234</v>
      </c>
      <c r="V174" s="113">
        <v>207</v>
      </c>
      <c r="W174" s="113">
        <v>178</v>
      </c>
      <c r="X174" s="113">
        <v>160</v>
      </c>
      <c r="Y174" s="113">
        <v>128</v>
      </c>
      <c r="Z174" s="128">
        <v>109</v>
      </c>
      <c r="AA174" s="128"/>
    </row>
    <row r="175" spans="1:27">
      <c r="A175" s="2"/>
      <c r="B175" s="2"/>
      <c r="C175" s="2"/>
      <c r="D175" s="2"/>
      <c r="E175" s="2"/>
      <c r="F175" s="2"/>
      <c r="G175" s="2"/>
      <c r="H175" s="2"/>
      <c r="I175" s="2"/>
      <c r="J175" s="2"/>
      <c r="K175" s="2"/>
      <c r="L175" s="2"/>
      <c r="M175" s="138" t="s">
        <v>156</v>
      </c>
      <c r="N175" s="113">
        <v>416</v>
      </c>
      <c r="O175" s="113">
        <v>416</v>
      </c>
      <c r="P175" s="113">
        <v>303</v>
      </c>
      <c r="Q175" s="113">
        <v>362</v>
      </c>
      <c r="R175" s="113">
        <v>421</v>
      </c>
      <c r="S175" s="113">
        <v>476</v>
      </c>
      <c r="T175" s="113">
        <v>384</v>
      </c>
      <c r="U175" s="113">
        <v>375</v>
      </c>
      <c r="V175" s="113">
        <v>387</v>
      </c>
      <c r="W175" s="113">
        <v>339</v>
      </c>
      <c r="X175" s="113">
        <v>376</v>
      </c>
      <c r="Y175" s="113">
        <v>443</v>
      </c>
      <c r="Z175" s="128">
        <v>370</v>
      </c>
      <c r="AA175" s="128"/>
    </row>
    <row r="176" spans="1:27">
      <c r="A176" s="2"/>
      <c r="B176" s="2"/>
      <c r="C176" s="2"/>
      <c r="D176" s="2"/>
      <c r="E176" s="2"/>
      <c r="F176" s="2"/>
      <c r="G176" s="2"/>
      <c r="H176" s="2"/>
      <c r="I176" s="2"/>
      <c r="J176" s="2"/>
      <c r="K176" s="2"/>
      <c r="L176" s="2"/>
      <c r="M176" s="138" t="s">
        <v>170</v>
      </c>
      <c r="N176" s="113">
        <v>2937</v>
      </c>
      <c r="O176" s="113">
        <v>2937</v>
      </c>
      <c r="P176" s="113">
        <v>1875</v>
      </c>
      <c r="Q176" s="113">
        <v>1460</v>
      </c>
      <c r="R176" s="113">
        <v>1440</v>
      </c>
      <c r="S176" s="113">
        <v>1305</v>
      </c>
      <c r="T176" s="113">
        <v>1146</v>
      </c>
      <c r="U176" s="113">
        <v>1269</v>
      </c>
      <c r="V176" s="113">
        <v>1480</v>
      </c>
      <c r="W176" s="113">
        <v>1167</v>
      </c>
      <c r="X176" s="113">
        <v>1090</v>
      </c>
      <c r="Y176" s="113">
        <v>1010</v>
      </c>
      <c r="Z176" s="128">
        <v>864</v>
      </c>
      <c r="AA176" s="128"/>
    </row>
    <row r="177" spans="1:27">
      <c r="A177" s="2"/>
      <c r="B177" s="2"/>
      <c r="C177" s="2"/>
      <c r="D177" s="2"/>
      <c r="E177" s="2"/>
      <c r="F177" s="2"/>
      <c r="G177" s="2"/>
      <c r="H177" s="2"/>
      <c r="I177" s="2"/>
      <c r="J177" s="2"/>
      <c r="K177" s="2"/>
      <c r="L177" s="2"/>
      <c r="M177" s="138" t="s">
        <v>498</v>
      </c>
      <c r="N177" s="113">
        <v>15695</v>
      </c>
      <c r="O177" s="113">
        <v>13262</v>
      </c>
      <c r="P177" s="113">
        <v>12132</v>
      </c>
      <c r="Q177" s="113">
        <v>11923</v>
      </c>
      <c r="R177" s="113">
        <v>12505</v>
      </c>
      <c r="S177" s="113">
        <v>11824</v>
      </c>
      <c r="T177" s="113">
        <v>12464</v>
      </c>
      <c r="U177" s="113">
        <v>12866</v>
      </c>
      <c r="V177" s="113">
        <v>12619</v>
      </c>
      <c r="W177" s="113">
        <v>11595</v>
      </c>
      <c r="X177" s="113">
        <v>10527</v>
      </c>
      <c r="Y177" s="113">
        <v>9042</v>
      </c>
      <c r="Z177" s="128">
        <f>SUM(Z172:Z176)</f>
        <v>8104</v>
      </c>
      <c r="AA177" s="128">
        <f>SUM(AA172:AA176)</f>
        <v>0</v>
      </c>
    </row>
    <row r="178" spans="1:27">
      <c r="A178" s="2"/>
      <c r="B178" s="2"/>
      <c r="C178" s="2"/>
      <c r="D178" s="2"/>
      <c r="E178" s="2"/>
      <c r="F178" s="2"/>
      <c r="G178" s="2"/>
      <c r="H178" s="2"/>
      <c r="I178" s="2"/>
      <c r="J178" s="2"/>
      <c r="K178" s="2"/>
      <c r="L178" s="2"/>
      <c r="M178" s="138" t="s">
        <v>59</v>
      </c>
      <c r="N178" s="113">
        <v>2426</v>
      </c>
      <c r="O178" s="113">
        <v>2426</v>
      </c>
      <c r="P178" s="113">
        <v>1993</v>
      </c>
      <c r="Q178" s="113">
        <v>1775</v>
      </c>
      <c r="R178" s="113">
        <v>1816</v>
      </c>
      <c r="S178" s="113">
        <v>1746</v>
      </c>
      <c r="T178" s="113">
        <v>1505</v>
      </c>
      <c r="U178" s="113">
        <v>1600</v>
      </c>
      <c r="V178" s="113">
        <v>1590</v>
      </c>
      <c r="W178" s="113">
        <v>1396</v>
      </c>
      <c r="X178" s="113">
        <v>1441</v>
      </c>
      <c r="Y178" s="113">
        <v>1329</v>
      </c>
      <c r="Z178" s="128">
        <v>1334</v>
      </c>
      <c r="AA178" s="128"/>
    </row>
    <row r="179" spans="1:27">
      <c r="A179" s="2"/>
      <c r="B179" s="2"/>
      <c r="C179" s="2"/>
      <c r="D179" s="2"/>
      <c r="E179" s="2"/>
      <c r="F179" s="2"/>
      <c r="G179" s="2"/>
      <c r="H179" s="2"/>
      <c r="I179" s="2"/>
      <c r="J179" s="2"/>
      <c r="K179" s="2"/>
      <c r="L179" s="2"/>
      <c r="M179" s="138" t="s">
        <v>62</v>
      </c>
      <c r="N179" s="112">
        <v>18121</v>
      </c>
      <c r="O179" s="112">
        <v>15255</v>
      </c>
      <c r="P179" s="112">
        <v>13907</v>
      </c>
      <c r="Q179" s="112">
        <v>13739</v>
      </c>
      <c r="R179" s="112">
        <v>14251</v>
      </c>
      <c r="S179" s="112">
        <v>13329</v>
      </c>
      <c r="T179" s="112">
        <v>14064</v>
      </c>
      <c r="U179" s="112">
        <v>14456</v>
      </c>
      <c r="V179" s="112">
        <v>14012</v>
      </c>
      <c r="W179" s="112">
        <v>13036</v>
      </c>
      <c r="X179" s="113">
        <f>SUM(X177:X178)</f>
        <v>11968</v>
      </c>
      <c r="Y179" s="113">
        <f>SUM(Y177:Y178)</f>
        <v>10371</v>
      </c>
      <c r="Z179" s="128">
        <f>SUM(Z177:Z178)</f>
        <v>9438</v>
      </c>
      <c r="AA179" s="128">
        <f>SUM(AA177:AA178)</f>
        <v>0</v>
      </c>
    </row>
    <row r="180" spans="1:27">
      <c r="A180" s="2"/>
      <c r="B180" s="2"/>
      <c r="C180" s="2"/>
      <c r="D180" s="2"/>
      <c r="E180" s="2"/>
      <c r="F180" s="2"/>
      <c r="G180" s="2"/>
      <c r="H180" s="2"/>
      <c r="I180" s="2"/>
      <c r="J180" s="2"/>
      <c r="K180" s="2"/>
      <c r="L180" s="2"/>
      <c r="M180" s="2"/>
      <c r="N180" s="119"/>
      <c r="O180" s="119"/>
      <c r="P180" s="140"/>
      <c r="Q180" s="140"/>
      <c r="R180" s="119"/>
      <c r="S180" s="119"/>
      <c r="T180" s="119"/>
      <c r="U180" s="119"/>
      <c r="V180" s="119"/>
      <c r="W180" s="119"/>
      <c r="X180" s="119"/>
      <c r="Y180" s="119"/>
      <c r="Z180" s="119"/>
      <c r="AA180" s="119"/>
    </row>
    <row r="181" spans="1:27">
      <c r="A181" s="2"/>
      <c r="B181" s="2"/>
      <c r="C181" s="2"/>
      <c r="D181" s="2"/>
      <c r="E181" s="2"/>
      <c r="F181" s="2"/>
      <c r="G181" s="2"/>
      <c r="H181" s="2"/>
      <c r="I181" s="2"/>
      <c r="J181" s="2"/>
      <c r="K181" s="2"/>
      <c r="L181" s="2"/>
      <c r="M181" s="138" t="s">
        <v>61</v>
      </c>
      <c r="N181" s="141">
        <v>2008</v>
      </c>
      <c r="O181" s="141">
        <v>2009</v>
      </c>
      <c r="P181" s="141">
        <v>2010</v>
      </c>
      <c r="Q181" s="141">
        <v>2011</v>
      </c>
      <c r="R181" s="141">
        <v>2012</v>
      </c>
      <c r="S181" s="141">
        <v>2013</v>
      </c>
      <c r="T181" s="141">
        <v>2014</v>
      </c>
      <c r="U181" s="141">
        <v>2015</v>
      </c>
      <c r="V181" s="141">
        <v>2016</v>
      </c>
      <c r="W181" s="141">
        <v>2017</v>
      </c>
      <c r="X181" s="141">
        <v>2018</v>
      </c>
      <c r="Y181" s="141">
        <v>2019</v>
      </c>
      <c r="Z181" s="142">
        <v>2020</v>
      </c>
      <c r="AA181" s="142">
        <v>2021</v>
      </c>
    </row>
    <row r="182" spans="1:27">
      <c r="A182" s="2"/>
      <c r="B182" s="2"/>
      <c r="C182" s="2"/>
      <c r="D182" s="2"/>
      <c r="E182" s="2"/>
      <c r="F182" s="2"/>
      <c r="G182" s="2"/>
      <c r="H182" s="2"/>
      <c r="I182" s="2"/>
      <c r="J182" s="2"/>
      <c r="K182" s="2"/>
      <c r="L182" s="2"/>
      <c r="M182" s="138" t="s">
        <v>186</v>
      </c>
      <c r="N182" s="112">
        <v>9862</v>
      </c>
      <c r="O182" s="113">
        <v>9862</v>
      </c>
      <c r="P182" s="113">
        <v>8592</v>
      </c>
      <c r="Q182" s="113">
        <v>7918</v>
      </c>
      <c r="R182" s="113">
        <v>7393</v>
      </c>
      <c r="S182" s="113">
        <v>7764</v>
      </c>
      <c r="T182" s="113">
        <v>7750</v>
      </c>
      <c r="U182" s="113">
        <v>8336</v>
      </c>
      <c r="V182" s="113">
        <v>8933</v>
      </c>
      <c r="W182" s="113">
        <v>7950</v>
      </c>
      <c r="X182" s="113">
        <v>7024</v>
      </c>
      <c r="Y182" s="113">
        <v>5733</v>
      </c>
      <c r="Z182" s="128">
        <v>5303</v>
      </c>
      <c r="AA182" s="128"/>
    </row>
    <row r="183" spans="1:27">
      <c r="A183" s="2"/>
      <c r="B183" s="2"/>
      <c r="C183" s="2"/>
      <c r="D183" s="2"/>
      <c r="E183" s="2"/>
      <c r="F183" s="2"/>
      <c r="G183" s="2"/>
      <c r="H183" s="2"/>
      <c r="I183" s="2"/>
      <c r="J183" s="2"/>
      <c r="K183" s="2"/>
      <c r="L183" s="2"/>
      <c r="M183" s="138" t="s">
        <v>129</v>
      </c>
      <c r="N183" s="112">
        <v>2122</v>
      </c>
      <c r="O183" s="113">
        <v>2122</v>
      </c>
      <c r="P183" s="113">
        <v>2152</v>
      </c>
      <c r="Q183" s="113">
        <v>2121</v>
      </c>
      <c r="R183" s="113">
        <v>2446</v>
      </c>
      <c r="S183" s="113">
        <v>2661</v>
      </c>
      <c r="T183" s="113">
        <v>2291</v>
      </c>
      <c r="U183" s="113">
        <v>2250</v>
      </c>
      <c r="V183" s="113">
        <v>2002</v>
      </c>
      <c r="W183" s="113">
        <v>2019</v>
      </c>
      <c r="X183" s="113">
        <v>1963</v>
      </c>
      <c r="Y183" s="113">
        <v>1749</v>
      </c>
      <c r="Z183" s="128">
        <v>1458</v>
      </c>
      <c r="AA183" s="128"/>
    </row>
    <row r="184" spans="1:27">
      <c r="A184" s="2"/>
      <c r="B184" s="2"/>
      <c r="C184" s="2"/>
      <c r="D184" s="2"/>
      <c r="E184" s="2"/>
      <c r="F184" s="2"/>
      <c r="G184" s="2"/>
      <c r="H184" s="2"/>
      <c r="I184" s="2"/>
      <c r="J184" s="2"/>
      <c r="K184" s="2"/>
      <c r="L184" s="2"/>
      <c r="M184" s="138" t="s">
        <v>146</v>
      </c>
      <c r="N184" s="112">
        <v>358</v>
      </c>
      <c r="O184" s="113">
        <v>358</v>
      </c>
      <c r="P184" s="113">
        <v>340</v>
      </c>
      <c r="Q184" s="113">
        <v>271</v>
      </c>
      <c r="R184" s="113">
        <v>223</v>
      </c>
      <c r="S184" s="113">
        <v>299</v>
      </c>
      <c r="T184" s="113">
        <v>253</v>
      </c>
      <c r="U184" s="113">
        <v>234</v>
      </c>
      <c r="V184" s="113">
        <v>178</v>
      </c>
      <c r="W184" s="113">
        <v>160</v>
      </c>
      <c r="X184" s="113">
        <v>125</v>
      </c>
      <c r="Y184" s="113">
        <v>128</v>
      </c>
      <c r="Z184" s="128">
        <v>109</v>
      </c>
      <c r="AA184" s="128"/>
    </row>
    <row r="185" spans="1:27">
      <c r="A185" s="2"/>
      <c r="B185" s="2"/>
      <c r="C185" s="2"/>
      <c r="D185" s="2"/>
      <c r="E185" s="2"/>
      <c r="F185" s="2"/>
      <c r="G185" s="2"/>
      <c r="H185" s="2"/>
      <c r="I185" s="2"/>
      <c r="J185" s="2"/>
      <c r="K185" s="2"/>
      <c r="L185" s="2"/>
      <c r="M185" s="138" t="s">
        <v>156</v>
      </c>
      <c r="N185" s="112">
        <v>416</v>
      </c>
      <c r="O185" s="113">
        <v>416</v>
      </c>
      <c r="P185" s="113">
        <v>303</v>
      </c>
      <c r="Q185" s="113">
        <v>362</v>
      </c>
      <c r="R185" s="113">
        <v>421</v>
      </c>
      <c r="S185" s="113">
        <v>476</v>
      </c>
      <c r="T185" s="113">
        <v>384</v>
      </c>
      <c r="U185" s="113">
        <v>375</v>
      </c>
      <c r="V185" s="113">
        <v>339</v>
      </c>
      <c r="W185" s="113">
        <v>376</v>
      </c>
      <c r="X185" s="113">
        <v>417</v>
      </c>
      <c r="Y185" s="113">
        <v>438</v>
      </c>
      <c r="Z185" s="128">
        <v>370</v>
      </c>
      <c r="AA185" s="128"/>
    </row>
    <row r="186" spans="1:27">
      <c r="A186" s="2"/>
      <c r="B186" s="2"/>
      <c r="C186" s="2"/>
      <c r="D186" s="2"/>
      <c r="E186" s="2"/>
      <c r="F186" s="2"/>
      <c r="G186" s="2"/>
      <c r="H186" s="2"/>
      <c r="I186" s="2"/>
      <c r="J186" s="2"/>
      <c r="K186" s="2"/>
      <c r="L186" s="2"/>
      <c r="M186" s="138" t="s">
        <v>170</v>
      </c>
      <c r="N186" s="112">
        <v>2937</v>
      </c>
      <c r="O186" s="113">
        <v>2937</v>
      </c>
      <c r="P186" s="113">
        <v>1875</v>
      </c>
      <c r="Q186" s="113">
        <v>1460</v>
      </c>
      <c r="R186" s="113">
        <v>1440</v>
      </c>
      <c r="S186" s="113">
        <v>1305</v>
      </c>
      <c r="T186" s="113">
        <v>1146</v>
      </c>
      <c r="U186" s="113">
        <v>1269</v>
      </c>
      <c r="V186" s="113">
        <v>1167</v>
      </c>
      <c r="W186" s="113">
        <v>1090</v>
      </c>
      <c r="X186" s="113">
        <v>998</v>
      </c>
      <c r="Y186" s="113">
        <v>994</v>
      </c>
      <c r="Z186" s="128">
        <v>864</v>
      </c>
      <c r="AA186" s="128"/>
    </row>
    <row r="187" spans="1:27">
      <c r="A187" s="2"/>
      <c r="B187" s="2"/>
      <c r="C187" s="2"/>
      <c r="D187" s="2"/>
      <c r="E187" s="2"/>
      <c r="F187" s="2"/>
      <c r="G187" s="2"/>
      <c r="H187" s="2"/>
      <c r="I187" s="2"/>
      <c r="J187" s="2"/>
      <c r="K187" s="2"/>
      <c r="L187" s="2"/>
      <c r="M187" s="138" t="s">
        <v>59</v>
      </c>
      <c r="N187" s="115">
        <v>2426</v>
      </c>
      <c r="O187" s="113">
        <v>2426</v>
      </c>
      <c r="P187" s="113">
        <v>1993</v>
      </c>
      <c r="Q187" s="113">
        <v>1775</v>
      </c>
      <c r="R187" s="113">
        <v>1816</v>
      </c>
      <c r="S187" s="113">
        <v>1746</v>
      </c>
      <c r="T187" s="113">
        <v>1505</v>
      </c>
      <c r="U187" s="113">
        <v>1600</v>
      </c>
      <c r="V187" s="113">
        <v>1396</v>
      </c>
      <c r="W187" s="113">
        <v>1396</v>
      </c>
      <c r="X187" s="113">
        <v>1342</v>
      </c>
      <c r="Y187" s="113">
        <v>1311</v>
      </c>
      <c r="Z187" s="128">
        <v>1334</v>
      </c>
      <c r="AA187" s="128"/>
    </row>
    <row r="188" spans="1:27">
      <c r="A188" s="2"/>
      <c r="B188" s="2"/>
      <c r="C188" s="2"/>
      <c r="D188" s="2"/>
      <c r="E188" s="2"/>
      <c r="F188" s="2"/>
      <c r="G188" s="2"/>
      <c r="H188" s="2"/>
      <c r="I188" s="2"/>
      <c r="J188" s="2"/>
      <c r="K188" s="2"/>
      <c r="L188" s="2"/>
      <c r="M188" s="138" t="s">
        <v>62</v>
      </c>
      <c r="N188" s="115">
        <v>18121</v>
      </c>
      <c r="O188" s="115">
        <v>18121</v>
      </c>
      <c r="P188" s="115">
        <v>15255</v>
      </c>
      <c r="Q188" s="115">
        <v>13907</v>
      </c>
      <c r="R188" s="115">
        <v>13739</v>
      </c>
      <c r="S188" s="115">
        <v>14251</v>
      </c>
      <c r="T188" s="115">
        <v>13329</v>
      </c>
      <c r="U188" s="115">
        <v>14456</v>
      </c>
      <c r="V188" s="115">
        <v>14015</v>
      </c>
      <c r="W188" s="115">
        <v>13036</v>
      </c>
      <c r="X188" s="115">
        <f>SUM(X182:X187)</f>
        <v>11869</v>
      </c>
      <c r="Y188" s="115">
        <f>SUM(Y182:Y187)</f>
        <v>10353</v>
      </c>
      <c r="Z188" s="144">
        <f>SUM(Z182:Z187)</f>
        <v>9438</v>
      </c>
      <c r="AA188" s="144">
        <f>SUM(AA182:AA187)</f>
        <v>0</v>
      </c>
    </row>
  </sheetData>
  <phoneticPr fontId="93" type="noConversion"/>
  <hyperlinks>
    <hyperlink ref="AB1" location="Content!A1" display="content" xr:uid="{00000000-0004-0000-1600-000000000000}"/>
  </hyperlinks>
  <pageMargins left="0.7" right="0.7" top="0.75" bottom="0.75" header="0.3" footer="0.3"/>
  <pageSetup orientation="portrait"/>
  <ignoredErrors>
    <ignoredError sqref="AB14 AB25 AB35" formulaRange="1"/>
  </ignoredError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AD38"/>
  <sheetViews>
    <sheetView zoomScale="85" zoomScaleNormal="85" workbookViewId="0">
      <pane xSplit="2" ySplit="7" topLeftCell="Q8" activePane="bottomRight" state="frozenSplit"/>
      <selection pane="topRight"/>
      <selection pane="bottomLeft"/>
      <selection pane="bottomRight" activeCell="R26" sqref="R26"/>
    </sheetView>
  </sheetViews>
  <sheetFormatPr defaultColWidth="8.77734375" defaultRowHeight="13.8"/>
  <cols>
    <col min="1" max="1" width="10.21875" style="2" customWidth="1"/>
    <col min="2" max="2" width="24.77734375" style="2" customWidth="1"/>
    <col min="3" max="3" width="9.77734375" style="2" customWidth="1"/>
    <col min="4" max="20" width="8.77734375" style="2" customWidth="1"/>
    <col min="21" max="25" width="10.77734375" style="2" customWidth="1"/>
    <col min="26" max="26" width="11.77734375" style="2" customWidth="1"/>
    <col min="27" max="27" width="10.77734375" style="2" customWidth="1"/>
    <col min="28" max="28" width="11.33203125" style="2" customWidth="1"/>
    <col min="29" max="29" width="10.33203125" style="2" customWidth="1"/>
    <col min="30" max="30" width="9.88671875" style="2" customWidth="1"/>
    <col min="31" max="16384" width="8.77734375" style="2"/>
  </cols>
  <sheetData>
    <row r="1" spans="1:30" ht="18">
      <c r="A1" s="3" t="s">
        <v>47</v>
      </c>
      <c r="AB1" s="57" t="s">
        <v>48</v>
      </c>
    </row>
    <row r="2" spans="1:30">
      <c r="A2" s="2" t="s">
        <v>499</v>
      </c>
    </row>
    <row r="3" spans="1:30">
      <c r="A3" s="4" t="s">
        <v>46</v>
      </c>
    </row>
    <row r="4" spans="1:30">
      <c r="A4" s="4" t="s">
        <v>500</v>
      </c>
    </row>
    <row r="6" spans="1:30">
      <c r="A6" s="5"/>
    </row>
    <row r="7" spans="1:30">
      <c r="A7" s="6" t="s">
        <v>94</v>
      </c>
      <c r="B7" s="7" t="s">
        <v>501</v>
      </c>
      <c r="C7" s="8">
        <v>1996</v>
      </c>
      <c r="D7" s="9">
        <v>1997</v>
      </c>
      <c r="E7" s="9">
        <v>1998</v>
      </c>
      <c r="F7" s="9">
        <v>1999</v>
      </c>
      <c r="G7" s="9">
        <v>2000</v>
      </c>
      <c r="H7" s="9">
        <v>2001</v>
      </c>
      <c r="I7" s="9">
        <v>2002</v>
      </c>
      <c r="J7" s="9">
        <v>2003</v>
      </c>
      <c r="K7" s="8">
        <v>2004</v>
      </c>
      <c r="L7" s="40">
        <v>2005</v>
      </c>
      <c r="M7" s="9">
        <v>2006</v>
      </c>
      <c r="N7" s="9">
        <v>2007</v>
      </c>
      <c r="O7" s="9">
        <v>2009</v>
      </c>
      <c r="P7" s="40">
        <v>2010</v>
      </c>
      <c r="Q7" s="40">
        <v>2011</v>
      </c>
      <c r="R7" s="9">
        <v>2012</v>
      </c>
      <c r="S7" s="54">
        <v>2013</v>
      </c>
      <c r="T7" s="54">
        <v>2014</v>
      </c>
      <c r="U7" s="55">
        <v>2015</v>
      </c>
      <c r="V7" s="54">
        <v>2016</v>
      </c>
      <c r="W7" s="54">
        <v>2017</v>
      </c>
      <c r="X7" s="55">
        <v>2018</v>
      </c>
      <c r="Y7" s="54">
        <v>2019</v>
      </c>
      <c r="Z7" s="54">
        <v>2020</v>
      </c>
      <c r="AA7" s="54">
        <v>2021</v>
      </c>
      <c r="AB7" s="58">
        <v>2022</v>
      </c>
      <c r="AC7" s="54">
        <v>2023</v>
      </c>
      <c r="AD7" s="58">
        <v>2024</v>
      </c>
    </row>
    <row r="8" spans="1:30">
      <c r="A8" s="10" t="s">
        <v>186</v>
      </c>
      <c r="B8" s="11" t="s">
        <v>502</v>
      </c>
      <c r="C8" s="12">
        <v>18490</v>
      </c>
      <c r="D8" s="13">
        <v>18660</v>
      </c>
      <c r="E8" s="13">
        <v>18900</v>
      </c>
      <c r="F8" s="13">
        <v>17630</v>
      </c>
      <c r="G8" s="13">
        <v>18888</v>
      </c>
      <c r="H8" s="13">
        <v>18480</v>
      </c>
      <c r="I8" s="13">
        <v>16940</v>
      </c>
      <c r="J8" s="13">
        <v>18080</v>
      </c>
      <c r="K8" s="12">
        <v>21964</v>
      </c>
      <c r="L8" s="41">
        <v>19354</v>
      </c>
      <c r="M8" s="13">
        <v>18444</v>
      </c>
      <c r="N8" s="13">
        <v>18877</v>
      </c>
      <c r="O8" s="13">
        <v>22941</v>
      </c>
      <c r="P8" s="41">
        <v>27818</v>
      </c>
      <c r="Q8" s="41">
        <v>26227</v>
      </c>
      <c r="R8" s="13">
        <v>23899</v>
      </c>
      <c r="S8" s="13">
        <v>25624</v>
      </c>
      <c r="T8" s="13">
        <v>26755</v>
      </c>
      <c r="U8" s="12">
        <v>24367</v>
      </c>
      <c r="V8" s="13">
        <v>27564</v>
      </c>
      <c r="W8" s="13">
        <v>26403</v>
      </c>
      <c r="X8" s="12">
        <v>26499</v>
      </c>
      <c r="Y8" s="13">
        <v>25380</v>
      </c>
      <c r="Z8" s="13">
        <v>27577</v>
      </c>
      <c r="AA8" s="13">
        <v>27945</v>
      </c>
      <c r="AB8" s="59">
        <v>29128</v>
      </c>
      <c r="AC8" s="60">
        <v>27161</v>
      </c>
      <c r="AD8" s="60">
        <v>27646</v>
      </c>
    </row>
    <row r="9" spans="1:30">
      <c r="A9" s="1400" t="s">
        <v>129</v>
      </c>
      <c r="B9" s="14" t="s">
        <v>503</v>
      </c>
      <c r="C9" s="15">
        <v>40192</v>
      </c>
      <c r="D9" s="16">
        <v>39865</v>
      </c>
      <c r="E9" s="16">
        <v>39352</v>
      </c>
      <c r="F9" s="16">
        <v>37368</v>
      </c>
      <c r="G9" s="16">
        <v>38496</v>
      </c>
      <c r="H9" s="16">
        <v>39423</v>
      </c>
      <c r="I9" s="16">
        <v>37230</v>
      </c>
      <c r="J9" s="16">
        <v>39267</v>
      </c>
      <c r="K9" s="15">
        <v>40756</v>
      </c>
      <c r="L9" s="42">
        <v>39254</v>
      </c>
      <c r="M9" s="16">
        <v>36724</v>
      </c>
      <c r="N9" s="16">
        <v>36544</v>
      </c>
      <c r="O9" s="16">
        <v>30875</v>
      </c>
      <c r="P9" s="42">
        <v>31756</v>
      </c>
      <c r="Q9" s="42">
        <v>30805</v>
      </c>
      <c r="R9" s="16">
        <v>32391</v>
      </c>
      <c r="S9" s="16">
        <v>31125</v>
      </c>
      <c r="T9" s="16">
        <v>29738</v>
      </c>
      <c r="U9" s="15">
        <v>29903</v>
      </c>
      <c r="V9" s="16">
        <v>30879</v>
      </c>
      <c r="W9" s="16">
        <v>31961</v>
      </c>
      <c r="X9" s="15">
        <v>31406</v>
      </c>
      <c r="Y9" s="16">
        <v>31489</v>
      </c>
      <c r="Z9" s="16">
        <v>31752</v>
      </c>
      <c r="AA9" s="16">
        <v>32525</v>
      </c>
      <c r="AB9" s="61">
        <v>31711</v>
      </c>
      <c r="AC9" s="62">
        <v>31747</v>
      </c>
      <c r="AD9" s="62">
        <v>32065</v>
      </c>
    </row>
    <row r="10" spans="1:30">
      <c r="A10" s="1401"/>
      <c r="B10" s="17" t="s">
        <v>504</v>
      </c>
      <c r="C10" s="18">
        <v>14082</v>
      </c>
      <c r="D10" s="19">
        <v>12048</v>
      </c>
      <c r="E10" s="19">
        <v>10917</v>
      </c>
      <c r="F10" s="19">
        <v>10283</v>
      </c>
      <c r="G10" s="19">
        <v>9587</v>
      </c>
      <c r="H10" s="19">
        <v>8806</v>
      </c>
      <c r="I10" s="19">
        <v>8603</v>
      </c>
      <c r="J10" s="19">
        <v>8169</v>
      </c>
      <c r="K10" s="18">
        <v>7986</v>
      </c>
      <c r="L10" s="43">
        <v>11387</v>
      </c>
      <c r="M10" s="19">
        <v>10965</v>
      </c>
      <c r="N10" s="19">
        <v>10315</v>
      </c>
      <c r="O10" s="19">
        <v>9507</v>
      </c>
      <c r="P10" s="43">
        <v>8679</v>
      </c>
      <c r="Q10" s="43">
        <v>7984</v>
      </c>
      <c r="R10" s="19">
        <v>8112</v>
      </c>
      <c r="S10" s="19">
        <v>7622</v>
      </c>
      <c r="T10" s="19">
        <v>7095</v>
      </c>
      <c r="U10" s="18">
        <v>6860</v>
      </c>
      <c r="V10" s="19">
        <v>6480</v>
      </c>
      <c r="W10" s="19">
        <v>6105</v>
      </c>
      <c r="X10" s="18">
        <v>5388</v>
      </c>
      <c r="Y10" s="19">
        <v>5241</v>
      </c>
      <c r="Z10" s="19">
        <v>6018</v>
      </c>
      <c r="AA10" s="19">
        <v>5239</v>
      </c>
      <c r="AB10" s="63">
        <v>4513</v>
      </c>
      <c r="AC10" s="64">
        <v>4949</v>
      </c>
      <c r="AD10" s="64">
        <v>4655</v>
      </c>
    </row>
    <row r="11" spans="1:30">
      <c r="A11" s="1402"/>
      <c r="B11" s="20" t="s">
        <v>505</v>
      </c>
      <c r="C11" s="21">
        <v>188160</v>
      </c>
      <c r="D11" s="22">
        <v>133160</v>
      </c>
      <c r="E11" s="22">
        <v>112469</v>
      </c>
      <c r="F11" s="22">
        <v>121469</v>
      </c>
      <c r="G11" s="22">
        <v>145668</v>
      </c>
      <c r="H11" s="22">
        <v>123754</v>
      </c>
      <c r="I11" s="22">
        <v>117406</v>
      </c>
      <c r="J11" s="22">
        <v>123325</v>
      </c>
      <c r="K11" s="21">
        <v>128843</v>
      </c>
      <c r="L11" s="44">
        <v>135776</v>
      </c>
      <c r="M11" s="22">
        <v>135777</v>
      </c>
      <c r="N11" s="22">
        <v>143221</v>
      </c>
      <c r="O11" s="22">
        <v>110841</v>
      </c>
      <c r="P11" s="44">
        <v>113519</v>
      </c>
      <c r="Q11" s="44">
        <v>108060</v>
      </c>
      <c r="R11" s="22">
        <v>119010</v>
      </c>
      <c r="S11" s="22">
        <v>117674</v>
      </c>
      <c r="T11" s="22">
        <v>124442</v>
      </c>
      <c r="U11" s="21">
        <v>147283</v>
      </c>
      <c r="V11" s="22">
        <v>161859</v>
      </c>
      <c r="W11" s="22">
        <v>190939</v>
      </c>
      <c r="X11" s="21">
        <v>184483</v>
      </c>
      <c r="Y11" s="22">
        <v>190773</v>
      </c>
      <c r="Z11" s="22">
        <v>181072</v>
      </c>
      <c r="AA11" s="22">
        <v>184631</v>
      </c>
      <c r="AB11" s="65">
        <v>170275</v>
      </c>
      <c r="AC11" s="66">
        <v>164061</v>
      </c>
      <c r="AD11" s="66">
        <v>158792</v>
      </c>
    </row>
    <row r="12" spans="1:30" s="1" customFormat="1">
      <c r="A12" s="1400" t="s">
        <v>146</v>
      </c>
      <c r="B12" s="14" t="s">
        <v>503</v>
      </c>
      <c r="C12" s="23"/>
      <c r="D12" s="24"/>
      <c r="E12" s="24"/>
      <c r="F12" s="24"/>
      <c r="G12" s="24"/>
      <c r="H12" s="24"/>
      <c r="I12" s="24"/>
      <c r="J12" s="24"/>
      <c r="K12" s="23"/>
      <c r="L12" s="45"/>
      <c r="M12" s="24"/>
      <c r="N12" s="24">
        <v>54138</v>
      </c>
      <c r="O12" s="24">
        <v>57903</v>
      </c>
      <c r="P12" s="45">
        <v>57187</v>
      </c>
      <c r="Q12" s="45">
        <v>56524</v>
      </c>
      <c r="R12" s="24">
        <v>63135</v>
      </c>
      <c r="S12" s="24">
        <v>66940</v>
      </c>
      <c r="T12" s="24">
        <v>64345</v>
      </c>
      <c r="U12" s="23">
        <v>67954</v>
      </c>
      <c r="V12" s="24">
        <v>65659</v>
      </c>
      <c r="W12" s="24">
        <v>63453</v>
      </c>
      <c r="X12" s="23">
        <v>63680</v>
      </c>
      <c r="Y12" s="24">
        <v>65039</v>
      </c>
      <c r="Z12" s="24">
        <v>67583</v>
      </c>
      <c r="AA12" s="24">
        <v>64787</v>
      </c>
      <c r="AB12" s="67">
        <v>56641</v>
      </c>
      <c r="AC12" s="62">
        <v>55335</v>
      </c>
      <c r="AD12" s="62">
        <v>55897</v>
      </c>
    </row>
    <row r="13" spans="1:30" s="1" customFormat="1">
      <c r="A13" s="1401"/>
      <c r="B13" s="17" t="s">
        <v>504</v>
      </c>
      <c r="C13" s="18"/>
      <c r="D13" s="19"/>
      <c r="E13" s="19"/>
      <c r="F13" s="19"/>
      <c r="G13" s="19"/>
      <c r="H13" s="19"/>
      <c r="I13" s="19"/>
      <c r="J13" s="19"/>
      <c r="K13" s="18"/>
      <c r="L13" s="43"/>
      <c r="M13" s="19"/>
      <c r="N13" s="19">
        <v>20998</v>
      </c>
      <c r="O13" s="19">
        <v>17144</v>
      </c>
      <c r="P13" s="43">
        <v>17144</v>
      </c>
      <c r="Q13" s="43">
        <v>11854</v>
      </c>
      <c r="R13" s="19">
        <v>12424</v>
      </c>
      <c r="S13" s="19">
        <v>10968</v>
      </c>
      <c r="T13" s="19">
        <v>9184</v>
      </c>
      <c r="U13" s="18">
        <v>8711</v>
      </c>
      <c r="V13" s="19">
        <v>7767</v>
      </c>
      <c r="W13" s="19">
        <v>6809</v>
      </c>
      <c r="X13" s="18">
        <v>6232</v>
      </c>
      <c r="Y13" s="19">
        <v>5447</v>
      </c>
      <c r="Z13" s="19">
        <v>4981</v>
      </c>
      <c r="AA13" s="19">
        <v>4009</v>
      </c>
      <c r="AB13" s="63">
        <v>3084</v>
      </c>
      <c r="AC13" s="64">
        <v>2746</v>
      </c>
      <c r="AD13" s="64">
        <v>2442</v>
      </c>
    </row>
    <row r="14" spans="1:30" s="1" customFormat="1">
      <c r="A14" s="1402"/>
      <c r="B14" s="25" t="s">
        <v>505</v>
      </c>
      <c r="C14" s="26"/>
      <c r="D14" s="27"/>
      <c r="E14" s="27"/>
      <c r="F14" s="27"/>
      <c r="G14" s="27"/>
      <c r="H14" s="27"/>
      <c r="I14" s="27"/>
      <c r="J14" s="27"/>
      <c r="K14" s="26"/>
      <c r="L14" s="46"/>
      <c r="M14" s="27"/>
      <c r="N14" s="27">
        <v>131649</v>
      </c>
      <c r="O14" s="27">
        <v>126420</v>
      </c>
      <c r="P14" s="46">
        <v>121125</v>
      </c>
      <c r="Q14" s="46">
        <v>123814</v>
      </c>
      <c r="R14" s="27">
        <v>132522</v>
      </c>
      <c r="S14" s="27">
        <v>147667</v>
      </c>
      <c r="T14" s="27">
        <v>150226</v>
      </c>
      <c r="U14" s="26">
        <v>185443</v>
      </c>
      <c r="V14" s="27">
        <v>181606</v>
      </c>
      <c r="W14" s="27">
        <v>182918</v>
      </c>
      <c r="X14" s="26">
        <v>200341</v>
      </c>
      <c r="Y14" s="27">
        <v>221507</v>
      </c>
      <c r="Z14" s="27">
        <v>257933</v>
      </c>
      <c r="AA14" s="27">
        <v>285821</v>
      </c>
      <c r="AB14" s="65">
        <v>259078</v>
      </c>
      <c r="AC14" s="66">
        <v>255209</v>
      </c>
      <c r="AD14" s="66">
        <v>256045</v>
      </c>
    </row>
    <row r="15" spans="1:30">
      <c r="A15" s="1400" t="s">
        <v>156</v>
      </c>
      <c r="B15" s="14" t="s">
        <v>503</v>
      </c>
      <c r="C15" s="15"/>
      <c r="D15" s="16"/>
      <c r="E15" s="16"/>
      <c r="F15" s="16"/>
      <c r="G15" s="16"/>
      <c r="H15" s="16"/>
      <c r="I15" s="16"/>
      <c r="J15" s="16"/>
      <c r="K15" s="15"/>
      <c r="L15" s="42"/>
      <c r="M15" s="16"/>
      <c r="N15" s="47"/>
      <c r="O15" s="47"/>
      <c r="P15" s="42">
        <v>421273</v>
      </c>
      <c r="Q15" s="42">
        <v>521468</v>
      </c>
      <c r="R15" s="16">
        <v>657582</v>
      </c>
      <c r="S15" s="16">
        <v>659563</v>
      </c>
      <c r="T15" s="16">
        <v>564555</v>
      </c>
      <c r="U15" s="15">
        <v>569059</v>
      </c>
      <c r="V15" s="16">
        <v>650344</v>
      </c>
      <c r="W15" s="16">
        <v>628658</v>
      </c>
      <c r="X15" s="15">
        <v>708799</v>
      </c>
      <c r="Y15" s="16">
        <v>711617</v>
      </c>
      <c r="Z15" s="16">
        <v>770362</v>
      </c>
      <c r="AA15" s="16">
        <v>805710</v>
      </c>
      <c r="AB15" s="67">
        <v>794718</v>
      </c>
      <c r="AC15" s="62">
        <v>820361</v>
      </c>
      <c r="AD15" s="62">
        <v>819213</v>
      </c>
    </row>
    <row r="16" spans="1:30">
      <c r="A16" s="1403"/>
      <c r="B16" s="28" t="s">
        <v>504</v>
      </c>
      <c r="C16" s="29"/>
      <c r="D16" s="30"/>
      <c r="E16" s="30"/>
      <c r="F16" s="30"/>
      <c r="G16" s="30"/>
      <c r="H16" s="30"/>
      <c r="I16" s="30"/>
      <c r="J16" s="30"/>
      <c r="K16" s="29"/>
      <c r="L16" s="48"/>
      <c r="M16" s="30"/>
      <c r="N16" s="49"/>
      <c r="O16" s="49"/>
      <c r="P16" s="48">
        <v>409836</v>
      </c>
      <c r="Q16" s="48">
        <v>585467</v>
      </c>
      <c r="R16" s="30">
        <v>740290</v>
      </c>
      <c r="S16" s="30">
        <v>892362</v>
      </c>
      <c r="T16" s="30">
        <v>868511</v>
      </c>
      <c r="U16" s="29">
        <v>1127577</v>
      </c>
      <c r="V16" s="30">
        <v>1475977</v>
      </c>
      <c r="W16" s="30">
        <v>1687593</v>
      </c>
      <c r="X16" s="29">
        <v>2072311</v>
      </c>
      <c r="Y16" s="30">
        <v>2268190</v>
      </c>
      <c r="Z16" s="30">
        <v>2926633</v>
      </c>
      <c r="AA16" s="30">
        <v>2852219</v>
      </c>
      <c r="AB16" s="67">
        <v>2950653</v>
      </c>
      <c r="AC16" s="64">
        <v>3063928</v>
      </c>
      <c r="AD16" s="64">
        <v>3184652</v>
      </c>
    </row>
    <row r="17" spans="1:30">
      <c r="A17" s="1402"/>
      <c r="B17" s="25" t="s">
        <v>505</v>
      </c>
      <c r="C17" s="26"/>
      <c r="D17" s="27"/>
      <c r="E17" s="27"/>
      <c r="F17" s="27"/>
      <c r="G17" s="27"/>
      <c r="H17" s="27"/>
      <c r="I17" s="27"/>
      <c r="J17" s="27"/>
      <c r="K17" s="26"/>
      <c r="L17" s="46"/>
      <c r="M17" s="27"/>
      <c r="N17" s="50"/>
      <c r="O17" s="50"/>
      <c r="P17" s="50"/>
      <c r="Q17" s="50"/>
      <c r="R17" s="50"/>
      <c r="S17" s="50"/>
      <c r="T17" s="50"/>
      <c r="U17" s="50"/>
      <c r="V17" s="50"/>
      <c r="W17" s="50"/>
      <c r="X17" s="26">
        <v>7370709</v>
      </c>
      <c r="Y17" s="27">
        <v>7837441</v>
      </c>
      <c r="Z17" s="27">
        <v>9347568</v>
      </c>
      <c r="AA17" s="27">
        <v>0</v>
      </c>
      <c r="AB17" s="65">
        <v>7515961</v>
      </c>
      <c r="AC17" s="66">
        <v>7188336</v>
      </c>
      <c r="AD17" s="66">
        <v>6970559</v>
      </c>
    </row>
    <row r="18" spans="1:30">
      <c r="A18" s="1403" t="s">
        <v>170</v>
      </c>
      <c r="B18" s="31" t="s">
        <v>503</v>
      </c>
      <c r="C18" s="32">
        <v>15161</v>
      </c>
      <c r="D18" s="33">
        <v>16546</v>
      </c>
      <c r="E18" s="33">
        <v>17107</v>
      </c>
      <c r="F18" s="33">
        <v>14732</v>
      </c>
      <c r="G18" s="33">
        <v>18292</v>
      </c>
      <c r="H18" s="33">
        <v>18820</v>
      </c>
      <c r="I18" s="33">
        <v>20904</v>
      </c>
      <c r="J18" s="33">
        <v>22602</v>
      </c>
      <c r="K18" s="32">
        <v>23975</v>
      </c>
      <c r="L18" s="51">
        <v>25553</v>
      </c>
      <c r="M18" s="33">
        <v>25843</v>
      </c>
      <c r="N18" s="33">
        <v>27752</v>
      </c>
      <c r="O18" s="33">
        <v>25806</v>
      </c>
      <c r="P18" s="51">
        <v>29059</v>
      </c>
      <c r="Q18" s="51">
        <v>30467</v>
      </c>
      <c r="R18" s="33">
        <v>32799</v>
      </c>
      <c r="S18" s="33">
        <v>36034</v>
      </c>
      <c r="T18" s="33">
        <v>35378</v>
      </c>
      <c r="U18" s="32">
        <v>39097</v>
      </c>
      <c r="V18" s="33">
        <v>42571</v>
      </c>
      <c r="W18" s="33">
        <v>43340</v>
      </c>
      <c r="X18" s="32">
        <v>45083</v>
      </c>
      <c r="Y18" s="33">
        <v>46847</v>
      </c>
      <c r="Z18" s="33">
        <v>47537</v>
      </c>
      <c r="AA18" s="33">
        <v>56757</v>
      </c>
      <c r="AB18" s="67">
        <v>53094</v>
      </c>
      <c r="AC18" s="62">
        <v>56225</v>
      </c>
      <c r="AD18" s="62">
        <v>63796</v>
      </c>
    </row>
    <row r="19" spans="1:30">
      <c r="A19" s="1401"/>
      <c r="B19" s="17" t="s">
        <v>506</v>
      </c>
      <c r="C19" s="18">
        <v>665</v>
      </c>
      <c r="D19" s="19">
        <v>621</v>
      </c>
      <c r="E19" s="19">
        <v>720</v>
      </c>
      <c r="F19" s="19">
        <v>421</v>
      </c>
      <c r="G19" s="19">
        <v>797</v>
      </c>
      <c r="H19" s="19">
        <v>944</v>
      </c>
      <c r="I19" s="19">
        <v>1144</v>
      </c>
      <c r="J19" s="19">
        <v>985</v>
      </c>
      <c r="K19" s="18">
        <v>1221</v>
      </c>
      <c r="L19" s="43">
        <v>1222</v>
      </c>
      <c r="M19" s="19">
        <v>1151</v>
      </c>
      <c r="N19" s="19">
        <v>1049</v>
      </c>
      <c r="O19" s="19">
        <v>959</v>
      </c>
      <c r="P19" s="43">
        <v>992</v>
      </c>
      <c r="Q19" s="43">
        <v>1139</v>
      </c>
      <c r="R19" s="19">
        <v>1149</v>
      </c>
      <c r="S19" s="19">
        <v>1406</v>
      </c>
      <c r="T19" s="19">
        <v>1063</v>
      </c>
      <c r="U19" s="18">
        <v>1140</v>
      </c>
      <c r="V19" s="19">
        <v>1177</v>
      </c>
      <c r="W19" s="19">
        <v>1059</v>
      </c>
      <c r="X19" s="18">
        <v>1079</v>
      </c>
      <c r="Y19" s="19">
        <v>1134</v>
      </c>
      <c r="Z19" s="19">
        <v>991</v>
      </c>
      <c r="AA19" s="19">
        <v>992</v>
      </c>
      <c r="AB19" s="63">
        <v>907</v>
      </c>
      <c r="AC19" s="64">
        <v>850</v>
      </c>
      <c r="AD19" s="64">
        <v>806</v>
      </c>
    </row>
    <row r="20" spans="1:30">
      <c r="A20" s="1401"/>
      <c r="B20" s="17" t="s">
        <v>507</v>
      </c>
      <c r="C20" s="18">
        <v>592</v>
      </c>
      <c r="D20" s="19">
        <v>548</v>
      </c>
      <c r="E20" s="19">
        <v>594</v>
      </c>
      <c r="F20" s="19">
        <v>448</v>
      </c>
      <c r="G20" s="19">
        <v>761</v>
      </c>
      <c r="H20" s="19">
        <v>823</v>
      </c>
      <c r="I20" s="19">
        <v>982</v>
      </c>
      <c r="J20" s="19">
        <v>1051</v>
      </c>
      <c r="K20" s="18">
        <v>934</v>
      </c>
      <c r="L20" s="43">
        <v>908</v>
      </c>
      <c r="M20" s="19">
        <v>1285</v>
      </c>
      <c r="N20" s="19">
        <v>1005</v>
      </c>
      <c r="O20" s="19">
        <v>1019</v>
      </c>
      <c r="P20" s="43">
        <v>1180</v>
      </c>
      <c r="Q20" s="43">
        <v>1151</v>
      </c>
      <c r="R20" s="19">
        <v>1231</v>
      </c>
      <c r="S20" s="19">
        <v>1065</v>
      </c>
      <c r="T20" s="19">
        <v>1265</v>
      </c>
      <c r="U20" s="18">
        <v>1049</v>
      </c>
      <c r="V20" s="19">
        <v>1087</v>
      </c>
      <c r="W20" s="19">
        <v>1012</v>
      </c>
      <c r="X20" s="18">
        <v>1013</v>
      </c>
      <c r="Y20" s="19">
        <v>1110</v>
      </c>
      <c r="Z20" s="19">
        <v>1129</v>
      </c>
      <c r="AA20" s="19">
        <v>997</v>
      </c>
      <c r="AB20" s="63">
        <v>739</v>
      </c>
      <c r="AC20" s="64">
        <v>807</v>
      </c>
      <c r="AD20" s="64">
        <v>811</v>
      </c>
    </row>
    <row r="21" spans="1:30">
      <c r="A21" s="1401"/>
      <c r="B21" s="31" t="s">
        <v>505</v>
      </c>
      <c r="C21" s="32">
        <v>212510</v>
      </c>
      <c r="D21" s="33">
        <v>225517</v>
      </c>
      <c r="E21" s="33">
        <v>246611</v>
      </c>
      <c r="F21" s="33">
        <v>319880</v>
      </c>
      <c r="G21" s="33">
        <v>361775</v>
      </c>
      <c r="H21" s="33">
        <v>294358</v>
      </c>
      <c r="I21" s="33">
        <v>264053</v>
      </c>
      <c r="J21" s="33">
        <v>273715</v>
      </c>
      <c r="K21" s="32">
        <v>304461</v>
      </c>
      <c r="L21" s="51">
        <v>334741</v>
      </c>
      <c r="M21" s="33">
        <v>362322</v>
      </c>
      <c r="N21" s="33">
        <v>401039</v>
      </c>
      <c r="O21" s="33">
        <v>351874</v>
      </c>
      <c r="P21" s="51">
        <v>370168</v>
      </c>
      <c r="Q21" s="51">
        <v>405684</v>
      </c>
      <c r="R21" s="33">
        <v>417951</v>
      </c>
      <c r="S21" s="33">
        <v>439645</v>
      </c>
      <c r="T21" s="33">
        <v>463316</v>
      </c>
      <c r="U21" s="32">
        <v>518315</v>
      </c>
      <c r="V21" s="33">
        <v>530951</v>
      </c>
      <c r="W21" s="33">
        <v>615251</v>
      </c>
      <c r="X21" s="32">
        <v>638618</v>
      </c>
      <c r="Y21" s="33">
        <v>673569</v>
      </c>
      <c r="Z21" s="33">
        <v>851333</v>
      </c>
      <c r="AA21" s="33">
        <v>880414</v>
      </c>
      <c r="AB21" s="63">
        <v>762611</v>
      </c>
      <c r="AC21" s="64">
        <v>742155</v>
      </c>
      <c r="AD21" s="64">
        <v>785701</v>
      </c>
    </row>
    <row r="22" spans="1:30" ht="15">
      <c r="A22" s="1405"/>
      <c r="B22" s="34" t="s">
        <v>508</v>
      </c>
      <c r="C22" s="35"/>
      <c r="D22" s="36"/>
      <c r="E22" s="36"/>
      <c r="F22" s="36"/>
      <c r="G22" s="36"/>
      <c r="H22" s="36"/>
      <c r="I22" s="36"/>
      <c r="J22" s="36"/>
      <c r="K22" s="35"/>
      <c r="L22" s="52"/>
      <c r="M22" s="36"/>
      <c r="N22" s="36"/>
      <c r="O22" s="53">
        <v>133722</v>
      </c>
      <c r="P22" s="53">
        <v>142357</v>
      </c>
      <c r="Q22" s="53">
        <v>153639</v>
      </c>
      <c r="R22" s="53">
        <v>163436</v>
      </c>
      <c r="S22" s="53">
        <v>179212</v>
      </c>
      <c r="T22" s="53">
        <v>170125</v>
      </c>
      <c r="U22" s="53">
        <v>170388</v>
      </c>
      <c r="V22" s="53">
        <v>166481</v>
      </c>
      <c r="W22" s="53">
        <v>167654</v>
      </c>
      <c r="X22" s="56">
        <v>169340</v>
      </c>
      <c r="Y22" s="68">
        <v>170089</v>
      </c>
      <c r="Z22" s="68">
        <v>171968</v>
      </c>
      <c r="AA22" s="68">
        <v>152909</v>
      </c>
      <c r="AB22" s="69">
        <v>146593</v>
      </c>
      <c r="AC22" s="70">
        <f>'[5]Chapter 6'!$H$21</f>
        <v>149643</v>
      </c>
      <c r="AD22" s="70">
        <v>150274</v>
      </c>
    </row>
    <row r="23" spans="1:30">
      <c r="A23" s="5"/>
    </row>
    <row r="24" spans="1:30">
      <c r="C24" s="37"/>
      <c r="D24" s="37"/>
      <c r="E24" s="37"/>
      <c r="F24" s="37"/>
      <c r="G24" s="37"/>
      <c r="H24" s="37"/>
      <c r="I24" s="37"/>
      <c r="J24" s="37"/>
      <c r="K24" s="37"/>
      <c r="L24" s="37"/>
      <c r="O24" s="32"/>
    </row>
    <row r="25" spans="1:30">
      <c r="C25" s="37"/>
      <c r="O25" s="32"/>
    </row>
    <row r="26" spans="1:30">
      <c r="C26" s="38"/>
      <c r="O26" s="32"/>
      <c r="Q26" s="32"/>
      <c r="R26" s="32"/>
      <c r="S26" s="32"/>
      <c r="T26" s="32"/>
      <c r="U26" s="32"/>
      <c r="V26" s="32"/>
      <c r="W26" s="32"/>
      <c r="X26" s="32"/>
      <c r="Y26" s="32"/>
    </row>
    <row r="27" spans="1:30">
      <c r="C27" s="37"/>
      <c r="O27" s="32"/>
    </row>
    <row r="28" spans="1:30">
      <c r="C28" s="38"/>
      <c r="O28" s="32"/>
    </row>
    <row r="29" spans="1:30">
      <c r="C29" s="38"/>
      <c r="O29" s="32"/>
    </row>
    <row r="30" spans="1:30">
      <c r="C30" s="38"/>
      <c r="O30" s="32"/>
    </row>
    <row r="31" spans="1:30">
      <c r="C31" s="37"/>
      <c r="O31" s="32"/>
    </row>
    <row r="32" spans="1:30">
      <c r="C32" s="38"/>
      <c r="O32" s="32"/>
    </row>
    <row r="33" spans="1:15">
      <c r="C33" s="38"/>
      <c r="O33" s="32"/>
    </row>
    <row r="34" spans="1:15">
      <c r="C34" s="37"/>
      <c r="O34" s="32"/>
    </row>
    <row r="35" spans="1:15">
      <c r="C35" s="38"/>
    </row>
    <row r="36" spans="1:15">
      <c r="C36" s="37"/>
    </row>
    <row r="37" spans="1:15">
      <c r="C37" s="37"/>
    </row>
    <row r="38" spans="1:15">
      <c r="A38" s="39"/>
      <c r="B38" s="39"/>
    </row>
  </sheetData>
  <mergeCells count="4">
    <mergeCell ref="A9:A11"/>
    <mergeCell ref="A12:A14"/>
    <mergeCell ref="A15:A17"/>
    <mergeCell ref="A18:A22"/>
  </mergeCells>
  <phoneticPr fontId="93" type="noConversion"/>
  <hyperlinks>
    <hyperlink ref="AB1" location="Content!A1" display="content" xr:uid="{00000000-0004-0000-1700-000000000000}"/>
  </hyperlinks>
  <pageMargins left="0.75" right="0.75" top="1" bottom="1" header="0.51180555555555596" footer="0.51180555555555596"/>
  <pageSetup paperSize="9" scale="75"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A134"/>
  <sheetViews>
    <sheetView tabSelected="1" topLeftCell="F6" zoomScale="85" zoomScaleNormal="85" workbookViewId="0">
      <selection activeCell="J14" sqref="J14"/>
    </sheetView>
  </sheetViews>
  <sheetFormatPr defaultColWidth="9" defaultRowHeight="14.4"/>
  <cols>
    <col min="1" max="1" width="12.77734375" customWidth="1"/>
    <col min="2" max="2" width="13.109375" customWidth="1"/>
  </cols>
  <sheetData>
    <row r="1" spans="1:13" ht="21">
      <c r="A1" s="528" t="s">
        <v>47</v>
      </c>
      <c r="L1" s="57" t="s">
        <v>48</v>
      </c>
    </row>
    <row r="2" spans="1:13" ht="18">
      <c r="A2" s="529" t="s">
        <v>63</v>
      </c>
    </row>
    <row r="3" spans="1:13">
      <c r="A3" t="s">
        <v>64</v>
      </c>
    </row>
    <row r="5" spans="1:13">
      <c r="A5" s="843" t="s">
        <v>65</v>
      </c>
    </row>
    <row r="7" spans="1:13">
      <c r="A7" s="530" t="s">
        <v>61</v>
      </c>
      <c r="B7" s="530">
        <v>2011</v>
      </c>
      <c r="C7" s="530">
        <f>B7+1</f>
        <v>2012</v>
      </c>
      <c r="D7" s="530">
        <f t="shared" ref="D7:M7" si="0">C7+1</f>
        <v>2013</v>
      </c>
      <c r="E7" s="530">
        <f t="shared" si="0"/>
        <v>2014</v>
      </c>
      <c r="F7" s="530">
        <f t="shared" si="0"/>
        <v>2015</v>
      </c>
      <c r="G7" s="530">
        <f t="shared" si="0"/>
        <v>2016</v>
      </c>
      <c r="H7" s="530">
        <f t="shared" si="0"/>
        <v>2017</v>
      </c>
      <c r="I7" s="530">
        <f t="shared" si="0"/>
        <v>2018</v>
      </c>
      <c r="J7" s="530">
        <f t="shared" si="0"/>
        <v>2019</v>
      </c>
      <c r="K7" s="530">
        <f t="shared" si="0"/>
        <v>2020</v>
      </c>
      <c r="L7" s="530">
        <f t="shared" si="0"/>
        <v>2021</v>
      </c>
      <c r="M7" s="530">
        <f t="shared" si="0"/>
        <v>2022</v>
      </c>
    </row>
    <row r="8" spans="1:13">
      <c r="A8" s="802" t="s">
        <v>66</v>
      </c>
      <c r="B8" s="803">
        <v>42192</v>
      </c>
      <c r="C8" s="803">
        <v>43238</v>
      </c>
      <c r="D8" s="803">
        <v>43474</v>
      </c>
      <c r="E8" s="803">
        <v>45976</v>
      </c>
      <c r="F8" s="803">
        <v>47284</v>
      </c>
      <c r="G8" s="803">
        <v>48817</v>
      </c>
      <c r="H8" s="803">
        <v>49354</v>
      </c>
      <c r="I8" s="1251">
        <v>50958</v>
      </c>
      <c r="J8" s="1251">
        <v>52285</v>
      </c>
      <c r="K8" s="1251">
        <v>53682</v>
      </c>
      <c r="L8" s="1251">
        <v>53098</v>
      </c>
      <c r="M8" s="1251">
        <v>51658</v>
      </c>
    </row>
    <row r="9" spans="1:13">
      <c r="A9" s="791" t="s">
        <v>55</v>
      </c>
      <c r="B9" s="792">
        <v>81221</v>
      </c>
      <c r="C9" s="792">
        <v>82470</v>
      </c>
      <c r="D9" s="792">
        <v>78967</v>
      </c>
      <c r="E9" s="792">
        <v>78360</v>
      </c>
      <c r="F9" s="792">
        <v>79016</v>
      </c>
      <c r="G9" s="792">
        <v>78808</v>
      </c>
      <c r="H9" s="792">
        <v>80272</v>
      </c>
      <c r="I9" s="1252">
        <v>81144</v>
      </c>
      <c r="J9" s="1252">
        <v>83304</v>
      </c>
      <c r="K9" s="1252">
        <v>77765</v>
      </c>
      <c r="L9" s="1252">
        <v>73364</v>
      </c>
      <c r="M9" s="1252">
        <v>72916</v>
      </c>
    </row>
    <row r="10" spans="1:13">
      <c r="A10" s="791" t="s">
        <v>56</v>
      </c>
      <c r="B10" s="792">
        <v>24247</v>
      </c>
      <c r="C10" s="792">
        <v>25654</v>
      </c>
      <c r="D10" s="792">
        <v>28839</v>
      </c>
      <c r="E10" s="792">
        <v>32036</v>
      </c>
      <c r="F10" s="792">
        <v>32577</v>
      </c>
      <c r="G10" s="792">
        <v>30863</v>
      </c>
      <c r="H10" s="792">
        <v>29433</v>
      </c>
      <c r="I10" s="1252">
        <v>30276</v>
      </c>
      <c r="J10" s="1252">
        <v>34368</v>
      </c>
      <c r="K10" s="1252">
        <v>36606</v>
      </c>
      <c r="L10" s="1252">
        <v>38636</v>
      </c>
      <c r="M10" s="1252">
        <v>42990</v>
      </c>
    </row>
    <row r="11" spans="1:13">
      <c r="A11" s="791" t="s">
        <v>57</v>
      </c>
      <c r="B11" s="792">
        <v>12329</v>
      </c>
      <c r="C11" s="792">
        <v>13701</v>
      </c>
      <c r="D11" s="792">
        <v>15954</v>
      </c>
      <c r="E11" s="792">
        <v>18810</v>
      </c>
      <c r="F11" s="792">
        <v>20011</v>
      </c>
      <c r="G11" s="792">
        <v>23184</v>
      </c>
      <c r="H11" s="792">
        <v>27526</v>
      </c>
      <c r="I11" s="1252">
        <v>34147</v>
      </c>
      <c r="J11" s="1252">
        <v>40283</v>
      </c>
      <c r="K11" s="1252">
        <v>43508</v>
      </c>
      <c r="L11" s="1252">
        <v>48608</v>
      </c>
      <c r="M11" s="1252">
        <v>49195</v>
      </c>
    </row>
    <row r="12" spans="1:13">
      <c r="A12" s="791" t="s">
        <v>58</v>
      </c>
      <c r="B12" s="792">
        <v>74768</v>
      </c>
      <c r="C12" s="792">
        <v>80685</v>
      </c>
      <c r="D12" s="792">
        <v>89252</v>
      </c>
      <c r="E12" s="792">
        <v>89937</v>
      </c>
      <c r="F12" s="792">
        <v>86888</v>
      </c>
      <c r="G12" s="792">
        <v>88414</v>
      </c>
      <c r="H12" s="792">
        <v>90059</v>
      </c>
      <c r="I12" s="1252">
        <v>93803</v>
      </c>
      <c r="J12" s="1252">
        <v>98025</v>
      </c>
      <c r="K12" s="1252">
        <v>100169</v>
      </c>
      <c r="L12" s="1252">
        <v>102631</v>
      </c>
      <c r="M12" s="1252">
        <v>100862</v>
      </c>
    </row>
    <row r="13" spans="1:13">
      <c r="A13" s="830" t="s">
        <v>59</v>
      </c>
      <c r="B13" s="831">
        <v>5829</v>
      </c>
      <c r="C13" s="831">
        <v>6392</v>
      </c>
      <c r="D13" s="831">
        <v>6699</v>
      </c>
      <c r="E13" s="831">
        <v>6948</v>
      </c>
      <c r="F13" s="831">
        <v>6855</v>
      </c>
      <c r="G13" s="831">
        <v>7151</v>
      </c>
      <c r="H13" s="831">
        <v>7468</v>
      </c>
      <c r="I13" s="1253">
        <v>7908</v>
      </c>
      <c r="J13" s="1253">
        <v>8262</v>
      </c>
      <c r="K13" s="1253">
        <v>8787</v>
      </c>
      <c r="L13" s="1253">
        <v>9235</v>
      </c>
      <c r="M13" s="1253">
        <v>8796</v>
      </c>
    </row>
    <row r="14" spans="1:13">
      <c r="A14" s="538" t="s">
        <v>62</v>
      </c>
      <c r="B14" s="539">
        <f t="shared" ref="B14:G14" si="1">SUM(B8:B13)</f>
        <v>240586</v>
      </c>
      <c r="C14" s="539">
        <f t="shared" si="1"/>
        <v>252140</v>
      </c>
      <c r="D14" s="539">
        <f t="shared" si="1"/>
        <v>263185</v>
      </c>
      <c r="E14" s="539">
        <f t="shared" si="1"/>
        <v>272067</v>
      </c>
      <c r="F14" s="539">
        <f t="shared" si="1"/>
        <v>272631</v>
      </c>
      <c r="G14" s="539">
        <f t="shared" si="1"/>
        <v>277237</v>
      </c>
      <c r="H14" s="539">
        <v>284112</v>
      </c>
      <c r="I14" s="1161">
        <f t="shared" ref="I14:L14" si="2">SUM(I8:I13)</f>
        <v>298236</v>
      </c>
      <c r="J14" s="1161">
        <f t="shared" si="2"/>
        <v>316527</v>
      </c>
      <c r="K14" s="1161">
        <f t="shared" si="2"/>
        <v>320517</v>
      </c>
      <c r="L14" s="1161">
        <f t="shared" si="2"/>
        <v>325572</v>
      </c>
      <c r="M14" s="1161">
        <f t="shared" ref="M14" si="3">SUM(M8:M13)</f>
        <v>326417</v>
      </c>
    </row>
    <row r="15" spans="1:13">
      <c r="L15" s="123"/>
    </row>
    <row r="16" spans="1:13">
      <c r="L16" s="123"/>
    </row>
    <row r="17" spans="1:13">
      <c r="A17" s="530" t="s">
        <v>61</v>
      </c>
      <c r="B17" s="530">
        <v>2011</v>
      </c>
      <c r="C17" s="530">
        <f>B17+1</f>
        <v>2012</v>
      </c>
      <c r="D17" s="530">
        <f t="shared" ref="D17:M17" si="4">C17+1</f>
        <v>2013</v>
      </c>
      <c r="E17" s="530">
        <f t="shared" si="4"/>
        <v>2014</v>
      </c>
      <c r="F17" s="530">
        <f t="shared" si="4"/>
        <v>2015</v>
      </c>
      <c r="G17" s="530">
        <f t="shared" si="4"/>
        <v>2016</v>
      </c>
      <c r="H17" s="530">
        <f t="shared" si="4"/>
        <v>2017</v>
      </c>
      <c r="I17" s="530">
        <f t="shared" si="4"/>
        <v>2018</v>
      </c>
      <c r="J17" s="530">
        <f t="shared" si="4"/>
        <v>2019</v>
      </c>
      <c r="K17" s="530">
        <f t="shared" si="4"/>
        <v>2020</v>
      </c>
      <c r="L17" s="552">
        <f t="shared" si="4"/>
        <v>2021</v>
      </c>
      <c r="M17" s="552">
        <f t="shared" si="4"/>
        <v>2022</v>
      </c>
    </row>
    <row r="18" spans="1:13">
      <c r="A18" s="802" t="s">
        <v>66</v>
      </c>
      <c r="B18" s="1236">
        <f>B8/B$14</f>
        <v>0.175371800520396</v>
      </c>
      <c r="C18" s="1236">
        <f t="shared" ref="C18:L18" si="5">C8/C$14</f>
        <v>0.171484096137067</v>
      </c>
      <c r="D18" s="1236">
        <f t="shared" si="5"/>
        <v>0.165184186028839</v>
      </c>
      <c r="E18" s="1236">
        <f t="shared" si="5"/>
        <v>0.16898778609680701</v>
      </c>
      <c r="F18" s="1236">
        <f t="shared" si="5"/>
        <v>0.17343588953567299</v>
      </c>
      <c r="G18" s="1236">
        <f t="shared" si="5"/>
        <v>0.17608400033184601</v>
      </c>
      <c r="H18" s="1236">
        <f t="shared" si="5"/>
        <v>0.17371318353325399</v>
      </c>
      <c r="I18" s="1236">
        <f t="shared" si="5"/>
        <v>0.17086468434394239</v>
      </c>
      <c r="J18" s="1236">
        <f t="shared" si="5"/>
        <v>0.16518338088061998</v>
      </c>
      <c r="K18" s="1236">
        <f t="shared" si="5"/>
        <v>0.16748565598704593</v>
      </c>
      <c r="L18" s="1236">
        <f t="shared" si="5"/>
        <v>0.16309142063813842</v>
      </c>
      <c r="M18" s="1236">
        <f t="shared" ref="M18" si="6">M8/M$14</f>
        <v>0.15825768878459148</v>
      </c>
    </row>
    <row r="19" spans="1:13">
      <c r="A19" s="791" t="s">
        <v>55</v>
      </c>
      <c r="B19" s="811">
        <f t="shared" ref="B19:L19" si="7">B9/B$14</f>
        <v>0.33759653512673199</v>
      </c>
      <c r="C19" s="811">
        <f t="shared" si="7"/>
        <v>0.32708019354327</v>
      </c>
      <c r="D19" s="811">
        <f t="shared" si="7"/>
        <v>0.30004369549936399</v>
      </c>
      <c r="E19" s="811">
        <f t="shared" si="7"/>
        <v>0.28801728985874803</v>
      </c>
      <c r="F19" s="811">
        <f t="shared" si="7"/>
        <v>0.28982764249113302</v>
      </c>
      <c r="G19" s="811">
        <f t="shared" si="7"/>
        <v>0.28426220165417998</v>
      </c>
      <c r="H19" s="811">
        <f t="shared" si="7"/>
        <v>0.282536464492876</v>
      </c>
      <c r="I19" s="811">
        <f t="shared" si="7"/>
        <v>0.27207982939685349</v>
      </c>
      <c r="J19" s="811">
        <f t="shared" si="7"/>
        <v>0.2631813399804756</v>
      </c>
      <c r="K19" s="811">
        <f t="shared" si="7"/>
        <v>0.2426236361877841</v>
      </c>
      <c r="L19" s="811">
        <f t="shared" si="7"/>
        <v>0.22533878834789234</v>
      </c>
      <c r="M19" s="811">
        <f t="shared" ref="M19" si="8">M9/M$14</f>
        <v>0.22338297331327719</v>
      </c>
    </row>
    <row r="20" spans="1:13">
      <c r="A20" s="791" t="s">
        <v>56</v>
      </c>
      <c r="B20" s="811">
        <f t="shared" ref="B20:L20" si="9">B10/B$14</f>
        <v>0.10078308796023</v>
      </c>
      <c r="C20" s="811">
        <f t="shared" si="9"/>
        <v>0.10174506226699501</v>
      </c>
      <c r="D20" s="811">
        <f t="shared" si="9"/>
        <v>0.109576913577901</v>
      </c>
      <c r="E20" s="811">
        <f t="shared" si="9"/>
        <v>0.117750407068847</v>
      </c>
      <c r="F20" s="811">
        <f t="shared" si="9"/>
        <v>0.119491180386676</v>
      </c>
      <c r="G20" s="811">
        <f t="shared" si="9"/>
        <v>0.111323524637765</v>
      </c>
      <c r="H20" s="811">
        <f t="shared" si="9"/>
        <v>0.103596468998142</v>
      </c>
      <c r="I20" s="811">
        <f t="shared" si="9"/>
        <v>0.10151691948658109</v>
      </c>
      <c r="J20" s="811">
        <f t="shared" si="9"/>
        <v>0.10857841511150708</v>
      </c>
      <c r="K20" s="811">
        <f t="shared" si="9"/>
        <v>0.11420923071163153</v>
      </c>
      <c r="L20" s="811">
        <f t="shared" si="9"/>
        <v>0.11867113879571953</v>
      </c>
      <c r="M20" s="811">
        <f t="shared" ref="M20" si="10">M10/M$14</f>
        <v>0.13170269930794046</v>
      </c>
    </row>
    <row r="21" spans="1:13">
      <c r="A21" s="791" t="s">
        <v>57</v>
      </c>
      <c r="B21" s="811">
        <f t="shared" ref="B21:L21" si="11">B11/B$14</f>
        <v>5.1245708395334703E-2</v>
      </c>
      <c r="C21" s="811">
        <f t="shared" si="11"/>
        <v>5.4338859363845499E-2</v>
      </c>
      <c r="D21" s="811">
        <f t="shared" si="11"/>
        <v>6.0618956247506503E-2</v>
      </c>
      <c r="E21" s="811">
        <f t="shared" si="11"/>
        <v>6.9137381600855696E-2</v>
      </c>
      <c r="F21" s="811">
        <f t="shared" si="11"/>
        <v>7.3399576717247894E-2</v>
      </c>
      <c r="G21" s="811">
        <f t="shared" si="11"/>
        <v>8.3625201542362707E-2</v>
      </c>
      <c r="H21" s="811">
        <f t="shared" si="11"/>
        <v>9.6884327307540694E-2</v>
      </c>
      <c r="I21" s="811">
        <f t="shared" si="11"/>
        <v>0.11449657318365321</v>
      </c>
      <c r="J21" s="811">
        <f t="shared" si="11"/>
        <v>0.12726560451399091</v>
      </c>
      <c r="K21" s="811">
        <f t="shared" si="11"/>
        <v>0.1357431899088036</v>
      </c>
      <c r="L21" s="811">
        <f t="shared" si="11"/>
        <v>0.14930030838032754</v>
      </c>
      <c r="M21" s="811">
        <f t="shared" ref="M21" si="12">M11/M$14</f>
        <v>0.15071212590030544</v>
      </c>
    </row>
    <row r="22" spans="1:13">
      <c r="A22" s="791" t="s">
        <v>58</v>
      </c>
      <c r="B22" s="811">
        <f t="shared" ref="B22:L22" si="13">B12/B$14</f>
        <v>0.310774525533489</v>
      </c>
      <c r="C22" s="811">
        <f t="shared" si="13"/>
        <v>0.32000079321012098</v>
      </c>
      <c r="D22" s="811">
        <f t="shared" si="13"/>
        <v>0.33912267036495197</v>
      </c>
      <c r="E22" s="811">
        <f t="shared" si="13"/>
        <v>0.330569308295383</v>
      </c>
      <c r="F22" s="811">
        <f t="shared" si="13"/>
        <v>0.31870183508111699</v>
      </c>
      <c r="G22" s="811">
        <f t="shared" si="13"/>
        <v>0.31891125643402601</v>
      </c>
      <c r="H22" s="811">
        <f t="shared" si="13"/>
        <v>0.31698414709692002</v>
      </c>
      <c r="I22" s="811">
        <f t="shared" si="13"/>
        <v>0.31452608001716759</v>
      </c>
      <c r="J22" s="811">
        <f t="shared" si="13"/>
        <v>0.30968922082476374</v>
      </c>
      <c r="K22" s="811">
        <f t="shared" si="13"/>
        <v>0.31252320469741074</v>
      </c>
      <c r="L22" s="811">
        <f t="shared" si="13"/>
        <v>0.3152328824346074</v>
      </c>
      <c r="M22" s="811">
        <f t="shared" ref="M22" si="14">M12/M$14</f>
        <v>0.30899738677826216</v>
      </c>
    </row>
    <row r="23" spans="1:13">
      <c r="A23" s="830" t="s">
        <v>59</v>
      </c>
      <c r="B23" s="1237">
        <f t="shared" ref="B23:L23" si="15">B13/B$14</f>
        <v>2.4228342463817502E-2</v>
      </c>
      <c r="C23" s="1237">
        <f t="shared" si="15"/>
        <v>2.5350995478702301E-2</v>
      </c>
      <c r="D23" s="1237">
        <f t="shared" si="15"/>
        <v>2.5453578281437E-2</v>
      </c>
      <c r="E23" s="1237">
        <f t="shared" si="15"/>
        <v>2.5537827079359102E-2</v>
      </c>
      <c r="F23" s="1237">
        <f t="shared" si="15"/>
        <v>2.5143875788153199E-2</v>
      </c>
      <c r="G23" s="1237">
        <f t="shared" si="15"/>
        <v>2.57938153998204E-2</v>
      </c>
      <c r="H23" s="1237">
        <f t="shared" si="15"/>
        <v>2.62854085712677E-2</v>
      </c>
      <c r="I23" s="1237">
        <f t="shared" si="15"/>
        <v>2.6515913571802198E-2</v>
      </c>
      <c r="J23" s="1237">
        <f t="shared" si="15"/>
        <v>2.6102038688642675E-2</v>
      </c>
      <c r="K23" s="1237">
        <f t="shared" si="15"/>
        <v>2.7415082507324103E-2</v>
      </c>
      <c r="L23" s="1237">
        <f t="shared" si="15"/>
        <v>2.8365461403314782E-2</v>
      </c>
      <c r="M23" s="1237">
        <f t="shared" ref="M23" si="16">M13/M$14</f>
        <v>2.6947125915623267E-2</v>
      </c>
    </row>
    <row r="24" spans="1:13">
      <c r="L24" s="123"/>
    </row>
    <row r="25" spans="1:13">
      <c r="L25" s="123"/>
    </row>
    <row r="26" spans="1:13">
      <c r="L26" s="123"/>
    </row>
    <row r="27" spans="1:13">
      <c r="L27" s="123"/>
    </row>
    <row r="28" spans="1:13">
      <c r="L28" s="123"/>
    </row>
    <row r="29" spans="1:13">
      <c r="L29" s="123"/>
    </row>
    <row r="30" spans="1:13">
      <c r="L30" s="123"/>
    </row>
    <row r="31" spans="1:13">
      <c r="L31" s="123"/>
    </row>
    <row r="32" spans="1:13">
      <c r="A32" s="843" t="s">
        <v>67</v>
      </c>
      <c r="L32" s="123"/>
    </row>
    <row r="33" spans="1:13">
      <c r="L33" s="123"/>
    </row>
    <row r="34" spans="1:13">
      <c r="A34" s="530" t="s">
        <v>68</v>
      </c>
      <c r="B34" s="530">
        <f>B17</f>
        <v>2011</v>
      </c>
      <c r="C34" s="530">
        <f t="shared" ref="C34:M34" si="17">C17</f>
        <v>2012</v>
      </c>
      <c r="D34" s="530">
        <f t="shared" si="17"/>
        <v>2013</v>
      </c>
      <c r="E34" s="530">
        <f t="shared" si="17"/>
        <v>2014</v>
      </c>
      <c r="F34" s="530">
        <f t="shared" si="17"/>
        <v>2015</v>
      </c>
      <c r="G34" s="530">
        <f t="shared" si="17"/>
        <v>2016</v>
      </c>
      <c r="H34" s="530">
        <f t="shared" si="17"/>
        <v>2017</v>
      </c>
      <c r="I34" s="530">
        <f t="shared" si="17"/>
        <v>2018</v>
      </c>
      <c r="J34" s="530">
        <f t="shared" si="17"/>
        <v>2019</v>
      </c>
      <c r="K34" s="530">
        <f t="shared" si="17"/>
        <v>2020</v>
      </c>
      <c r="L34" s="530">
        <f t="shared" si="17"/>
        <v>2021</v>
      </c>
      <c r="M34" s="530">
        <f t="shared" si="17"/>
        <v>2022</v>
      </c>
    </row>
    <row r="35" spans="1:13">
      <c r="A35" s="1238" t="s">
        <v>69</v>
      </c>
      <c r="B35" s="1239">
        <v>117062</v>
      </c>
      <c r="C35" s="1239">
        <v>124501</v>
      </c>
      <c r="D35" s="1239">
        <v>132338</v>
      </c>
      <c r="E35" s="1239">
        <v>139280</v>
      </c>
      <c r="F35" s="1239">
        <v>140611</v>
      </c>
      <c r="G35" s="1239">
        <v>141043</v>
      </c>
      <c r="H35" s="1239">
        <v>142868</v>
      </c>
      <c r="I35" s="1239">
        <v>148965</v>
      </c>
      <c r="J35" s="1254">
        <v>162732</v>
      </c>
      <c r="K35" s="1254">
        <v>161542</v>
      </c>
      <c r="L35" s="1254">
        <v>167129</v>
      </c>
      <c r="M35" s="1254">
        <v>178091</v>
      </c>
    </row>
    <row r="36" spans="1:13">
      <c r="A36" s="534" t="s">
        <v>70</v>
      </c>
      <c r="B36" s="535">
        <v>56635</v>
      </c>
      <c r="C36" s="535">
        <v>59473</v>
      </c>
      <c r="D36" s="535">
        <v>61712</v>
      </c>
      <c r="E36" s="535">
        <v>63390</v>
      </c>
      <c r="F36" s="535">
        <v>64072</v>
      </c>
      <c r="G36" s="535">
        <v>67358</v>
      </c>
      <c r="H36" s="535">
        <v>72225</v>
      </c>
      <c r="I36" s="535">
        <v>77019</v>
      </c>
      <c r="J36" s="1255">
        <v>80576</v>
      </c>
      <c r="K36" s="1255">
        <v>80864</v>
      </c>
      <c r="L36" s="1255">
        <v>79795</v>
      </c>
      <c r="M36" s="1255">
        <v>80971</v>
      </c>
    </row>
    <row r="37" spans="1:13">
      <c r="A37" s="534" t="s">
        <v>71</v>
      </c>
      <c r="B37" s="535">
        <v>37968</v>
      </c>
      <c r="C37" s="535">
        <v>38794</v>
      </c>
      <c r="D37" s="535">
        <v>40274</v>
      </c>
      <c r="E37" s="535">
        <v>40103</v>
      </c>
      <c r="F37" s="535">
        <v>39143</v>
      </c>
      <c r="G37" s="535">
        <v>40015</v>
      </c>
      <c r="H37" s="535">
        <v>40594</v>
      </c>
      <c r="I37" s="535">
        <v>42145</v>
      </c>
      <c r="J37" s="1255">
        <v>43333</v>
      </c>
      <c r="K37" s="1255">
        <v>45448</v>
      </c>
      <c r="L37" s="1255">
        <v>43741</v>
      </c>
      <c r="M37" s="1255">
        <v>43015</v>
      </c>
    </row>
    <row r="38" spans="1:13">
      <c r="A38" s="568" t="s">
        <v>72</v>
      </c>
      <c r="B38" s="789">
        <v>28921</v>
      </c>
      <c r="C38" s="789">
        <v>29381</v>
      </c>
      <c r="D38" s="789">
        <v>28864</v>
      </c>
      <c r="E38" s="789">
        <v>29280</v>
      </c>
      <c r="F38" s="789">
        <v>28805</v>
      </c>
      <c r="G38" s="789">
        <v>28821</v>
      </c>
      <c r="H38" s="789">
        <v>28425</v>
      </c>
      <c r="I38" s="789">
        <v>30084</v>
      </c>
      <c r="J38" s="1256">
        <v>29828</v>
      </c>
      <c r="K38" s="1256">
        <v>32080</v>
      </c>
      <c r="L38" s="1256">
        <v>30082</v>
      </c>
      <c r="M38" s="1256">
        <v>24340</v>
      </c>
    </row>
    <row r="39" spans="1:13">
      <c r="A39" s="538" t="s">
        <v>62</v>
      </c>
      <c r="B39" s="539">
        <f t="shared" ref="B39:G39" si="18">SUM(B35:B38)</f>
        <v>240586</v>
      </c>
      <c r="C39" s="539">
        <f t="shared" si="18"/>
        <v>252149</v>
      </c>
      <c r="D39" s="539">
        <f t="shared" si="18"/>
        <v>263188</v>
      </c>
      <c r="E39" s="539">
        <f t="shared" si="18"/>
        <v>272053</v>
      </c>
      <c r="F39" s="539">
        <f t="shared" si="18"/>
        <v>272631</v>
      </c>
      <c r="G39" s="539">
        <f t="shared" si="18"/>
        <v>277237</v>
      </c>
      <c r="H39" s="539">
        <v>284112</v>
      </c>
      <c r="I39" s="539">
        <v>298213</v>
      </c>
      <c r="J39" s="1114">
        <v>316469</v>
      </c>
      <c r="K39" s="1114">
        <v>319934</v>
      </c>
      <c r="L39" s="1114">
        <v>320747</v>
      </c>
      <c r="M39" s="1114">
        <f t="shared" ref="M39" si="19">SUM(M35:M38)</f>
        <v>326417</v>
      </c>
    </row>
    <row r="40" spans="1:13">
      <c r="L40" s="123"/>
    </row>
    <row r="42" spans="1:13">
      <c r="A42" s="530" t="s">
        <v>68</v>
      </c>
      <c r="B42" s="530">
        <f>B34</f>
        <v>2011</v>
      </c>
      <c r="C42" s="530">
        <f t="shared" ref="C42:K42" si="20">C34</f>
        <v>2012</v>
      </c>
      <c r="D42" s="530">
        <f t="shared" si="20"/>
        <v>2013</v>
      </c>
      <c r="E42" s="530">
        <f t="shared" si="20"/>
        <v>2014</v>
      </c>
      <c r="F42" s="530">
        <f t="shared" si="20"/>
        <v>2015</v>
      </c>
      <c r="G42" s="530">
        <f t="shared" si="20"/>
        <v>2016</v>
      </c>
      <c r="H42" s="530">
        <f t="shared" si="20"/>
        <v>2017</v>
      </c>
      <c r="I42" s="530">
        <f t="shared" si="20"/>
        <v>2018</v>
      </c>
      <c r="J42" s="530">
        <f t="shared" si="20"/>
        <v>2019</v>
      </c>
      <c r="K42" s="530">
        <f t="shared" si="20"/>
        <v>2020</v>
      </c>
      <c r="L42" s="552">
        <f t="shared" ref="L42:M42" si="21">K42+1</f>
        <v>2021</v>
      </c>
      <c r="M42" s="552">
        <f t="shared" si="21"/>
        <v>2022</v>
      </c>
    </row>
    <row r="43" spans="1:13">
      <c r="A43" s="1238" t="s">
        <v>69</v>
      </c>
      <c r="B43" s="1179">
        <f>B35/B$39</f>
        <v>0.48657029087311798</v>
      </c>
      <c r="C43" s="1179">
        <f t="shared" ref="C43:K43" si="22">C35/C$39</f>
        <v>0.49375964211636802</v>
      </c>
      <c r="D43" s="1179">
        <f t="shared" si="22"/>
        <v>0.502826876605316</v>
      </c>
      <c r="E43" s="1179">
        <f t="shared" si="22"/>
        <v>0.511959066799484</v>
      </c>
      <c r="F43" s="1179">
        <f t="shared" si="22"/>
        <v>0.51575572843880602</v>
      </c>
      <c r="G43" s="1179">
        <f t="shared" si="22"/>
        <v>0.508745225204428</v>
      </c>
      <c r="H43" s="1179">
        <f t="shared" si="22"/>
        <v>0.50285802782001499</v>
      </c>
      <c r="I43" s="1179">
        <f t="shared" si="22"/>
        <v>0.49952550693631698</v>
      </c>
      <c r="J43" s="1179">
        <f t="shared" si="22"/>
        <v>0.51421150254843295</v>
      </c>
      <c r="K43" s="1179">
        <f t="shared" si="22"/>
        <v>0.50492289034613402</v>
      </c>
      <c r="L43" s="785">
        <f>L35/$L$39</f>
        <v>0.52106177142732402</v>
      </c>
      <c r="M43" s="785">
        <f>M35/$M$39</f>
        <v>0.54559351994534599</v>
      </c>
    </row>
    <row r="44" spans="1:13">
      <c r="A44" s="534" t="s">
        <v>70</v>
      </c>
      <c r="B44" s="545">
        <f t="shared" ref="B44:K44" si="23">B36/B$39</f>
        <v>0.235404387620227</v>
      </c>
      <c r="C44" s="545">
        <f t="shared" si="23"/>
        <v>0.23586450868335801</v>
      </c>
      <c r="D44" s="545">
        <f t="shared" si="23"/>
        <v>0.23447877562806799</v>
      </c>
      <c r="E44" s="545">
        <f t="shared" si="23"/>
        <v>0.23300606867044299</v>
      </c>
      <c r="F44" s="545">
        <f t="shared" si="23"/>
        <v>0.23501362647681301</v>
      </c>
      <c r="G44" s="545">
        <f t="shared" si="23"/>
        <v>0.24296179802840201</v>
      </c>
      <c r="H44" s="545">
        <f t="shared" si="23"/>
        <v>0.254213127217435</v>
      </c>
      <c r="I44" s="545">
        <f t="shared" si="23"/>
        <v>0.25826841888180602</v>
      </c>
      <c r="J44" s="545">
        <f t="shared" si="23"/>
        <v>0.25460945621846098</v>
      </c>
      <c r="K44" s="545">
        <f t="shared" si="23"/>
        <v>0.252752130126839</v>
      </c>
      <c r="L44" s="786">
        <f t="shared" ref="L44:L46" si="24">L36/$L$39</f>
        <v>0.248778632380038</v>
      </c>
      <c r="M44" s="786">
        <f t="shared" ref="M44:M46" si="25">M36/$M$39</f>
        <v>0.248059996875163</v>
      </c>
    </row>
    <row r="45" spans="1:13">
      <c r="A45" s="534" t="s">
        <v>71</v>
      </c>
      <c r="B45" s="545">
        <f t="shared" ref="B45:K45" si="26">B37/B$39</f>
        <v>0.157814669182745</v>
      </c>
      <c r="C45" s="545">
        <f t="shared" si="26"/>
        <v>0.15385347552439199</v>
      </c>
      <c r="D45" s="545">
        <f t="shared" si="26"/>
        <v>0.15302369408939601</v>
      </c>
      <c r="E45" s="545">
        <f t="shared" si="26"/>
        <v>0.14740877696625301</v>
      </c>
      <c r="F45" s="545">
        <f t="shared" si="26"/>
        <v>0.14357501531373901</v>
      </c>
      <c r="G45" s="545">
        <f t="shared" si="26"/>
        <v>0.144334991361182</v>
      </c>
      <c r="H45" s="545">
        <f t="shared" si="26"/>
        <v>0.142880272568565</v>
      </c>
      <c r="I45" s="545">
        <f t="shared" si="26"/>
        <v>0.14132516020428401</v>
      </c>
      <c r="J45" s="545">
        <f t="shared" si="26"/>
        <v>0.136926523608947</v>
      </c>
      <c r="K45" s="545">
        <f t="shared" si="26"/>
        <v>0.14205429869910699</v>
      </c>
      <c r="L45" s="786">
        <f t="shared" si="24"/>
        <v>0.136372280956642</v>
      </c>
      <c r="M45" s="786">
        <f t="shared" si="25"/>
        <v>0.13177928845617701</v>
      </c>
    </row>
    <row r="46" spans="1:13">
      <c r="A46" s="568" t="s">
        <v>72</v>
      </c>
      <c r="B46" s="1240">
        <f t="shared" ref="B46:K46" si="27">B38/B$39</f>
        <v>0.120210652323909</v>
      </c>
      <c r="C46" s="1240">
        <f t="shared" si="27"/>
        <v>0.116522373675882</v>
      </c>
      <c r="D46" s="1240">
        <f t="shared" si="27"/>
        <v>0.109670653677219</v>
      </c>
      <c r="E46" s="1240">
        <f t="shared" si="27"/>
        <v>0.10762608756382</v>
      </c>
      <c r="F46" s="1240">
        <f t="shared" si="27"/>
        <v>0.105655629770642</v>
      </c>
      <c r="G46" s="1240">
        <f t="shared" si="27"/>
        <v>0.103957985405988</v>
      </c>
      <c r="H46" s="1240">
        <f t="shared" si="27"/>
        <v>0.100048572393985</v>
      </c>
      <c r="I46" s="1240">
        <f t="shared" si="27"/>
        <v>0.100880913977593</v>
      </c>
      <c r="J46" s="1240">
        <f t="shared" si="27"/>
        <v>9.4252517624159093E-2</v>
      </c>
      <c r="K46" s="1240">
        <f t="shared" si="27"/>
        <v>0.100270680827921</v>
      </c>
      <c r="L46" s="787">
        <f t="shared" si="24"/>
        <v>9.3787315235995997E-2</v>
      </c>
      <c r="M46" s="787">
        <f t="shared" si="25"/>
        <v>7.4567194723313995E-2</v>
      </c>
    </row>
    <row r="55" spans="1:27">
      <c r="A55" s="843" t="s">
        <v>73</v>
      </c>
    </row>
    <row r="56" spans="1:27">
      <c r="A56" s="843"/>
    </row>
    <row r="57" spans="1:27">
      <c r="AA57" s="843"/>
    </row>
    <row r="58" spans="1:27">
      <c r="A58" s="1241" t="s">
        <v>74</v>
      </c>
      <c r="B58" s="1359">
        <f>B77+1</f>
        <v>2022</v>
      </c>
      <c r="C58" s="1360"/>
      <c r="D58" s="1361"/>
      <c r="E58" s="1242"/>
      <c r="Z58" s="843"/>
    </row>
    <row r="59" spans="1:27">
      <c r="A59" s="1243">
        <v>1</v>
      </c>
      <c r="B59" s="1244" t="s">
        <v>75</v>
      </c>
      <c r="C59" s="1245">
        <v>46700</v>
      </c>
      <c r="D59" s="1246">
        <v>0.143068528906276</v>
      </c>
      <c r="E59" s="123"/>
    </row>
    <row r="60" spans="1:27">
      <c r="A60" s="1247">
        <v>2</v>
      </c>
      <c r="B60" s="1248" t="s">
        <v>76</v>
      </c>
      <c r="C60" s="1249">
        <v>42968</v>
      </c>
      <c r="D60" s="1250">
        <v>0.131635300857492</v>
      </c>
      <c r="E60" s="123"/>
    </row>
    <row r="61" spans="1:27">
      <c r="A61" s="1247">
        <v>3</v>
      </c>
      <c r="B61" s="1248" t="s">
        <v>77</v>
      </c>
      <c r="C61" s="1249">
        <v>38048</v>
      </c>
      <c r="D61" s="1250">
        <v>0.116562556484497</v>
      </c>
      <c r="E61" s="123"/>
    </row>
    <row r="62" spans="1:27">
      <c r="A62" s="1247">
        <v>4</v>
      </c>
      <c r="B62" s="1248" t="s">
        <v>78</v>
      </c>
      <c r="C62" s="1249">
        <v>29348</v>
      </c>
      <c r="D62" s="1250">
        <v>8.9909532898102704E-2</v>
      </c>
      <c r="E62" s="123"/>
    </row>
    <row r="63" spans="1:27">
      <c r="A63" s="1247">
        <v>5</v>
      </c>
      <c r="B63" s="1248" t="s">
        <v>72</v>
      </c>
      <c r="C63" s="1249">
        <v>24340</v>
      </c>
      <c r="D63" s="1250">
        <v>7.4567194723313995E-2</v>
      </c>
      <c r="E63" s="123"/>
    </row>
    <row r="64" spans="1:27">
      <c r="A64" s="1247">
        <v>6</v>
      </c>
      <c r="B64" s="1248" t="s">
        <v>79</v>
      </c>
      <c r="C64" s="1249">
        <v>19131</v>
      </c>
      <c r="D64" s="1250">
        <v>5.8609079796701803E-2</v>
      </c>
      <c r="E64" s="123"/>
    </row>
    <row r="65" spans="1:5">
      <c r="A65" s="1247">
        <v>7</v>
      </c>
      <c r="B65" s="1248" t="s">
        <v>80</v>
      </c>
      <c r="C65" s="1249">
        <v>18206</v>
      </c>
      <c r="D65" s="1250">
        <v>5.5775281311941503E-2</v>
      </c>
      <c r="E65" s="123"/>
    </row>
    <row r="66" spans="1:5">
      <c r="A66" s="1247">
        <v>8</v>
      </c>
      <c r="B66" s="1248" t="s">
        <v>81</v>
      </c>
      <c r="C66" s="1249">
        <v>13996</v>
      </c>
      <c r="D66" s="1250">
        <v>4.28776687488703E-2</v>
      </c>
      <c r="E66" s="123"/>
    </row>
    <row r="67" spans="1:5">
      <c r="A67" s="1247">
        <v>9</v>
      </c>
      <c r="B67" s="1248" t="s">
        <v>82</v>
      </c>
      <c r="C67" s="1249">
        <v>11008</v>
      </c>
      <c r="D67" s="1250">
        <v>3.3723733751612202E-2</v>
      </c>
      <c r="E67" s="123"/>
    </row>
    <row r="68" spans="1:5">
      <c r="A68" s="1247">
        <v>10</v>
      </c>
      <c r="B68" s="1248" t="s">
        <v>83</v>
      </c>
      <c r="C68" s="1249">
        <v>10041</v>
      </c>
      <c r="D68" s="1250">
        <v>3.0761265497814098E-2</v>
      </c>
      <c r="E68" s="123"/>
    </row>
    <row r="69" spans="1:5">
      <c r="A69" s="1247">
        <v>11</v>
      </c>
      <c r="B69" s="1257" t="s">
        <v>84</v>
      </c>
      <c r="C69" s="1258">
        <v>9545</v>
      </c>
      <c r="D69" s="1259">
        <v>2.9241736796796699E-2</v>
      </c>
    </row>
    <row r="70" spans="1:5">
      <c r="A70" s="1247">
        <v>12</v>
      </c>
      <c r="B70" s="1257" t="s">
        <v>85</v>
      </c>
      <c r="C70" s="1258">
        <v>9364</v>
      </c>
      <c r="D70" s="1259">
        <v>2.8687231363562601E-2</v>
      </c>
    </row>
    <row r="71" spans="1:5">
      <c r="A71" s="1260">
        <v>13</v>
      </c>
      <c r="B71" s="1261" t="s">
        <v>86</v>
      </c>
      <c r="C71" s="1262">
        <v>53722</v>
      </c>
      <c r="D71" s="1263">
        <v>0.164580888863019</v>
      </c>
    </row>
    <row r="77" spans="1:5">
      <c r="A77" s="1241" t="s">
        <v>74</v>
      </c>
      <c r="B77" s="1362">
        <f>B100+1</f>
        <v>2021</v>
      </c>
      <c r="C77" s="1363"/>
      <c r="D77" s="1364"/>
    </row>
    <row r="78" spans="1:5">
      <c r="A78" s="1243">
        <v>1</v>
      </c>
      <c r="B78" s="1244" t="s">
        <v>75</v>
      </c>
      <c r="C78" s="1245">
        <v>45009</v>
      </c>
      <c r="D78" s="1246">
        <v>0.14032555253829301</v>
      </c>
      <c r="E78" s="123"/>
    </row>
    <row r="79" spans="1:5">
      <c r="A79" s="1247">
        <v>2</v>
      </c>
      <c r="B79" s="1248" t="s">
        <v>76</v>
      </c>
      <c r="C79" s="1249">
        <v>40156</v>
      </c>
      <c r="D79" s="1250">
        <v>0.12519524734448001</v>
      </c>
      <c r="E79" s="123"/>
    </row>
    <row r="80" spans="1:5">
      <c r="A80" s="1247">
        <v>3</v>
      </c>
      <c r="B80" s="1248" t="s">
        <v>77</v>
      </c>
      <c r="C80" s="1249">
        <v>36580</v>
      </c>
      <c r="D80" s="1250">
        <v>0.114046273230927</v>
      </c>
      <c r="E80" s="123"/>
    </row>
    <row r="81" spans="1:5">
      <c r="A81" s="1247">
        <v>4</v>
      </c>
      <c r="B81" s="1248" t="s">
        <v>78</v>
      </c>
      <c r="C81" s="1249">
        <v>32134</v>
      </c>
      <c r="D81" s="1250">
        <v>0.100184880918606</v>
      </c>
      <c r="E81" s="123"/>
    </row>
    <row r="82" spans="1:5">
      <c r="A82" s="1247">
        <v>5</v>
      </c>
      <c r="B82" s="1248" t="s">
        <v>72</v>
      </c>
      <c r="C82" s="1249">
        <v>30082</v>
      </c>
      <c r="D82" s="1250">
        <v>9.3787315235995997E-2</v>
      </c>
      <c r="E82" s="123"/>
    </row>
    <row r="83" spans="1:5">
      <c r="A83" s="1247">
        <v>6</v>
      </c>
      <c r="B83" s="1248" t="s">
        <v>80</v>
      </c>
      <c r="C83" s="1249">
        <v>21767</v>
      </c>
      <c r="D83" s="1250">
        <v>6.7863456244329601E-2</v>
      </c>
      <c r="E83" s="123"/>
    </row>
    <row r="84" spans="1:5">
      <c r="A84" s="1247">
        <v>7</v>
      </c>
      <c r="B84" s="1248" t="s">
        <v>79</v>
      </c>
      <c r="C84" s="1249">
        <v>17157</v>
      </c>
      <c r="D84" s="1250">
        <v>5.3490757512930802E-2</v>
      </c>
      <c r="E84" s="123"/>
    </row>
    <row r="85" spans="1:5">
      <c r="A85" s="1247">
        <v>8</v>
      </c>
      <c r="B85" s="1248" t="s">
        <v>81</v>
      </c>
      <c r="C85" s="1249">
        <v>15028</v>
      </c>
      <c r="D85" s="1250">
        <v>4.6853127231119902E-2</v>
      </c>
      <c r="E85" s="123"/>
    </row>
    <row r="86" spans="1:5">
      <c r="A86" s="1247">
        <v>9</v>
      </c>
      <c r="B86" s="1248" t="s">
        <v>83</v>
      </c>
      <c r="C86" s="1249">
        <v>10069</v>
      </c>
      <c r="D86" s="1250">
        <v>3.1392343498146499E-2</v>
      </c>
      <c r="E86" s="123"/>
    </row>
    <row r="87" spans="1:5">
      <c r="A87" s="1247">
        <v>10</v>
      </c>
      <c r="B87" s="1248" t="s">
        <v>82</v>
      </c>
      <c r="C87" s="1249">
        <v>9419</v>
      </c>
      <c r="D87" s="1250">
        <v>2.9365824154239901E-2</v>
      </c>
      <c r="E87" s="123"/>
    </row>
    <row r="88" spans="1:5">
      <c r="A88" s="1247">
        <v>11</v>
      </c>
      <c r="B88" s="1257" t="s">
        <v>85</v>
      </c>
      <c r="C88" s="1258">
        <v>9075</v>
      </c>
      <c r="D88" s="1259">
        <v>2.8293327763003199E-2</v>
      </c>
    </row>
    <row r="89" spans="1:5">
      <c r="A89" s="1247">
        <v>12</v>
      </c>
      <c r="B89" s="1257" t="s">
        <v>87</v>
      </c>
      <c r="C89" s="1258">
        <v>8008</v>
      </c>
      <c r="D89" s="1259">
        <v>2.4966718316928899E-2</v>
      </c>
    </row>
    <row r="90" spans="1:5">
      <c r="A90" s="1260">
        <v>13</v>
      </c>
      <c r="B90" s="1261" t="s">
        <v>86</v>
      </c>
      <c r="C90" s="1262">
        <v>46263</v>
      </c>
      <c r="D90" s="1263">
        <v>0.144235176010999</v>
      </c>
    </row>
    <row r="100" spans="1:5">
      <c r="A100" s="1241" t="s">
        <v>74</v>
      </c>
      <c r="B100" s="1362">
        <f>B124+1</f>
        <v>2020</v>
      </c>
      <c r="C100" s="1363"/>
      <c r="D100" s="1364"/>
      <c r="E100" s="1242"/>
    </row>
    <row r="101" spans="1:5">
      <c r="A101" s="1264">
        <v>1</v>
      </c>
      <c r="B101" s="1244" t="s">
        <v>75</v>
      </c>
      <c r="C101" s="1245">
        <v>41736</v>
      </c>
      <c r="D101" s="1246">
        <v>0.13</v>
      </c>
      <c r="E101" s="1242"/>
    </row>
    <row r="102" spans="1:5">
      <c r="A102" s="1265">
        <v>2</v>
      </c>
      <c r="B102" s="1248" t="s">
        <v>76</v>
      </c>
      <c r="C102" s="1249">
        <v>40527</v>
      </c>
      <c r="D102" s="1250">
        <v>0.13</v>
      </c>
      <c r="E102" s="1242"/>
    </row>
    <row r="103" spans="1:5">
      <c r="A103" s="1265">
        <v>3</v>
      </c>
      <c r="B103" s="1248" t="s">
        <v>88</v>
      </c>
      <c r="C103" s="1249">
        <v>34401</v>
      </c>
      <c r="D103" s="1250">
        <v>0.108715777903542</v>
      </c>
      <c r="E103" s="1242"/>
    </row>
    <row r="104" spans="1:5">
      <c r="A104" s="1265">
        <v>4</v>
      </c>
      <c r="B104" s="1248" t="s">
        <v>77</v>
      </c>
      <c r="C104" s="1249">
        <v>33750</v>
      </c>
      <c r="D104" s="1250">
        <v>0.106870753417712</v>
      </c>
      <c r="E104" s="1242"/>
    </row>
    <row r="105" spans="1:5">
      <c r="A105" s="1265">
        <v>5</v>
      </c>
      <c r="B105" s="1248" t="s">
        <v>72</v>
      </c>
      <c r="C105" s="1249">
        <v>28400</v>
      </c>
      <c r="D105" s="1250">
        <v>0.09</v>
      </c>
      <c r="E105" s="1242"/>
    </row>
    <row r="106" spans="1:5">
      <c r="A106" s="1265">
        <v>6</v>
      </c>
      <c r="B106" s="1248" t="s">
        <v>89</v>
      </c>
      <c r="C106" s="1249">
        <v>22843</v>
      </c>
      <c r="D106" s="1250">
        <v>7.0000000000000007E-2</v>
      </c>
      <c r="E106" s="1242"/>
    </row>
    <row r="107" spans="1:5">
      <c r="A107" s="1265">
        <v>7</v>
      </c>
      <c r="B107" s="1248" t="s">
        <v>79</v>
      </c>
      <c r="C107" s="1249">
        <v>17144</v>
      </c>
      <c r="D107" s="1250">
        <v>5.2354205445439297E-2</v>
      </c>
      <c r="E107" s="1242"/>
    </row>
    <row r="108" spans="1:5">
      <c r="A108" s="1265">
        <v>8</v>
      </c>
      <c r="B108" s="1248" t="s">
        <v>81</v>
      </c>
      <c r="C108" s="1249">
        <v>15872</v>
      </c>
      <c r="D108" s="1250">
        <v>4.71626205890339E-2</v>
      </c>
      <c r="E108" s="1242"/>
    </row>
    <row r="109" spans="1:5">
      <c r="A109" s="1265">
        <v>9</v>
      </c>
      <c r="B109" s="1248" t="s">
        <v>83</v>
      </c>
      <c r="C109" s="1249">
        <v>11050</v>
      </c>
      <c r="D109" s="1250">
        <v>0.04</v>
      </c>
      <c r="E109" s="1242"/>
    </row>
    <row r="110" spans="1:5">
      <c r="A110" s="1266">
        <v>10</v>
      </c>
      <c r="B110" s="1267" t="s">
        <v>90</v>
      </c>
      <c r="C110" s="1268">
        <v>69710</v>
      </c>
      <c r="D110" s="1269">
        <v>0.19</v>
      </c>
      <c r="E110" s="1242"/>
    </row>
    <row r="124" spans="1:4">
      <c r="A124" s="1241" t="s">
        <v>74</v>
      </c>
      <c r="B124" s="1365">
        <v>2019</v>
      </c>
      <c r="C124" s="1355"/>
      <c r="D124" s="1356"/>
    </row>
    <row r="125" spans="1:4">
      <c r="A125" s="1264">
        <v>1</v>
      </c>
      <c r="B125" s="1270" t="s">
        <v>76</v>
      </c>
      <c r="C125" s="1271">
        <v>41400</v>
      </c>
      <c r="D125" s="1272">
        <v>0.14264401360286399</v>
      </c>
    </row>
    <row r="126" spans="1:4">
      <c r="A126" s="1265">
        <v>2</v>
      </c>
      <c r="B126" s="1273" t="s">
        <v>75</v>
      </c>
      <c r="C126" s="1274">
        <v>35771</v>
      </c>
      <c r="D126" s="1275">
        <v>0.14000000000000001</v>
      </c>
    </row>
    <row r="127" spans="1:4">
      <c r="A127" s="1265">
        <v>3</v>
      </c>
      <c r="B127" s="1273" t="s">
        <v>88</v>
      </c>
      <c r="C127" s="1274">
        <v>31050</v>
      </c>
      <c r="D127" s="1275">
        <v>0.106983010202148</v>
      </c>
    </row>
    <row r="128" spans="1:4">
      <c r="A128" s="1265">
        <v>4</v>
      </c>
      <c r="B128" s="1273" t="s">
        <v>77</v>
      </c>
      <c r="C128" s="1274">
        <v>30632</v>
      </c>
      <c r="D128" s="1275">
        <v>0.105542788035819</v>
      </c>
    </row>
    <row r="129" spans="1:4">
      <c r="A129" s="1265">
        <v>5</v>
      </c>
      <c r="B129" s="1273" t="s">
        <v>72</v>
      </c>
      <c r="C129" s="1274">
        <v>23237</v>
      </c>
      <c r="D129" s="1275">
        <v>0.06</v>
      </c>
    </row>
    <row r="130" spans="1:4">
      <c r="A130" s="1265">
        <v>6</v>
      </c>
      <c r="B130" s="1273" t="s">
        <v>89</v>
      </c>
      <c r="C130" s="1274">
        <v>19962</v>
      </c>
      <c r="D130" s="1275">
        <v>0.06</v>
      </c>
    </row>
    <row r="131" spans="1:4">
      <c r="A131" s="1265">
        <v>7</v>
      </c>
      <c r="B131" s="1273" t="s">
        <v>81</v>
      </c>
      <c r="C131" s="1274">
        <v>16275</v>
      </c>
      <c r="D131" s="1275">
        <v>0.05</v>
      </c>
    </row>
    <row r="132" spans="1:4">
      <c r="A132" s="1265">
        <v>8</v>
      </c>
      <c r="B132" s="1273" t="s">
        <v>79</v>
      </c>
      <c r="C132" s="1274">
        <v>12841</v>
      </c>
      <c r="D132" s="1275">
        <v>0.05</v>
      </c>
    </row>
    <row r="133" spans="1:4">
      <c r="A133" s="1265">
        <v>9</v>
      </c>
      <c r="B133" s="1273" t="s">
        <v>83</v>
      </c>
      <c r="C133" s="1274">
        <v>10252</v>
      </c>
      <c r="D133" s="1275">
        <v>3.5323343658370997E-2</v>
      </c>
    </row>
    <row r="134" spans="1:4">
      <c r="A134" s="1266">
        <v>10</v>
      </c>
      <c r="B134" s="1276" t="s">
        <v>91</v>
      </c>
      <c r="C134" s="566">
        <v>10158</v>
      </c>
      <c r="D134" s="1277">
        <v>0.04</v>
      </c>
    </row>
  </sheetData>
  <mergeCells count="4">
    <mergeCell ref="B58:D58"/>
    <mergeCell ref="B77:D77"/>
    <mergeCell ref="B100:D100"/>
    <mergeCell ref="B124:D124"/>
  </mergeCells>
  <phoneticPr fontId="93" type="noConversion"/>
  <hyperlinks>
    <hyperlink ref="L1" location="Content!A1" display="content" xr:uid="{00000000-0004-0000-0200-000000000000}"/>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R43"/>
  <sheetViews>
    <sheetView zoomScale="70" zoomScaleNormal="70" workbookViewId="0">
      <pane xSplit="1" ySplit="5" topLeftCell="AK6" activePane="bottomRight" state="frozenSplit"/>
      <selection pane="topRight"/>
      <selection pane="bottomLeft"/>
      <selection pane="bottomRight" activeCell="AP13" sqref="AP13"/>
    </sheetView>
  </sheetViews>
  <sheetFormatPr defaultColWidth="9" defaultRowHeight="14.4"/>
  <cols>
    <col min="1" max="1" width="39.77734375" customWidth="1"/>
    <col min="2" max="2" width="32.5546875" customWidth="1"/>
    <col min="11" max="11" width="43.109375" customWidth="1"/>
    <col min="16" max="16" width="43.109375" customWidth="1"/>
    <col min="18" max="18" width="43.5546875" customWidth="1"/>
    <col min="22" max="22" width="43.77734375" customWidth="1"/>
    <col min="25" max="25" width="44.109375" customWidth="1"/>
    <col min="27" max="27" width="34.5546875" customWidth="1"/>
    <col min="29" max="29" width="44.77734375" customWidth="1"/>
    <col min="31" max="31" width="44.77734375" customWidth="1"/>
    <col min="33" max="33" width="43.109375" customWidth="1"/>
    <col min="35" max="35" width="44.109375" customWidth="1"/>
    <col min="37" max="37" width="43.77734375" customWidth="1"/>
    <col min="38" max="40" width="10.77734375" customWidth="1"/>
    <col min="41" max="41" width="10.5546875" style="123" customWidth="1"/>
    <col min="42" max="42" width="12.77734375" customWidth="1"/>
    <col min="43" max="43" width="43.77734375" customWidth="1"/>
    <col min="44" max="44" width="11.109375" customWidth="1"/>
  </cols>
  <sheetData>
    <row r="1" spans="1:44" ht="21">
      <c r="A1" s="528" t="s">
        <v>47</v>
      </c>
      <c r="AN1" s="57" t="s">
        <v>48</v>
      </c>
    </row>
    <row r="2" spans="1:44" ht="18">
      <c r="A2" s="529" t="s">
        <v>92</v>
      </c>
    </row>
    <row r="3" spans="1:44" ht="18">
      <c r="A3" s="529" t="s">
        <v>93</v>
      </c>
    </row>
    <row r="5" spans="1:44">
      <c r="A5" s="1145" t="s">
        <v>94</v>
      </c>
      <c r="B5" s="1214" t="s">
        <v>95</v>
      </c>
      <c r="C5" s="553">
        <v>1996</v>
      </c>
      <c r="D5" s="553">
        <v>1997</v>
      </c>
      <c r="E5" s="553">
        <v>1998</v>
      </c>
      <c r="F5" s="553">
        <v>1999</v>
      </c>
      <c r="G5" s="553">
        <v>2000</v>
      </c>
      <c r="H5" s="553">
        <v>2001</v>
      </c>
      <c r="I5" s="553">
        <v>2002</v>
      </c>
      <c r="J5" s="1217">
        <v>2003</v>
      </c>
      <c r="K5" s="1125" t="s">
        <v>96</v>
      </c>
      <c r="L5" s="553">
        <v>2003</v>
      </c>
      <c r="M5" s="553">
        <v>2004</v>
      </c>
      <c r="N5" s="553">
        <v>2005</v>
      </c>
      <c r="O5" s="1199">
        <v>2006</v>
      </c>
      <c r="P5" s="1125"/>
      <c r="Q5" s="1199">
        <v>2007</v>
      </c>
      <c r="R5" s="1125"/>
      <c r="S5" s="553">
        <v>2008</v>
      </c>
      <c r="T5" s="553">
        <v>2009</v>
      </c>
      <c r="U5" s="1199">
        <v>2010</v>
      </c>
      <c r="V5" s="1125"/>
      <c r="W5" s="553">
        <v>2011</v>
      </c>
      <c r="X5" s="1199">
        <v>2012</v>
      </c>
      <c r="Y5" s="1125"/>
      <c r="Z5" s="1199">
        <v>2013</v>
      </c>
      <c r="AA5" s="1125"/>
      <c r="AB5" s="1199">
        <v>2014</v>
      </c>
      <c r="AC5" s="1125"/>
      <c r="AD5" s="1199">
        <v>2015</v>
      </c>
      <c r="AE5" s="1125"/>
      <c r="AF5" s="1199">
        <v>2016</v>
      </c>
      <c r="AG5" s="1125"/>
      <c r="AH5" s="1199">
        <v>2017</v>
      </c>
      <c r="AI5" s="1125"/>
      <c r="AJ5" s="1199">
        <v>2018</v>
      </c>
      <c r="AK5" s="1125"/>
      <c r="AL5" s="1145">
        <v>2019</v>
      </c>
      <c r="AM5" s="553">
        <v>2020</v>
      </c>
      <c r="AN5" s="1146">
        <v>2021</v>
      </c>
      <c r="AO5" s="552">
        <v>2022</v>
      </c>
      <c r="AP5" s="552">
        <v>2023</v>
      </c>
      <c r="AQ5" s="1125"/>
      <c r="AR5" s="552">
        <v>2024</v>
      </c>
    </row>
    <row r="6" spans="1:44">
      <c r="A6" s="1118" t="s">
        <v>97</v>
      </c>
      <c r="B6" s="1215" t="s">
        <v>98</v>
      </c>
      <c r="C6" s="533">
        <v>684</v>
      </c>
      <c r="D6" s="533">
        <v>687</v>
      </c>
      <c r="E6" s="533">
        <v>741</v>
      </c>
      <c r="F6" s="533">
        <v>818</v>
      </c>
      <c r="G6" s="533">
        <v>877</v>
      </c>
      <c r="H6" s="533">
        <v>981</v>
      </c>
      <c r="I6" s="533">
        <v>610</v>
      </c>
      <c r="J6" s="1218"/>
      <c r="K6" t="s">
        <v>98</v>
      </c>
      <c r="L6" s="533">
        <v>666</v>
      </c>
      <c r="M6" s="533">
        <v>711.67</v>
      </c>
      <c r="N6" s="533">
        <v>728</v>
      </c>
      <c r="O6" s="1200">
        <v>771</v>
      </c>
      <c r="P6" t="s">
        <v>99</v>
      </c>
      <c r="Q6" s="1200">
        <v>632</v>
      </c>
      <c r="R6" t="s">
        <v>99</v>
      </c>
      <c r="S6" s="533">
        <v>668</v>
      </c>
      <c r="T6" s="533">
        <v>725</v>
      </c>
      <c r="U6" s="1200">
        <v>765</v>
      </c>
      <c r="V6" t="s">
        <v>100</v>
      </c>
      <c r="W6" s="533">
        <v>66</v>
      </c>
      <c r="X6" s="1200">
        <v>61</v>
      </c>
      <c r="Y6" t="s">
        <v>100</v>
      </c>
      <c r="Z6" s="1200">
        <v>65</v>
      </c>
      <c r="AA6" t="s">
        <v>100</v>
      </c>
      <c r="AB6" s="1200">
        <v>59</v>
      </c>
      <c r="AC6" t="s">
        <v>100</v>
      </c>
      <c r="AD6" s="1200">
        <v>65.986000000000004</v>
      </c>
      <c r="AE6" t="s">
        <v>100</v>
      </c>
      <c r="AF6" s="1200">
        <v>68</v>
      </c>
      <c r="AG6" t="s">
        <v>100</v>
      </c>
      <c r="AH6" s="1200">
        <v>63.033999999999999</v>
      </c>
      <c r="AI6" t="s">
        <v>100</v>
      </c>
      <c r="AJ6" s="1200">
        <v>49</v>
      </c>
      <c r="AK6" t="s">
        <v>100</v>
      </c>
      <c r="AL6" s="1220">
        <v>48.941000000000003</v>
      </c>
      <c r="AM6" s="1221">
        <v>51</v>
      </c>
      <c r="AN6" s="1222">
        <v>52.594999999999999</v>
      </c>
      <c r="AO6" s="1227">
        <v>53</v>
      </c>
      <c r="AP6" s="1228">
        <v>52.247</v>
      </c>
      <c r="AQ6" s="1228" t="s">
        <v>509</v>
      </c>
      <c r="AR6" s="1229">
        <v>1578.519</v>
      </c>
    </row>
    <row r="7" spans="1:44">
      <c r="A7" s="1118" t="s">
        <v>101</v>
      </c>
      <c r="B7" s="1215" t="s">
        <v>102</v>
      </c>
      <c r="C7" s="533">
        <v>88</v>
      </c>
      <c r="D7" s="533">
        <v>88</v>
      </c>
      <c r="E7" s="533">
        <v>60</v>
      </c>
      <c r="F7" s="533">
        <v>67</v>
      </c>
      <c r="G7" s="533">
        <v>79</v>
      </c>
      <c r="H7" s="533">
        <v>99</v>
      </c>
      <c r="I7" s="533">
        <v>50</v>
      </c>
      <c r="J7" s="1218"/>
      <c r="K7" t="s">
        <v>103</v>
      </c>
      <c r="L7" s="533">
        <v>58</v>
      </c>
      <c r="M7" s="533">
        <v>66.798000000000002</v>
      </c>
      <c r="N7" s="533">
        <v>68</v>
      </c>
      <c r="O7" s="1200">
        <v>81</v>
      </c>
      <c r="P7" t="s">
        <v>104</v>
      </c>
      <c r="Q7" s="1200">
        <v>238</v>
      </c>
      <c r="R7" t="s">
        <v>104</v>
      </c>
      <c r="S7" s="533">
        <v>203</v>
      </c>
      <c r="T7" s="533">
        <v>226</v>
      </c>
      <c r="U7" s="1200">
        <v>252</v>
      </c>
      <c r="V7" t="s">
        <v>105</v>
      </c>
      <c r="W7" s="533">
        <v>735</v>
      </c>
      <c r="X7" s="1200">
        <v>730</v>
      </c>
      <c r="Y7" t="s">
        <v>105</v>
      </c>
      <c r="Z7" s="1200">
        <v>776</v>
      </c>
      <c r="AA7" t="s">
        <v>105</v>
      </c>
      <c r="AB7" s="1200">
        <v>853</v>
      </c>
      <c r="AC7" t="s">
        <v>105</v>
      </c>
      <c r="AD7" s="1200">
        <v>870.71199999999999</v>
      </c>
      <c r="AE7" t="s">
        <v>105</v>
      </c>
      <c r="AF7" s="1200">
        <v>862</v>
      </c>
      <c r="AG7" t="s">
        <v>105</v>
      </c>
      <c r="AH7" s="1200">
        <v>866.22900000000004</v>
      </c>
      <c r="AI7" t="s">
        <v>105</v>
      </c>
      <c r="AJ7" s="1200">
        <v>828</v>
      </c>
      <c r="AK7" t="s">
        <v>105</v>
      </c>
      <c r="AL7" s="1220">
        <v>830.596</v>
      </c>
      <c r="AM7" s="1221">
        <v>893</v>
      </c>
      <c r="AN7" s="1222">
        <v>982.16099999999994</v>
      </c>
      <c r="AO7" s="1227">
        <v>969</v>
      </c>
      <c r="AP7" s="1230">
        <v>988.53899999999999</v>
      </c>
      <c r="AQ7" s="1230" t="s">
        <v>510</v>
      </c>
      <c r="AR7" s="1229">
        <v>43.9</v>
      </c>
    </row>
    <row r="8" spans="1:44">
      <c r="A8" s="1118"/>
      <c r="B8" s="1215" t="s">
        <v>106</v>
      </c>
      <c r="C8" s="533">
        <v>101</v>
      </c>
      <c r="D8" s="533">
        <v>68</v>
      </c>
      <c r="E8" s="533">
        <v>68</v>
      </c>
      <c r="F8" s="533">
        <v>78</v>
      </c>
      <c r="G8" s="533">
        <v>87</v>
      </c>
      <c r="H8" s="533">
        <v>105</v>
      </c>
      <c r="I8" s="533">
        <v>72</v>
      </c>
      <c r="J8" s="1218"/>
      <c r="K8" t="s">
        <v>107</v>
      </c>
      <c r="L8" s="533">
        <v>91</v>
      </c>
      <c r="M8" s="533">
        <v>85.096999999999994</v>
      </c>
      <c r="N8" s="533">
        <v>89</v>
      </c>
      <c r="O8" s="1200">
        <v>96</v>
      </c>
      <c r="P8" t="s">
        <v>108</v>
      </c>
      <c r="Q8" s="1200">
        <v>55</v>
      </c>
      <c r="R8" t="s">
        <v>109</v>
      </c>
      <c r="S8" s="533">
        <v>18</v>
      </c>
      <c r="T8" s="533">
        <v>21</v>
      </c>
      <c r="U8" s="1200">
        <v>23</v>
      </c>
      <c r="V8" t="s">
        <v>110</v>
      </c>
      <c r="W8" s="533">
        <v>348</v>
      </c>
      <c r="X8" s="1200">
        <v>350</v>
      </c>
      <c r="Y8" t="s">
        <v>110</v>
      </c>
      <c r="Z8" s="1200">
        <v>355</v>
      </c>
      <c r="AA8" t="s">
        <v>110</v>
      </c>
      <c r="AB8" s="1200">
        <v>353</v>
      </c>
      <c r="AC8" t="s">
        <v>110</v>
      </c>
      <c r="AD8" s="1200">
        <v>363.185</v>
      </c>
      <c r="AE8" t="s">
        <v>110</v>
      </c>
      <c r="AF8" s="1200">
        <v>386</v>
      </c>
      <c r="AG8" t="s">
        <v>110</v>
      </c>
      <c r="AH8" s="1200">
        <v>425.48700000000002</v>
      </c>
      <c r="AI8" t="s">
        <v>110</v>
      </c>
      <c r="AJ8" s="1200">
        <v>534</v>
      </c>
      <c r="AK8" t="s">
        <v>110</v>
      </c>
      <c r="AL8" s="1220">
        <v>527.11500000000001</v>
      </c>
      <c r="AM8" s="1221">
        <v>556</v>
      </c>
      <c r="AN8" s="1222">
        <v>553.07600000000002</v>
      </c>
      <c r="AO8" s="1227">
        <v>469</v>
      </c>
      <c r="AP8" s="1230">
        <v>616.34199999999998</v>
      </c>
      <c r="AQ8" s="1230" t="s">
        <v>511</v>
      </c>
      <c r="AR8" s="1229">
        <v>158.05000000000001</v>
      </c>
    </row>
    <row r="9" spans="1:44">
      <c r="A9" s="1118"/>
      <c r="B9" s="1215" t="s">
        <v>111</v>
      </c>
      <c r="C9" s="533">
        <v>21</v>
      </c>
      <c r="D9" s="533">
        <v>27</v>
      </c>
      <c r="E9" s="533">
        <v>30</v>
      </c>
      <c r="F9" s="533">
        <v>25</v>
      </c>
      <c r="G9" s="533">
        <v>30</v>
      </c>
      <c r="H9" s="533">
        <v>28</v>
      </c>
      <c r="I9" s="533">
        <v>28</v>
      </c>
      <c r="J9" s="1218"/>
      <c r="K9" t="s">
        <v>112</v>
      </c>
      <c r="L9" s="533">
        <v>26</v>
      </c>
      <c r="M9" s="533">
        <v>27.213999999999999</v>
      </c>
      <c r="N9" s="533">
        <v>26</v>
      </c>
      <c r="O9" s="1200">
        <v>26</v>
      </c>
      <c r="P9" t="s">
        <v>113</v>
      </c>
      <c r="Q9" s="1200">
        <v>59</v>
      </c>
      <c r="R9" t="s">
        <v>108</v>
      </c>
      <c r="S9" s="533">
        <v>53</v>
      </c>
      <c r="T9" s="533">
        <v>50</v>
      </c>
      <c r="U9" s="1200">
        <v>48</v>
      </c>
      <c r="V9" t="s">
        <v>114</v>
      </c>
      <c r="W9" s="533">
        <v>50</v>
      </c>
      <c r="X9" s="1200">
        <v>51</v>
      </c>
      <c r="Y9" t="s">
        <v>114</v>
      </c>
      <c r="Z9" s="1200">
        <v>53</v>
      </c>
      <c r="AA9" t="s">
        <v>114</v>
      </c>
      <c r="AB9" s="1200">
        <v>59</v>
      </c>
      <c r="AC9" t="s">
        <v>114</v>
      </c>
      <c r="AD9" s="1200">
        <v>60.534999999999997</v>
      </c>
      <c r="AE9" t="s">
        <v>114</v>
      </c>
      <c r="AF9" s="1200">
        <v>62</v>
      </c>
      <c r="AG9" t="s">
        <v>114</v>
      </c>
      <c r="AH9" s="1200">
        <v>64.631</v>
      </c>
      <c r="AI9" t="s">
        <v>114</v>
      </c>
      <c r="AJ9" s="1200">
        <v>64</v>
      </c>
      <c r="AK9" t="s">
        <v>114</v>
      </c>
      <c r="AL9" s="1220">
        <v>65.16</v>
      </c>
      <c r="AM9" s="1221">
        <v>45</v>
      </c>
      <c r="AN9" s="1222">
        <v>100.569</v>
      </c>
      <c r="AO9" s="1227">
        <v>88</v>
      </c>
      <c r="AP9" s="1230">
        <v>69.451999999999998</v>
      </c>
      <c r="AQ9" s="1230" t="s">
        <v>512</v>
      </c>
      <c r="AR9" s="1229">
        <v>107.14400000000001</v>
      </c>
    </row>
    <row r="10" spans="1:44">
      <c r="A10" s="1118"/>
      <c r="B10" s="1215" t="s">
        <v>115</v>
      </c>
      <c r="C10" s="533">
        <v>40</v>
      </c>
      <c r="D10" s="533">
        <v>26</v>
      </c>
      <c r="E10" s="533">
        <v>15</v>
      </c>
      <c r="F10" s="533">
        <v>15</v>
      </c>
      <c r="G10" s="533">
        <v>3</v>
      </c>
      <c r="H10" s="533">
        <v>2</v>
      </c>
      <c r="I10" s="533">
        <v>35</v>
      </c>
      <c r="J10" s="1218"/>
      <c r="K10" t="s">
        <v>116</v>
      </c>
      <c r="L10" s="533">
        <v>42</v>
      </c>
      <c r="M10" s="533">
        <v>40.848999999999997</v>
      </c>
      <c r="N10" s="533">
        <v>42</v>
      </c>
      <c r="O10" s="1200">
        <v>46</v>
      </c>
      <c r="P10" t="s">
        <v>117</v>
      </c>
      <c r="Q10" s="1200">
        <v>80</v>
      </c>
      <c r="R10" t="s">
        <v>113</v>
      </c>
      <c r="S10" s="533">
        <v>60</v>
      </c>
      <c r="T10" s="533">
        <v>58</v>
      </c>
      <c r="U10" s="1200">
        <v>60</v>
      </c>
      <c r="V10" t="s">
        <v>118</v>
      </c>
      <c r="W10" s="533">
        <v>65</v>
      </c>
      <c r="X10" s="1200">
        <v>64</v>
      </c>
      <c r="Y10" t="s">
        <v>118</v>
      </c>
      <c r="Z10" s="1200">
        <v>68</v>
      </c>
      <c r="AA10" t="s">
        <v>118</v>
      </c>
      <c r="AB10" s="1200">
        <v>73</v>
      </c>
      <c r="AC10" t="s">
        <v>118</v>
      </c>
      <c r="AD10" s="1200">
        <v>68.683000000000007</v>
      </c>
      <c r="AE10" t="s">
        <v>118</v>
      </c>
      <c r="AF10" s="1200">
        <v>63</v>
      </c>
      <c r="AG10" t="s">
        <v>118</v>
      </c>
      <c r="AH10" s="1200">
        <v>67.075999999999993</v>
      </c>
      <c r="AI10" t="s">
        <v>118</v>
      </c>
      <c r="AJ10" s="1200">
        <v>70</v>
      </c>
      <c r="AK10" t="s">
        <v>118</v>
      </c>
      <c r="AL10" s="1220">
        <v>80.525999999999996</v>
      </c>
      <c r="AM10" s="1221">
        <v>91</v>
      </c>
      <c r="AN10" s="1222">
        <v>104.94</v>
      </c>
      <c r="AO10" s="1227">
        <v>98</v>
      </c>
      <c r="AP10" s="1230">
        <v>104.468</v>
      </c>
      <c r="AQ10" s="1230" t="s">
        <v>513</v>
      </c>
      <c r="AR10" s="1229">
        <v>94.8</v>
      </c>
    </row>
    <row r="11" spans="1:44">
      <c r="A11" s="1118"/>
      <c r="B11" s="1215"/>
      <c r="C11" s="533"/>
      <c r="D11" s="533"/>
      <c r="E11" s="533"/>
      <c r="F11" s="533"/>
      <c r="G11" s="533"/>
      <c r="H11" s="533"/>
      <c r="I11" s="533"/>
      <c r="J11" s="1218"/>
      <c r="L11" s="533"/>
      <c r="M11" s="533"/>
      <c r="N11" s="533"/>
      <c r="O11" s="1200"/>
      <c r="P11" t="s">
        <v>119</v>
      </c>
      <c r="Q11" s="1200">
        <v>46</v>
      </c>
      <c r="R11" t="s">
        <v>117</v>
      </c>
      <c r="S11" s="533">
        <v>73</v>
      </c>
      <c r="T11" s="533">
        <v>66</v>
      </c>
      <c r="U11" s="1200">
        <v>58</v>
      </c>
      <c r="V11" t="s">
        <v>120</v>
      </c>
      <c r="W11" s="533">
        <v>57</v>
      </c>
      <c r="X11" s="1200">
        <v>69</v>
      </c>
      <c r="Y11" t="s">
        <v>120</v>
      </c>
      <c r="Z11" s="1200">
        <v>62</v>
      </c>
      <c r="AA11" t="s">
        <v>120</v>
      </c>
      <c r="AB11" s="1200">
        <v>58</v>
      </c>
      <c r="AC11" t="s">
        <v>120</v>
      </c>
      <c r="AD11" s="1200">
        <v>56.774000000000001</v>
      </c>
      <c r="AE11" t="s">
        <v>120</v>
      </c>
      <c r="AF11" s="1200">
        <v>53</v>
      </c>
      <c r="AG11" t="s">
        <v>120</v>
      </c>
      <c r="AH11" s="1200">
        <v>53.584000000000003</v>
      </c>
      <c r="AI11" t="s">
        <v>120</v>
      </c>
      <c r="AJ11" s="1200">
        <v>52</v>
      </c>
      <c r="AK11" t="s">
        <v>120</v>
      </c>
      <c r="AL11" s="1220">
        <v>57.273000000000003</v>
      </c>
      <c r="AM11" s="1221">
        <v>47</v>
      </c>
      <c r="AN11" s="1222">
        <v>54.121000000000002</v>
      </c>
      <c r="AO11" s="1227">
        <v>49</v>
      </c>
      <c r="AP11" s="1230">
        <v>47.804000000000002</v>
      </c>
      <c r="AQ11" s="1230"/>
      <c r="AR11" s="1229"/>
    </row>
    <row r="12" spans="1:44">
      <c r="A12" s="1118"/>
      <c r="B12" s="1215"/>
      <c r="C12" s="533"/>
      <c r="D12" s="533"/>
      <c r="E12" s="533"/>
      <c r="F12" s="533"/>
      <c r="G12" s="533"/>
      <c r="H12" s="533"/>
      <c r="I12" s="533"/>
      <c r="J12" s="1218"/>
      <c r="L12" s="533"/>
      <c r="M12" s="533"/>
      <c r="N12" s="533"/>
      <c r="O12" s="1200"/>
      <c r="P12" t="s">
        <v>121</v>
      </c>
      <c r="Q12" s="1200">
        <v>25</v>
      </c>
      <c r="R12" t="s">
        <v>119</v>
      </c>
      <c r="S12" s="533">
        <v>47</v>
      </c>
      <c r="T12" s="533">
        <v>50</v>
      </c>
      <c r="U12" s="1200">
        <v>47</v>
      </c>
      <c r="V12" t="s">
        <v>122</v>
      </c>
      <c r="W12" s="533">
        <v>31</v>
      </c>
      <c r="X12" s="1200">
        <v>40</v>
      </c>
      <c r="Y12" t="s">
        <v>122</v>
      </c>
      <c r="Z12" s="1200">
        <v>37</v>
      </c>
      <c r="AA12" t="s">
        <v>122</v>
      </c>
      <c r="AB12" s="1200">
        <v>37</v>
      </c>
      <c r="AC12" t="s">
        <v>122</v>
      </c>
      <c r="AD12" s="1200">
        <v>36.381999999999998</v>
      </c>
      <c r="AE12" t="s">
        <v>122</v>
      </c>
      <c r="AF12" s="1200">
        <v>40</v>
      </c>
      <c r="AG12" t="s">
        <v>122</v>
      </c>
      <c r="AH12" s="1200">
        <v>36.009</v>
      </c>
      <c r="AI12" t="s">
        <v>122</v>
      </c>
      <c r="AJ12" s="1200">
        <v>41</v>
      </c>
      <c r="AK12" t="s">
        <v>122</v>
      </c>
      <c r="AL12" s="1220">
        <v>47.338999999999999</v>
      </c>
      <c r="AM12" s="1221">
        <v>36</v>
      </c>
      <c r="AN12" s="1222">
        <v>41.033999999999999</v>
      </c>
      <c r="AO12" s="1227">
        <v>44</v>
      </c>
      <c r="AP12" s="1230">
        <v>49.335000000000001</v>
      </c>
      <c r="AQ12" s="1230"/>
      <c r="AR12" s="1229"/>
    </row>
    <row r="13" spans="1:44">
      <c r="A13" s="1118"/>
      <c r="B13" s="1215"/>
      <c r="C13" s="533"/>
      <c r="D13" s="533"/>
      <c r="E13" s="533"/>
      <c r="F13" s="533"/>
      <c r="G13" s="533"/>
      <c r="H13" s="533"/>
      <c r="I13" s="533"/>
      <c r="J13" s="1218"/>
      <c r="L13" s="533"/>
      <c r="M13" s="533"/>
      <c r="N13" s="533"/>
      <c r="O13" s="1200"/>
      <c r="P13" t="s">
        <v>123</v>
      </c>
      <c r="Q13" s="1200">
        <v>46</v>
      </c>
      <c r="R13" t="s">
        <v>124</v>
      </c>
      <c r="S13" s="533">
        <v>25</v>
      </c>
      <c r="T13" s="533">
        <v>20</v>
      </c>
      <c r="U13" s="1200">
        <v>22</v>
      </c>
      <c r="V13" t="s">
        <v>125</v>
      </c>
      <c r="W13" s="533">
        <v>12</v>
      </c>
      <c r="X13" s="1200">
        <v>12</v>
      </c>
      <c r="Y13" t="s">
        <v>125</v>
      </c>
      <c r="Z13" s="1200">
        <v>12</v>
      </c>
      <c r="AA13" t="s">
        <v>125</v>
      </c>
      <c r="AB13" s="1200">
        <v>11</v>
      </c>
      <c r="AC13" t="s">
        <v>125</v>
      </c>
      <c r="AD13" s="1200">
        <v>10.882999999999999</v>
      </c>
      <c r="AE13" t="s">
        <v>125</v>
      </c>
      <c r="AF13" s="1200">
        <v>10</v>
      </c>
      <c r="AG13" t="s">
        <v>125</v>
      </c>
      <c r="AH13" s="1200">
        <v>10.242000000000001</v>
      </c>
      <c r="AI13" t="s">
        <v>125</v>
      </c>
      <c r="AJ13" s="1200">
        <v>12</v>
      </c>
      <c r="AK13" t="s">
        <v>125</v>
      </c>
      <c r="AL13" s="1220">
        <v>11.18</v>
      </c>
      <c r="AM13" s="1221">
        <v>9</v>
      </c>
      <c r="AN13" s="1222">
        <v>7.7889999999999997</v>
      </c>
      <c r="AO13" s="1227">
        <v>7</v>
      </c>
      <c r="AP13" s="1230">
        <v>11.262</v>
      </c>
      <c r="AQ13" s="1230"/>
      <c r="AR13" s="1229"/>
    </row>
    <row r="14" spans="1:44">
      <c r="A14" s="1118"/>
      <c r="B14" s="1215" t="s">
        <v>126</v>
      </c>
      <c r="C14" s="533">
        <v>85</v>
      </c>
      <c r="D14" s="533">
        <v>86</v>
      </c>
      <c r="E14" s="533">
        <v>90</v>
      </c>
      <c r="F14" s="533">
        <v>69</v>
      </c>
      <c r="G14" s="533">
        <v>90</v>
      </c>
      <c r="H14" s="533">
        <v>96</v>
      </c>
      <c r="I14" s="533"/>
      <c r="J14" s="1218"/>
      <c r="L14" s="533"/>
      <c r="M14" s="533"/>
      <c r="N14" s="533"/>
      <c r="O14" s="1200"/>
      <c r="P14" t="s">
        <v>127</v>
      </c>
      <c r="Q14" s="1200">
        <v>607</v>
      </c>
      <c r="R14" t="s">
        <v>123</v>
      </c>
      <c r="S14" s="533">
        <v>54</v>
      </c>
      <c r="T14" s="533">
        <v>52</v>
      </c>
      <c r="U14" s="1200">
        <v>59</v>
      </c>
      <c r="W14" s="533"/>
      <c r="X14" s="1200">
        <v>0</v>
      </c>
      <c r="Z14" s="1200">
        <v>0</v>
      </c>
      <c r="AB14" s="1200">
        <v>0</v>
      </c>
      <c r="AD14" s="1200">
        <v>0</v>
      </c>
      <c r="AF14" s="1200">
        <v>0</v>
      </c>
      <c r="AH14" s="1200">
        <v>0</v>
      </c>
      <c r="AJ14" s="1200">
        <v>0</v>
      </c>
      <c r="AL14" s="1220">
        <v>0</v>
      </c>
      <c r="AM14" s="1221"/>
      <c r="AN14" s="1222"/>
      <c r="AO14" s="774"/>
      <c r="AP14" s="1230"/>
      <c r="AQ14" s="1230"/>
      <c r="AR14" s="1229"/>
    </row>
    <row r="15" spans="1:44">
      <c r="A15" s="809"/>
      <c r="B15" s="1216" t="s">
        <v>128</v>
      </c>
      <c r="C15" s="538">
        <v>1019</v>
      </c>
      <c r="D15" s="538">
        <v>982</v>
      </c>
      <c r="E15" s="538">
        <v>1004</v>
      </c>
      <c r="F15" s="538">
        <v>1072</v>
      </c>
      <c r="G15" s="538">
        <v>1166</v>
      </c>
      <c r="H15" s="538">
        <v>1311</v>
      </c>
      <c r="I15" s="538">
        <v>795</v>
      </c>
      <c r="J15" s="1219"/>
      <c r="K15" s="1123" t="s">
        <v>128</v>
      </c>
      <c r="L15" s="538">
        <v>883</v>
      </c>
      <c r="M15" s="538">
        <v>931.62800000000004</v>
      </c>
      <c r="N15" s="538">
        <v>953</v>
      </c>
      <c r="O15" s="1201">
        <v>1020</v>
      </c>
      <c r="P15" s="1123"/>
      <c r="Q15" s="1201">
        <v>1788</v>
      </c>
      <c r="R15" s="1123"/>
      <c r="S15" s="538">
        <v>1201</v>
      </c>
      <c r="T15" s="538">
        <v>1268</v>
      </c>
      <c r="U15" s="1201">
        <v>1334</v>
      </c>
      <c r="V15" s="1123"/>
      <c r="W15" s="538">
        <v>1364</v>
      </c>
      <c r="X15" s="1201">
        <v>1377</v>
      </c>
      <c r="Y15" s="1123"/>
      <c r="Z15" s="1201">
        <v>1428</v>
      </c>
      <c r="AA15" s="1123"/>
      <c r="AB15" s="1201">
        <v>1503</v>
      </c>
      <c r="AC15" s="1123"/>
      <c r="AD15" s="1201">
        <v>1533.14</v>
      </c>
      <c r="AE15" s="1123"/>
      <c r="AF15" s="1201">
        <v>1544</v>
      </c>
      <c r="AG15" s="1123"/>
      <c r="AH15" s="1201">
        <v>1586.2919999999999</v>
      </c>
      <c r="AI15" s="1123"/>
      <c r="AJ15" s="1201">
        <v>1650</v>
      </c>
      <c r="AK15" s="1123"/>
      <c r="AL15" s="1223">
        <v>1668.13</v>
      </c>
      <c r="AM15" s="1224">
        <f>SUM(AM6:AM13)</f>
        <v>1728</v>
      </c>
      <c r="AN15" s="1224">
        <v>1896.2850000000001</v>
      </c>
      <c r="AO15" s="1231">
        <f>SUM(AO6:AO14)</f>
        <v>1777</v>
      </c>
      <c r="AP15" s="1231">
        <f>SUM(AP6:AP14)</f>
        <v>1939.4490000000003</v>
      </c>
      <c r="AQ15" s="1123"/>
      <c r="AR15" s="1232"/>
    </row>
    <row r="16" spans="1:44">
      <c r="A16" s="1118" t="s">
        <v>129</v>
      </c>
      <c r="B16" s="1215" t="s">
        <v>98</v>
      </c>
      <c r="C16" s="533">
        <v>27180</v>
      </c>
      <c r="D16" s="533">
        <v>28513</v>
      </c>
      <c r="E16" s="533">
        <v>28932</v>
      </c>
      <c r="F16" s="533">
        <v>29381</v>
      </c>
      <c r="G16" s="533">
        <v>29196</v>
      </c>
      <c r="H16" s="533">
        <v>28829</v>
      </c>
      <c r="I16" s="533">
        <v>29350</v>
      </c>
      <c r="J16" s="1218">
        <v>29154</v>
      </c>
      <c r="K16" t="s">
        <v>130</v>
      </c>
      <c r="L16" s="533"/>
      <c r="M16" s="533">
        <v>38172</v>
      </c>
      <c r="N16" s="533">
        <v>41551</v>
      </c>
      <c r="O16" s="1200">
        <v>41467</v>
      </c>
      <c r="P16" t="s">
        <v>130</v>
      </c>
      <c r="Q16" s="1200">
        <v>42332</v>
      </c>
      <c r="R16" t="s">
        <v>130</v>
      </c>
      <c r="S16" s="533">
        <v>43493.512999999999</v>
      </c>
      <c r="T16" s="533">
        <v>45371</v>
      </c>
      <c r="U16" s="1200">
        <v>44939.735000000001</v>
      </c>
      <c r="V16" t="s">
        <v>130</v>
      </c>
      <c r="W16" s="533">
        <v>43839</v>
      </c>
      <c r="X16" s="1200">
        <v>43268.779000000002</v>
      </c>
      <c r="Y16" t="s">
        <v>130</v>
      </c>
      <c r="Z16" s="1200">
        <v>44604</v>
      </c>
      <c r="AA16" t="s">
        <v>130</v>
      </c>
      <c r="AB16" s="1200">
        <v>44615</v>
      </c>
      <c r="AC16" t="s">
        <v>130</v>
      </c>
      <c r="AD16" s="1200">
        <v>47106</v>
      </c>
      <c r="AE16" t="s">
        <v>130</v>
      </c>
      <c r="AF16" s="1200">
        <v>46381</v>
      </c>
      <c r="AG16" t="s">
        <v>130</v>
      </c>
      <c r="AH16" s="1200">
        <v>47155</v>
      </c>
      <c r="AI16" t="s">
        <v>130</v>
      </c>
      <c r="AJ16" s="1200">
        <v>50044</v>
      </c>
      <c r="AK16" t="s">
        <v>130</v>
      </c>
      <c r="AL16" s="1220">
        <v>52819.661</v>
      </c>
      <c r="AM16" s="1221">
        <v>52898</v>
      </c>
      <c r="AN16" s="1222">
        <v>51693</v>
      </c>
      <c r="AO16" s="1233">
        <v>49745</v>
      </c>
      <c r="AP16" s="1228">
        <v>50192.207000000002</v>
      </c>
      <c r="AQ16" s="1228" t="s">
        <v>521</v>
      </c>
      <c r="AR16" s="1229">
        <f>'[2]Chapter 2'!$O$90</f>
        <v>50659.455999999998</v>
      </c>
    </row>
    <row r="17" spans="1:44">
      <c r="A17" s="1118" t="s">
        <v>131</v>
      </c>
      <c r="B17" s="1215" t="s">
        <v>132</v>
      </c>
      <c r="C17" s="533">
        <v>27598</v>
      </c>
      <c r="D17" s="533">
        <v>30474</v>
      </c>
      <c r="E17" s="533">
        <v>32132</v>
      </c>
      <c r="F17" s="533">
        <v>34384</v>
      </c>
      <c r="G17" s="533">
        <v>35661</v>
      </c>
      <c r="H17" s="533">
        <v>35625</v>
      </c>
      <c r="I17" s="533">
        <v>28063</v>
      </c>
      <c r="J17" s="1218">
        <v>27996</v>
      </c>
      <c r="K17" t="s">
        <v>133</v>
      </c>
      <c r="L17" s="533"/>
      <c r="M17" s="533">
        <v>23148</v>
      </c>
      <c r="N17" s="533">
        <v>21829</v>
      </c>
      <c r="O17" s="1200">
        <v>22113</v>
      </c>
      <c r="P17" t="s">
        <v>133</v>
      </c>
      <c r="Q17" s="1200">
        <v>24107</v>
      </c>
      <c r="R17" t="s">
        <v>133</v>
      </c>
      <c r="S17" s="533">
        <v>23220.734</v>
      </c>
      <c r="T17" s="533">
        <v>24347</v>
      </c>
      <c r="U17" s="1200">
        <v>25485.462</v>
      </c>
      <c r="V17" t="s">
        <v>133</v>
      </c>
      <c r="W17" s="533">
        <v>25667</v>
      </c>
      <c r="X17" s="1200">
        <v>25935.359</v>
      </c>
      <c r="Y17" t="s">
        <v>133</v>
      </c>
      <c r="Z17" s="1200">
        <v>27685</v>
      </c>
      <c r="AA17" t="s">
        <v>133</v>
      </c>
      <c r="AB17" s="1200">
        <v>30848</v>
      </c>
      <c r="AC17" t="s">
        <v>133</v>
      </c>
      <c r="AD17" s="1200">
        <v>39533</v>
      </c>
      <c r="AE17" t="s">
        <v>133</v>
      </c>
      <c r="AF17" s="1200">
        <v>41344</v>
      </c>
      <c r="AG17" t="s">
        <v>133</v>
      </c>
      <c r="AH17" s="1200">
        <v>41035</v>
      </c>
      <c r="AI17" t="s">
        <v>133</v>
      </c>
      <c r="AJ17" s="1200">
        <v>41154.5</v>
      </c>
      <c r="AK17" t="s">
        <v>133</v>
      </c>
      <c r="AL17" s="1220">
        <v>41456.321000000004</v>
      </c>
      <c r="AM17" s="1221">
        <v>42708</v>
      </c>
      <c r="AN17" s="1222">
        <v>37576</v>
      </c>
      <c r="AO17" s="1227">
        <v>37486</v>
      </c>
      <c r="AP17" s="1230">
        <v>39802.6</v>
      </c>
      <c r="AQ17" s="1230" t="s">
        <v>515</v>
      </c>
      <c r="AR17" s="1229">
        <f>'[2]Chapter 2'!$O$91</f>
        <v>40804.535000000003</v>
      </c>
    </row>
    <row r="18" spans="1:44">
      <c r="A18" s="1118"/>
      <c r="B18" s="1215" t="s">
        <v>134</v>
      </c>
      <c r="C18" s="533">
        <v>8717</v>
      </c>
      <c r="D18" s="533">
        <v>10177</v>
      </c>
      <c r="E18" s="533">
        <v>8900</v>
      </c>
      <c r="F18" s="533">
        <v>4844</v>
      </c>
      <c r="G18" s="533">
        <v>12819</v>
      </c>
      <c r="H18" s="533">
        <v>16999</v>
      </c>
      <c r="I18" s="533">
        <v>23928</v>
      </c>
      <c r="J18" s="1218">
        <v>23674</v>
      </c>
      <c r="K18" t="s">
        <v>135</v>
      </c>
      <c r="L18" s="533"/>
      <c r="M18" s="533">
        <v>11807</v>
      </c>
      <c r="N18" s="533">
        <v>10705</v>
      </c>
      <c r="O18" s="1200">
        <v>9807</v>
      </c>
      <c r="P18" t="s">
        <v>135</v>
      </c>
      <c r="Q18" s="1200">
        <v>9497</v>
      </c>
      <c r="R18" t="s">
        <v>135</v>
      </c>
      <c r="S18" s="533">
        <v>9043.0249999999996</v>
      </c>
      <c r="T18" s="533">
        <v>9102</v>
      </c>
      <c r="U18" s="1200">
        <v>8945.5840000000007</v>
      </c>
      <c r="V18" t="s">
        <v>135</v>
      </c>
      <c r="W18" s="533">
        <v>8702</v>
      </c>
      <c r="X18" s="1200">
        <v>8476.0949999999993</v>
      </c>
      <c r="Y18" t="s">
        <v>135</v>
      </c>
      <c r="Z18" s="1200">
        <v>10998</v>
      </c>
      <c r="AA18" t="s">
        <v>135</v>
      </c>
      <c r="AB18" s="1200">
        <v>14282</v>
      </c>
      <c r="AC18" t="s">
        <v>135</v>
      </c>
      <c r="AD18" s="1200">
        <v>15860</v>
      </c>
      <c r="AE18" t="s">
        <v>135</v>
      </c>
      <c r="AF18" s="1200">
        <v>14027</v>
      </c>
      <c r="AG18" t="s">
        <v>135</v>
      </c>
      <c r="AH18" s="1200">
        <v>14261</v>
      </c>
      <c r="AI18" t="s">
        <v>135</v>
      </c>
      <c r="AJ18" s="1200">
        <v>13724.6</v>
      </c>
      <c r="AK18" t="s">
        <v>135</v>
      </c>
      <c r="AL18" s="1220">
        <v>13639.433999999999</v>
      </c>
      <c r="AM18" s="1221">
        <v>13275</v>
      </c>
      <c r="AN18" s="1222">
        <v>11488</v>
      </c>
      <c r="AO18" s="1227">
        <v>10264</v>
      </c>
      <c r="AP18" s="1230">
        <v>10110.179</v>
      </c>
      <c r="AQ18" s="1230" t="s">
        <v>514</v>
      </c>
      <c r="AR18" s="1229">
        <f>'[2]Chapter 2'!$O$92</f>
        <v>11133.79</v>
      </c>
    </row>
    <row r="19" spans="1:44">
      <c r="A19" s="1118"/>
      <c r="B19" s="1215" t="s">
        <v>136</v>
      </c>
      <c r="C19" s="533">
        <v>6029</v>
      </c>
      <c r="D19" s="533">
        <v>3829</v>
      </c>
      <c r="E19" s="533">
        <v>12700</v>
      </c>
      <c r="F19" s="533">
        <v>9792</v>
      </c>
      <c r="G19" s="533">
        <v>2810</v>
      </c>
      <c r="H19" s="533">
        <v>2041</v>
      </c>
      <c r="I19" s="533">
        <v>6454</v>
      </c>
      <c r="J19" s="1218">
        <v>7041</v>
      </c>
      <c r="K19" t="s">
        <v>137</v>
      </c>
      <c r="L19" s="533"/>
      <c r="M19" s="533">
        <v>4322</v>
      </c>
      <c r="N19" s="533">
        <v>2156</v>
      </c>
      <c r="O19" s="1200">
        <v>1932</v>
      </c>
      <c r="P19" t="s">
        <v>137</v>
      </c>
      <c r="Q19" s="1200">
        <v>1804</v>
      </c>
      <c r="R19" t="s">
        <v>137</v>
      </c>
      <c r="S19" s="533">
        <v>1606.18</v>
      </c>
      <c r="T19" s="533">
        <v>1367</v>
      </c>
      <c r="U19" s="1200">
        <v>1162.4179999999999</v>
      </c>
      <c r="V19" t="s">
        <v>137</v>
      </c>
      <c r="W19" s="533">
        <v>1058</v>
      </c>
      <c r="X19" s="1200">
        <v>978.67499999999995</v>
      </c>
      <c r="Y19" t="s">
        <v>137</v>
      </c>
      <c r="Z19" s="1200">
        <v>262</v>
      </c>
      <c r="AA19" t="s">
        <v>137</v>
      </c>
      <c r="AB19" s="1200">
        <v>271</v>
      </c>
      <c r="AC19" t="s">
        <v>137</v>
      </c>
      <c r="AD19" s="1200">
        <v>276</v>
      </c>
      <c r="AE19" t="s">
        <v>137</v>
      </c>
      <c r="AF19" s="1200">
        <v>182</v>
      </c>
      <c r="AG19" t="s">
        <v>137</v>
      </c>
      <c r="AH19" s="1200">
        <v>199</v>
      </c>
      <c r="AI19" t="s">
        <v>137</v>
      </c>
      <c r="AJ19" s="1200">
        <v>165.3</v>
      </c>
      <c r="AK19" t="s">
        <v>137</v>
      </c>
      <c r="AL19" s="1220">
        <v>174.92699999999999</v>
      </c>
      <c r="AM19" s="1221">
        <v>144</v>
      </c>
      <c r="AN19" s="1222">
        <v>118</v>
      </c>
      <c r="AO19" s="1227">
        <v>117</v>
      </c>
      <c r="AP19" s="1230">
        <v>21.045000000000002</v>
      </c>
      <c r="AQ19" s="1230" t="s">
        <v>516</v>
      </c>
      <c r="AR19" s="1229">
        <f>'[2]Chapter 2'!$O$93</f>
        <v>16.606000000000002</v>
      </c>
    </row>
    <row r="20" spans="1:44">
      <c r="A20" s="1118"/>
      <c r="B20" s="1215" t="s">
        <v>138</v>
      </c>
      <c r="C20" s="533">
        <v>2221</v>
      </c>
      <c r="D20" s="533">
        <v>3264</v>
      </c>
      <c r="E20" s="533">
        <v>2502</v>
      </c>
      <c r="F20" s="533">
        <v>6304</v>
      </c>
      <c r="G20" s="533">
        <v>9196</v>
      </c>
      <c r="H20" s="533">
        <v>6199</v>
      </c>
      <c r="I20" s="533">
        <v>5716</v>
      </c>
      <c r="J20" s="1218">
        <v>5885</v>
      </c>
      <c r="K20" t="s">
        <v>139</v>
      </c>
      <c r="L20" s="533"/>
      <c r="M20" s="533">
        <v>52933</v>
      </c>
      <c r="N20" s="533">
        <v>26986</v>
      </c>
      <c r="O20" s="1200">
        <v>29171</v>
      </c>
      <c r="P20" t="s">
        <v>140</v>
      </c>
      <c r="Q20" s="1200">
        <v>25455</v>
      </c>
      <c r="R20" t="s">
        <v>140</v>
      </c>
      <c r="S20" s="533">
        <v>30212.365000000002</v>
      </c>
      <c r="T20" s="533">
        <v>25654</v>
      </c>
      <c r="U20" s="1200">
        <v>24255.370999999999</v>
      </c>
      <c r="V20" t="s">
        <v>140</v>
      </c>
      <c r="W20" s="533">
        <v>25535</v>
      </c>
      <c r="X20" s="1200">
        <v>24246.012999999999</v>
      </c>
      <c r="Y20" t="s">
        <v>140</v>
      </c>
      <c r="Z20" s="1200">
        <v>24219</v>
      </c>
      <c r="AA20" t="s">
        <v>140</v>
      </c>
      <c r="AB20" s="1200">
        <v>26038</v>
      </c>
      <c r="AC20" t="s">
        <v>140</v>
      </c>
      <c r="AD20" s="1200">
        <v>26184</v>
      </c>
      <c r="AE20" t="s">
        <v>140</v>
      </c>
      <c r="AF20" s="1200">
        <v>29204</v>
      </c>
      <c r="AG20" t="s">
        <v>140</v>
      </c>
      <c r="AH20" s="1200">
        <v>29577</v>
      </c>
      <c r="AI20" t="s">
        <v>140</v>
      </c>
      <c r="AJ20" s="1200">
        <v>34710.1</v>
      </c>
      <c r="AK20" t="s">
        <v>140</v>
      </c>
      <c r="AL20" s="1220">
        <v>35998.322999999997</v>
      </c>
      <c r="AM20" s="1221">
        <v>40847</v>
      </c>
      <c r="AN20" s="1222">
        <v>39637</v>
      </c>
      <c r="AO20" s="1227">
        <v>35221</v>
      </c>
      <c r="AP20" s="1230">
        <v>34102.870999999999</v>
      </c>
      <c r="AQ20" s="1230" t="s">
        <v>517</v>
      </c>
      <c r="AR20" s="1229">
        <f>'[2]Chapter 2'!$O$94</f>
        <v>36832.500999999997</v>
      </c>
    </row>
    <row r="21" spans="1:44">
      <c r="A21" s="1118"/>
      <c r="B21" s="1215" t="s">
        <v>141</v>
      </c>
      <c r="C21" s="533"/>
      <c r="D21" s="533">
        <v>7968</v>
      </c>
      <c r="E21" s="533">
        <v>3283</v>
      </c>
      <c r="F21" s="533">
        <v>4633</v>
      </c>
      <c r="G21" s="533">
        <v>5753</v>
      </c>
      <c r="H21" s="533">
        <v>2011</v>
      </c>
      <c r="I21" s="533">
        <v>2494</v>
      </c>
      <c r="J21" s="1218">
        <v>2611</v>
      </c>
      <c r="K21" t="s">
        <v>142</v>
      </c>
      <c r="L21" s="533"/>
      <c r="M21" s="533">
        <v>1008</v>
      </c>
      <c r="N21" s="533">
        <v>981</v>
      </c>
      <c r="O21" s="1200">
        <v>886</v>
      </c>
      <c r="P21" t="s">
        <v>142</v>
      </c>
      <c r="Q21" s="1200">
        <v>1233</v>
      </c>
      <c r="R21" t="s">
        <v>142</v>
      </c>
      <c r="S21" s="533">
        <v>1225.6410000000001</v>
      </c>
      <c r="T21" s="533">
        <v>976</v>
      </c>
      <c r="U21" s="1200">
        <v>1210.643</v>
      </c>
      <c r="V21" t="s">
        <v>142</v>
      </c>
      <c r="W21" s="533">
        <v>665</v>
      </c>
      <c r="X21" s="1200">
        <v>568.12900000000002</v>
      </c>
      <c r="Y21" t="s">
        <v>142</v>
      </c>
      <c r="Z21" s="1200">
        <v>548</v>
      </c>
      <c r="AA21" t="s">
        <v>142</v>
      </c>
      <c r="AB21" s="1200">
        <v>327</v>
      </c>
      <c r="AC21" t="s">
        <v>142</v>
      </c>
      <c r="AD21" s="1200">
        <v>677</v>
      </c>
      <c r="AE21" t="s">
        <v>142</v>
      </c>
      <c r="AF21" s="1200">
        <v>1366</v>
      </c>
      <c r="AG21" t="s">
        <v>142</v>
      </c>
      <c r="AH21" s="1200">
        <v>2677</v>
      </c>
      <c r="AI21" t="s">
        <v>142</v>
      </c>
      <c r="AJ21" s="1200">
        <v>3066.1</v>
      </c>
      <c r="AK21" t="s">
        <v>142</v>
      </c>
      <c r="AL21" s="1220">
        <v>7593.1869999999999</v>
      </c>
      <c r="AM21" s="1221">
        <v>2703</v>
      </c>
      <c r="AN21" s="1222">
        <v>4380</v>
      </c>
      <c r="AO21" s="1227">
        <v>10289</v>
      </c>
      <c r="AP21" s="1230">
        <v>431.51</v>
      </c>
      <c r="AQ21" s="1230" t="s">
        <v>518</v>
      </c>
      <c r="AR21" s="1229">
        <f>'[2]Chapter 2'!$O$95</f>
        <v>1024.2929999999999</v>
      </c>
    </row>
    <row r="22" spans="1:44">
      <c r="A22" s="1118"/>
      <c r="B22" s="1215" t="s">
        <v>143</v>
      </c>
      <c r="C22" s="533"/>
      <c r="D22" s="533"/>
      <c r="E22" s="533"/>
      <c r="F22" s="533"/>
      <c r="G22" s="533"/>
      <c r="H22" s="533"/>
      <c r="I22" s="533">
        <v>5502</v>
      </c>
      <c r="J22" s="1218">
        <v>5508</v>
      </c>
      <c r="K22" t="s">
        <v>144</v>
      </c>
      <c r="L22" s="533"/>
      <c r="M22" s="533">
        <v>9605</v>
      </c>
      <c r="N22" s="533">
        <v>12915</v>
      </c>
      <c r="O22" s="1200">
        <v>12773</v>
      </c>
      <c r="P22" t="s">
        <v>145</v>
      </c>
      <c r="Q22" s="1200">
        <v>14232</v>
      </c>
      <c r="R22" t="s">
        <v>145</v>
      </c>
      <c r="S22" s="533">
        <v>13658.602999999999</v>
      </c>
      <c r="T22" s="533">
        <v>13249</v>
      </c>
      <c r="U22" s="1200">
        <v>12786.54</v>
      </c>
      <c r="V22" t="s">
        <v>145</v>
      </c>
      <c r="W22" s="533">
        <v>9636</v>
      </c>
      <c r="X22" s="1200">
        <v>9537.3940000000002</v>
      </c>
      <c r="Y22" t="s">
        <v>145</v>
      </c>
      <c r="Z22" s="1200">
        <v>9312</v>
      </c>
      <c r="AA22" t="s">
        <v>145</v>
      </c>
      <c r="AB22" s="1200">
        <v>9485</v>
      </c>
      <c r="AC22" t="s">
        <v>145</v>
      </c>
      <c r="AD22" s="1200">
        <v>10594</v>
      </c>
      <c r="AE22" t="s">
        <v>145</v>
      </c>
      <c r="AF22" s="1200">
        <v>11939</v>
      </c>
      <c r="AG22" t="s">
        <v>145</v>
      </c>
      <c r="AH22" s="1200">
        <v>12141</v>
      </c>
      <c r="AI22" t="s">
        <v>145</v>
      </c>
      <c r="AJ22" s="1200">
        <v>12140.2</v>
      </c>
      <c r="AK22" t="s">
        <v>145</v>
      </c>
      <c r="AL22" s="1220">
        <v>12229.027</v>
      </c>
      <c r="AM22" s="1221">
        <v>12164</v>
      </c>
      <c r="AN22" s="1222">
        <v>11110</v>
      </c>
      <c r="AO22" s="1227">
        <v>10761</v>
      </c>
      <c r="AP22" s="1230">
        <v>10560.922</v>
      </c>
      <c r="AQ22" s="1230" t="s">
        <v>519</v>
      </c>
      <c r="AR22" s="1229">
        <f>'[2]Chapter 2'!$O$96</f>
        <v>11554.071</v>
      </c>
    </row>
    <row r="23" spans="1:44">
      <c r="A23" s="1118"/>
      <c r="B23" s="1215" t="s">
        <v>126</v>
      </c>
      <c r="C23" s="533">
        <v>7255</v>
      </c>
      <c r="D23" s="533">
        <v>2875</v>
      </c>
      <c r="E23" s="533">
        <v>6651</v>
      </c>
      <c r="F23" s="533">
        <v>9962</v>
      </c>
      <c r="G23" s="533">
        <v>8665</v>
      </c>
      <c r="H23" s="533">
        <v>15667</v>
      </c>
      <c r="I23" s="533">
        <v>9354</v>
      </c>
      <c r="J23" s="1218">
        <v>13749</v>
      </c>
      <c r="K23" t="s">
        <v>126</v>
      </c>
      <c r="L23" s="533"/>
      <c r="M23" s="533">
        <v>646</v>
      </c>
      <c r="N23" s="533">
        <v>431</v>
      </c>
      <c r="O23" s="1200">
        <v>432</v>
      </c>
      <c r="P23" t="s">
        <v>126</v>
      </c>
      <c r="Q23" s="1200">
        <v>342</v>
      </c>
      <c r="R23" t="s">
        <v>126</v>
      </c>
      <c r="S23" s="533">
        <v>340.279</v>
      </c>
      <c r="T23" s="533">
        <v>300</v>
      </c>
      <c r="U23" s="1200">
        <v>300</v>
      </c>
      <c r="V23" t="s">
        <v>126</v>
      </c>
      <c r="W23" s="533">
        <v>300</v>
      </c>
      <c r="X23" s="1200">
        <v>300</v>
      </c>
      <c r="Y23" t="s">
        <v>126</v>
      </c>
      <c r="Z23" s="1200">
        <v>200</v>
      </c>
      <c r="AA23" t="s">
        <v>126</v>
      </c>
      <c r="AB23" s="1200">
        <v>200</v>
      </c>
      <c r="AC23" t="s">
        <v>126</v>
      </c>
      <c r="AD23" s="1200">
        <v>200</v>
      </c>
      <c r="AE23" t="s">
        <v>126</v>
      </c>
      <c r="AF23" s="1200">
        <v>200</v>
      </c>
      <c r="AG23" t="s">
        <v>126</v>
      </c>
      <c r="AH23" s="1200">
        <v>200</v>
      </c>
      <c r="AI23" t="s">
        <v>126</v>
      </c>
      <c r="AJ23" s="1200">
        <v>200</v>
      </c>
      <c r="AK23" t="s">
        <v>126</v>
      </c>
      <c r="AL23" s="1220">
        <v>200</v>
      </c>
      <c r="AM23" s="1221">
        <v>200</v>
      </c>
      <c r="AN23" s="1222">
        <v>200</v>
      </c>
      <c r="AO23" s="1227">
        <v>200</v>
      </c>
      <c r="AP23" s="1230">
        <v>200</v>
      </c>
      <c r="AQ23" s="1230" t="s">
        <v>520</v>
      </c>
      <c r="AR23" s="1229">
        <f>'[2]Chapter 2'!$O$97</f>
        <v>100</v>
      </c>
    </row>
    <row r="24" spans="1:44">
      <c r="A24" s="809"/>
      <c r="B24" s="1216" t="s">
        <v>128</v>
      </c>
      <c r="C24" s="538">
        <v>79000</v>
      </c>
      <c r="D24" s="538">
        <v>87100</v>
      </c>
      <c r="E24" s="538">
        <v>95100</v>
      </c>
      <c r="F24" s="538">
        <v>99300</v>
      </c>
      <c r="G24" s="538">
        <v>104100</v>
      </c>
      <c r="H24" s="538">
        <v>107371</v>
      </c>
      <c r="I24" s="538">
        <v>110861</v>
      </c>
      <c r="J24" s="1219">
        <v>115618</v>
      </c>
      <c r="K24" s="1123"/>
      <c r="L24" s="538"/>
      <c r="M24" s="538">
        <v>141641</v>
      </c>
      <c r="N24" s="538">
        <v>117554</v>
      </c>
      <c r="O24" s="1201">
        <v>118581</v>
      </c>
      <c r="P24" s="1123"/>
      <c r="Q24" s="1201">
        <v>119002</v>
      </c>
      <c r="R24" s="1123"/>
      <c r="S24" s="538">
        <v>122800.34</v>
      </c>
      <c r="T24" s="538">
        <v>120366</v>
      </c>
      <c r="U24" s="1201">
        <v>119085.753</v>
      </c>
      <c r="V24" s="1123"/>
      <c r="W24" s="538">
        <v>115402</v>
      </c>
      <c r="X24" s="1201">
        <v>113310.444</v>
      </c>
      <c r="Y24" s="1123"/>
      <c r="Z24" s="1201">
        <v>117828</v>
      </c>
      <c r="AA24" s="1123"/>
      <c r="AB24" s="1201">
        <v>126066</v>
      </c>
      <c r="AC24" s="1123"/>
      <c r="AD24" s="1201">
        <v>140430</v>
      </c>
      <c r="AE24" s="1123"/>
      <c r="AF24" s="1201">
        <v>144643</v>
      </c>
      <c r="AG24" s="1123"/>
      <c r="AH24" s="1201">
        <v>147245</v>
      </c>
      <c r="AI24" s="1123"/>
      <c r="AJ24" s="1201">
        <v>155204.79999999999</v>
      </c>
      <c r="AK24" s="1123"/>
      <c r="AL24" s="1223">
        <v>164110.88</v>
      </c>
      <c r="AM24" s="1224">
        <v>164939</v>
      </c>
      <c r="AN24" s="1225">
        <v>156202</v>
      </c>
      <c r="AO24" s="1231">
        <f>SUM(AO16:AO23)</f>
        <v>154083</v>
      </c>
      <c r="AP24" s="1231">
        <f>SUM(AP16:AP23)</f>
        <v>145421.334</v>
      </c>
      <c r="AQ24" s="1123"/>
      <c r="AR24" s="1232">
        <f>SUM(AR16:AR23)</f>
        <v>152125.25200000001</v>
      </c>
    </row>
    <row r="25" spans="1:44">
      <c r="A25" s="1118" t="s">
        <v>146</v>
      </c>
      <c r="B25" s="1215"/>
      <c r="C25" s="533"/>
      <c r="D25" s="533"/>
      <c r="E25" s="533"/>
      <c r="F25" s="533"/>
      <c r="G25" s="533"/>
      <c r="H25" s="533"/>
      <c r="I25" s="533"/>
      <c r="J25" s="1218"/>
      <c r="L25" s="533"/>
      <c r="M25" s="533"/>
      <c r="N25" s="533"/>
      <c r="O25" s="1200"/>
      <c r="Q25" s="1200"/>
      <c r="R25" t="s">
        <v>147</v>
      </c>
      <c r="S25" s="533">
        <v>79321</v>
      </c>
      <c r="T25" s="533">
        <v>80787</v>
      </c>
      <c r="U25" s="1200">
        <v>83203</v>
      </c>
      <c r="V25" t="s">
        <v>147</v>
      </c>
      <c r="W25" s="533">
        <v>93864</v>
      </c>
      <c r="X25" s="1200">
        <v>102701</v>
      </c>
      <c r="Y25" t="s">
        <v>148</v>
      </c>
      <c r="Z25" s="1200">
        <v>112281</v>
      </c>
      <c r="AA25" t="s">
        <v>148</v>
      </c>
      <c r="AB25" s="1200">
        <v>114791</v>
      </c>
      <c r="AC25" t="s">
        <v>148</v>
      </c>
      <c r="AD25" s="1200">
        <v>118668</v>
      </c>
      <c r="AE25" t="s">
        <v>148</v>
      </c>
      <c r="AF25" s="1200">
        <v>127341</v>
      </c>
      <c r="AG25" t="s">
        <v>148</v>
      </c>
      <c r="AH25" s="1200">
        <v>127782</v>
      </c>
      <c r="AI25" t="s">
        <v>148</v>
      </c>
      <c r="AJ25" s="1200">
        <v>134852</v>
      </c>
      <c r="AK25" t="s">
        <v>148</v>
      </c>
      <c r="AL25" s="1220">
        <v>137443</v>
      </c>
      <c r="AM25" s="1221">
        <v>141467</v>
      </c>
      <c r="AN25" s="1222">
        <v>156455</v>
      </c>
      <c r="AO25" s="1233">
        <v>157257</v>
      </c>
      <c r="AP25" s="530">
        <v>160354</v>
      </c>
      <c r="AQ25" s="1230" t="s">
        <v>522</v>
      </c>
      <c r="AR25" s="1229">
        <v>165818</v>
      </c>
    </row>
    <row r="26" spans="1:44">
      <c r="A26" s="1118" t="s">
        <v>149</v>
      </c>
      <c r="B26" s="1215"/>
      <c r="C26" s="533"/>
      <c r="D26" s="533"/>
      <c r="E26" s="533"/>
      <c r="F26" s="533"/>
      <c r="G26" s="533"/>
      <c r="H26" s="533"/>
      <c r="I26" s="533"/>
      <c r="J26" s="1218"/>
      <c r="L26" s="533"/>
      <c r="M26" s="533"/>
      <c r="N26" s="533"/>
      <c r="O26" s="1200"/>
      <c r="Q26" s="1200"/>
      <c r="R26" t="s">
        <v>150</v>
      </c>
      <c r="S26" s="533">
        <v>120774</v>
      </c>
      <c r="T26" s="533">
        <v>136223</v>
      </c>
      <c r="U26" s="1200">
        <v>129508</v>
      </c>
      <c r="V26" t="s">
        <v>150</v>
      </c>
      <c r="W26" s="533">
        <v>151313</v>
      </c>
      <c r="X26" s="1200">
        <v>165610</v>
      </c>
      <c r="Y26" t="s">
        <v>151</v>
      </c>
      <c r="Z26" s="1200">
        <v>70998</v>
      </c>
      <c r="AA26" t="s">
        <v>151</v>
      </c>
      <c r="AB26" s="1200">
        <v>67195</v>
      </c>
      <c r="AC26" t="s">
        <v>151</v>
      </c>
      <c r="AD26" s="1200">
        <v>115448</v>
      </c>
      <c r="AE26" t="s">
        <v>151</v>
      </c>
      <c r="AF26" s="1200">
        <v>187085</v>
      </c>
      <c r="AG26" t="s">
        <v>151</v>
      </c>
      <c r="AH26" s="1200">
        <v>230126</v>
      </c>
      <c r="AI26" t="s">
        <v>151</v>
      </c>
      <c r="AJ26" s="1200">
        <v>271061</v>
      </c>
      <c r="AK26" t="s">
        <v>151</v>
      </c>
      <c r="AL26" s="1220">
        <v>217318</v>
      </c>
      <c r="AM26" s="1221">
        <v>137678</v>
      </c>
      <c r="AN26" s="1222">
        <v>114044</v>
      </c>
      <c r="AO26" s="1227">
        <v>246371</v>
      </c>
      <c r="AP26" s="533">
        <v>328382</v>
      </c>
      <c r="AQ26" s="1230" t="s">
        <v>523</v>
      </c>
      <c r="AR26" s="1229">
        <v>243728</v>
      </c>
    </row>
    <row r="27" spans="1:44">
      <c r="A27" s="1118"/>
      <c r="B27" s="1215"/>
      <c r="C27" s="533"/>
      <c r="D27" s="533"/>
      <c r="E27" s="533"/>
      <c r="F27" s="533"/>
      <c r="G27" s="533"/>
      <c r="H27" s="533"/>
      <c r="I27" s="533"/>
      <c r="J27" s="1218"/>
      <c r="L27" s="533"/>
      <c r="M27" s="533"/>
      <c r="N27" s="533"/>
      <c r="O27" s="1200"/>
      <c r="Q27" s="1200"/>
      <c r="R27" t="s">
        <v>152</v>
      </c>
      <c r="S27" s="533">
        <v>42115</v>
      </c>
      <c r="T27" s="533">
        <v>55856</v>
      </c>
      <c r="U27" s="1200">
        <v>64819</v>
      </c>
      <c r="V27" t="s">
        <v>152</v>
      </c>
      <c r="W27" s="533">
        <v>62376</v>
      </c>
      <c r="X27" s="1200">
        <v>67478</v>
      </c>
      <c r="Y27" t="s">
        <v>153</v>
      </c>
      <c r="Z27" s="1200">
        <v>234742</v>
      </c>
      <c r="AA27" t="s">
        <v>153</v>
      </c>
      <c r="AB27" s="1200">
        <v>264447</v>
      </c>
      <c r="AC27" t="s">
        <v>153</v>
      </c>
      <c r="AD27" s="1200">
        <v>273954</v>
      </c>
      <c r="AE27" t="s">
        <v>153</v>
      </c>
      <c r="AF27" s="1200">
        <v>263331</v>
      </c>
      <c r="AG27" t="s">
        <v>153</v>
      </c>
      <c r="AH27" s="1200">
        <v>262589</v>
      </c>
      <c r="AI27" t="s">
        <v>153</v>
      </c>
      <c r="AJ27" s="1200">
        <v>279758</v>
      </c>
      <c r="AK27" t="s">
        <v>153</v>
      </c>
      <c r="AL27" s="1220">
        <v>289746</v>
      </c>
      <c r="AM27" s="1221">
        <v>338976</v>
      </c>
      <c r="AN27" s="1222">
        <v>352677</v>
      </c>
      <c r="AO27" s="1227">
        <v>373786</v>
      </c>
      <c r="AP27" s="533">
        <v>361817</v>
      </c>
      <c r="AQ27" s="1230" t="s">
        <v>524</v>
      </c>
      <c r="AR27" s="1229">
        <v>364681</v>
      </c>
    </row>
    <row r="28" spans="1:44">
      <c r="A28" s="1118"/>
      <c r="B28" s="1215"/>
      <c r="C28" s="533"/>
      <c r="D28" s="533"/>
      <c r="E28" s="533"/>
      <c r="F28" s="533"/>
      <c r="G28" s="533"/>
      <c r="H28" s="533"/>
      <c r="I28" s="533"/>
      <c r="J28" s="1218"/>
      <c r="L28" s="533"/>
      <c r="M28" s="533"/>
      <c r="N28" s="533"/>
      <c r="O28" s="1200"/>
      <c r="Q28" s="1200"/>
      <c r="R28" t="s">
        <v>154</v>
      </c>
      <c r="S28" s="533">
        <v>13333</v>
      </c>
      <c r="T28" s="533">
        <v>45791</v>
      </c>
      <c r="U28" s="1200">
        <v>48487</v>
      </c>
      <c r="V28" t="s">
        <v>154</v>
      </c>
      <c r="W28" s="533">
        <v>30000</v>
      </c>
      <c r="X28" s="1200">
        <v>51929</v>
      </c>
      <c r="Y28" t="s">
        <v>155</v>
      </c>
      <c r="Z28" s="1200">
        <v>14715</v>
      </c>
      <c r="AA28" t="s">
        <v>155</v>
      </c>
      <c r="AB28" s="1200">
        <v>14867</v>
      </c>
      <c r="AC28" t="s">
        <v>155</v>
      </c>
      <c r="AD28" s="1200">
        <v>17558</v>
      </c>
      <c r="AE28" t="s">
        <v>155</v>
      </c>
      <c r="AF28" s="1200">
        <v>15902</v>
      </c>
      <c r="AG28" t="s">
        <v>155</v>
      </c>
      <c r="AH28" s="1200">
        <v>16391</v>
      </c>
      <c r="AI28" t="s">
        <v>155</v>
      </c>
      <c r="AJ28" s="1200">
        <v>16607</v>
      </c>
      <c r="AK28" t="s">
        <v>155</v>
      </c>
      <c r="AL28" s="1220">
        <v>17043</v>
      </c>
      <c r="AM28" s="1221">
        <v>17284</v>
      </c>
      <c r="AN28" s="1222">
        <v>16132</v>
      </c>
      <c r="AO28" s="1227">
        <v>16402</v>
      </c>
      <c r="AP28" s="533">
        <v>16667</v>
      </c>
      <c r="AQ28" s="1230" t="s">
        <v>513</v>
      </c>
      <c r="AR28" s="1229">
        <v>18031</v>
      </c>
    </row>
    <row r="29" spans="1:44">
      <c r="A29" s="1118"/>
      <c r="B29" s="1215"/>
      <c r="C29" s="533"/>
      <c r="D29" s="533"/>
      <c r="E29" s="533"/>
      <c r="F29" s="533"/>
      <c r="G29" s="533"/>
      <c r="H29" s="533"/>
      <c r="I29" s="533"/>
      <c r="J29" s="1218"/>
      <c r="L29" s="533"/>
      <c r="M29" s="533"/>
      <c r="N29" s="533"/>
      <c r="O29" s="1200"/>
      <c r="Q29" s="1200"/>
      <c r="R29" t="s">
        <v>155</v>
      </c>
      <c r="S29" s="533">
        <v>49922</v>
      </c>
      <c r="T29" s="533">
        <v>10332</v>
      </c>
      <c r="U29" s="1200">
        <v>9359</v>
      </c>
      <c r="V29" t="s">
        <v>155</v>
      </c>
      <c r="W29" s="533">
        <v>12910</v>
      </c>
      <c r="X29" s="1200">
        <v>17697</v>
      </c>
      <c r="Z29" s="1200"/>
      <c r="AB29" s="1200"/>
      <c r="AD29" s="1200"/>
      <c r="AF29" s="1200"/>
      <c r="AH29" s="1200"/>
      <c r="AJ29" s="1200"/>
      <c r="AL29" s="1220"/>
      <c r="AM29" s="1221"/>
      <c r="AN29" s="1222"/>
      <c r="AO29" s="774"/>
      <c r="AP29" s="533"/>
      <c r="AQ29" s="1230"/>
      <c r="AR29" s="1229"/>
    </row>
    <row r="30" spans="1:44">
      <c r="A30" s="809"/>
      <c r="B30" s="1216" t="s">
        <v>128</v>
      </c>
      <c r="C30" s="538"/>
      <c r="D30" s="538"/>
      <c r="E30" s="538"/>
      <c r="F30" s="538"/>
      <c r="G30" s="538"/>
      <c r="H30" s="538"/>
      <c r="I30" s="538"/>
      <c r="J30" s="1219"/>
      <c r="K30" s="1123"/>
      <c r="L30" s="538"/>
      <c r="M30" s="538"/>
      <c r="N30" s="538"/>
      <c r="O30" s="1201"/>
      <c r="P30" s="1123"/>
      <c r="Q30" s="1201"/>
      <c r="R30" s="1123"/>
      <c r="S30" s="538">
        <v>305465</v>
      </c>
      <c r="T30" s="538">
        <v>328989</v>
      </c>
      <c r="U30" s="1201">
        <v>335376</v>
      </c>
      <c r="V30" s="1123"/>
      <c r="W30" s="538">
        <v>350463</v>
      </c>
      <c r="X30" s="1201">
        <v>405415</v>
      </c>
      <c r="Y30" s="1123"/>
      <c r="Z30" s="1201">
        <v>432736</v>
      </c>
      <c r="AA30" s="1123"/>
      <c r="AB30" s="1201">
        <v>461300</v>
      </c>
      <c r="AC30" s="1123"/>
      <c r="AD30" s="1201">
        <v>525628</v>
      </c>
      <c r="AE30" s="1123"/>
      <c r="AF30" s="1201">
        <v>593659</v>
      </c>
      <c r="AG30" s="1123"/>
      <c r="AH30" s="1201">
        <v>636888</v>
      </c>
      <c r="AI30" s="1123"/>
      <c r="AJ30" s="1201">
        <v>702278</v>
      </c>
      <c r="AK30" s="1123"/>
      <c r="AL30" s="1223">
        <v>661550</v>
      </c>
      <c r="AM30" s="1224">
        <v>635405</v>
      </c>
      <c r="AN30" s="1225">
        <v>639308</v>
      </c>
      <c r="AO30" s="1231">
        <f>SUM(AO25:AO29)</f>
        <v>793816</v>
      </c>
      <c r="AP30" s="1231">
        <f>SUM(AP25:AP29)</f>
        <v>867220</v>
      </c>
      <c r="AQ30" s="1123"/>
      <c r="AR30" s="1232">
        <f>SUM(AR25:AR29)</f>
        <v>792258</v>
      </c>
    </row>
    <row r="31" spans="1:44">
      <c r="A31" s="1118" t="s">
        <v>156</v>
      </c>
      <c r="B31" s="1215"/>
      <c r="C31" s="533"/>
      <c r="D31" s="533"/>
      <c r="E31" s="533"/>
      <c r="F31" s="533"/>
      <c r="G31" s="533"/>
      <c r="H31" s="533"/>
      <c r="I31" s="533"/>
      <c r="J31" s="1218"/>
      <c r="L31" s="533"/>
      <c r="M31" s="533"/>
      <c r="N31" s="533"/>
      <c r="O31" s="1200"/>
      <c r="Q31" s="1200"/>
      <c r="R31" t="s">
        <v>157</v>
      </c>
      <c r="S31" s="533"/>
      <c r="T31" s="533"/>
      <c r="U31" s="1200"/>
      <c r="V31" t="s">
        <v>157</v>
      </c>
      <c r="W31" s="533">
        <v>1950</v>
      </c>
      <c r="X31" s="1200">
        <v>4443</v>
      </c>
      <c r="Y31" t="s">
        <v>158</v>
      </c>
      <c r="Z31" s="1200">
        <v>5894</v>
      </c>
      <c r="AA31" t="s">
        <v>159</v>
      </c>
      <c r="AB31" s="1200">
        <v>861</v>
      </c>
      <c r="AC31" t="s">
        <v>158</v>
      </c>
      <c r="AD31" s="1200">
        <v>45.9</v>
      </c>
      <c r="AE31" t="s">
        <v>160</v>
      </c>
      <c r="AF31" s="1200">
        <v>49</v>
      </c>
      <c r="AG31" t="s">
        <v>160</v>
      </c>
      <c r="AH31" s="1200">
        <v>4100.3</v>
      </c>
      <c r="AI31" t="s">
        <v>160</v>
      </c>
      <c r="AJ31" s="1200">
        <v>833.7</v>
      </c>
      <c r="AK31" t="s">
        <v>160</v>
      </c>
      <c r="AL31" s="1220">
        <v>892</v>
      </c>
      <c r="AM31" s="1221">
        <v>849</v>
      </c>
      <c r="AN31" s="1222">
        <v>741.4</v>
      </c>
      <c r="AO31" s="547">
        <v>753</v>
      </c>
      <c r="AP31" s="530">
        <v>762</v>
      </c>
      <c r="AQ31" s="1230" t="s">
        <v>530</v>
      </c>
      <c r="AR31" s="1234">
        <f>'[3]Chapter 2'!$E$90</f>
        <v>865.47</v>
      </c>
    </row>
    <row r="32" spans="1:44">
      <c r="A32" s="1118" t="s">
        <v>161</v>
      </c>
      <c r="B32" s="1215"/>
      <c r="C32" s="533"/>
      <c r="D32" s="533"/>
      <c r="E32" s="533"/>
      <c r="F32" s="533"/>
      <c r="G32" s="533"/>
      <c r="H32" s="533"/>
      <c r="I32" s="533"/>
      <c r="J32" s="1218"/>
      <c r="L32" s="533"/>
      <c r="M32" s="533"/>
      <c r="N32" s="533"/>
      <c r="O32" s="1200"/>
      <c r="Q32" s="1200"/>
      <c r="R32" t="s">
        <v>162</v>
      </c>
      <c r="S32" s="533"/>
      <c r="T32" s="533"/>
      <c r="U32" s="1200"/>
      <c r="V32" t="s">
        <v>162</v>
      </c>
      <c r="W32" s="533">
        <v>22.41</v>
      </c>
      <c r="X32" s="1200">
        <v>24</v>
      </c>
      <c r="Y32" t="s">
        <v>163</v>
      </c>
      <c r="Z32" s="1200">
        <v>24</v>
      </c>
      <c r="AA32" t="s">
        <v>157</v>
      </c>
      <c r="AB32" s="1200">
        <v>3601</v>
      </c>
      <c r="AC32" t="s">
        <v>163</v>
      </c>
      <c r="AD32" s="1200">
        <v>406.3</v>
      </c>
      <c r="AE32" t="s">
        <v>157</v>
      </c>
      <c r="AF32" s="1200">
        <v>423</v>
      </c>
      <c r="AG32" t="s">
        <v>157</v>
      </c>
      <c r="AH32" s="1200">
        <v>4720.8</v>
      </c>
      <c r="AI32" t="s">
        <v>157</v>
      </c>
      <c r="AJ32" s="1200">
        <v>4877.3</v>
      </c>
      <c r="AK32" t="s">
        <v>110</v>
      </c>
      <c r="AL32" s="1220">
        <v>5365</v>
      </c>
      <c r="AM32" s="1221">
        <v>6323</v>
      </c>
      <c r="AN32" s="1222">
        <v>5838.52</v>
      </c>
      <c r="AO32" s="774">
        <v>6401</v>
      </c>
      <c r="AP32" s="533">
        <v>6463</v>
      </c>
      <c r="AQ32" s="1230" t="s">
        <v>531</v>
      </c>
      <c r="AR32" s="1234">
        <f>'[3]Chapter 2'!$E$91</f>
        <v>6353.85</v>
      </c>
    </row>
    <row r="33" spans="1:44">
      <c r="A33" s="1118"/>
      <c r="B33" s="1215"/>
      <c r="C33" s="533"/>
      <c r="D33" s="533"/>
      <c r="E33" s="533"/>
      <c r="F33" s="533"/>
      <c r="G33" s="533"/>
      <c r="H33" s="533"/>
      <c r="I33" s="533"/>
      <c r="J33" s="1218"/>
      <c r="L33" s="533"/>
      <c r="M33" s="533"/>
      <c r="N33" s="533"/>
      <c r="O33" s="1200"/>
      <c r="Q33" s="1200"/>
      <c r="R33" t="s">
        <v>164</v>
      </c>
      <c r="S33" s="533"/>
      <c r="T33" s="533"/>
      <c r="U33" s="1200"/>
      <c r="V33" t="s">
        <v>164</v>
      </c>
      <c r="W33" s="533">
        <v>86.87</v>
      </c>
      <c r="X33" s="1200">
        <v>81</v>
      </c>
      <c r="Y33" t="s">
        <v>165</v>
      </c>
      <c r="Z33" s="1200">
        <v>74</v>
      </c>
      <c r="AA33" t="s">
        <v>162</v>
      </c>
      <c r="AB33" s="1200">
        <v>94</v>
      </c>
      <c r="AC33" t="s">
        <v>165</v>
      </c>
      <c r="AD33" s="1200">
        <v>132.9</v>
      </c>
      <c r="AE33" t="s">
        <v>166</v>
      </c>
      <c r="AF33" s="1200">
        <v>13</v>
      </c>
      <c r="AG33" t="s">
        <v>166</v>
      </c>
      <c r="AH33" s="1200">
        <v>164.8</v>
      </c>
      <c r="AI33" t="s">
        <v>166</v>
      </c>
      <c r="AJ33" s="1200">
        <v>187.1</v>
      </c>
      <c r="AK33" s="1226" t="s">
        <v>167</v>
      </c>
      <c r="AL33" s="1220">
        <v>344</v>
      </c>
      <c r="AM33" s="1221">
        <v>218</v>
      </c>
      <c r="AN33" s="1222">
        <v>226.23</v>
      </c>
      <c r="AO33" s="774">
        <v>213</v>
      </c>
      <c r="AP33" s="533">
        <v>257</v>
      </c>
      <c r="AQ33" s="1230" t="s">
        <v>532</v>
      </c>
      <c r="AR33" s="1234">
        <f>'[3]Chapter 2'!$E$92</f>
        <v>301.08</v>
      </c>
    </row>
    <row r="34" spans="1:44">
      <c r="A34" s="1118"/>
      <c r="B34" s="1215"/>
      <c r="C34" s="533"/>
      <c r="D34" s="533"/>
      <c r="E34" s="533"/>
      <c r="F34" s="533"/>
      <c r="G34" s="533"/>
      <c r="H34" s="533"/>
      <c r="I34" s="533"/>
      <c r="J34" s="1218"/>
      <c r="L34" s="533"/>
      <c r="M34" s="533"/>
      <c r="N34" s="533"/>
      <c r="O34" s="1200"/>
      <c r="Q34" s="1200"/>
      <c r="R34" t="s">
        <v>59</v>
      </c>
      <c r="S34" s="533"/>
      <c r="T34" s="533"/>
      <c r="U34" s="1200"/>
      <c r="V34" t="s">
        <v>59</v>
      </c>
      <c r="W34" s="533">
        <v>581.92999999999995</v>
      </c>
      <c r="X34" s="1200">
        <v>3</v>
      </c>
      <c r="Y34" t="s">
        <v>168</v>
      </c>
      <c r="Z34" s="1200">
        <v>2.5</v>
      </c>
      <c r="AA34" t="s">
        <v>59</v>
      </c>
      <c r="AB34" s="1200">
        <v>1880</v>
      </c>
      <c r="AC34" t="s">
        <v>169</v>
      </c>
      <c r="AD34" s="1200">
        <v>179.6</v>
      </c>
      <c r="AE34" t="s">
        <v>59</v>
      </c>
      <c r="AF34" s="1200">
        <v>276</v>
      </c>
      <c r="AG34" t="s">
        <v>59</v>
      </c>
      <c r="AH34" s="1200">
        <v>302</v>
      </c>
      <c r="AI34" t="s">
        <v>59</v>
      </c>
      <c r="AJ34" s="1200">
        <v>398.3</v>
      </c>
      <c r="AK34" t="s">
        <v>59</v>
      </c>
      <c r="AL34" s="1220">
        <v>193</v>
      </c>
      <c r="AM34" s="1221">
        <v>274</v>
      </c>
      <c r="AN34" s="1222">
        <v>170</v>
      </c>
      <c r="AO34" s="774">
        <v>162</v>
      </c>
      <c r="AP34" s="533">
        <v>168</v>
      </c>
      <c r="AQ34" s="1230" t="s">
        <v>533</v>
      </c>
      <c r="AR34" s="1234">
        <f>'[3]Chapter 2'!$E$93</f>
        <v>204.37</v>
      </c>
    </row>
    <row r="35" spans="1:44">
      <c r="A35" s="809"/>
      <c r="B35" s="1216" t="s">
        <v>128</v>
      </c>
      <c r="C35" s="538"/>
      <c r="D35" s="538"/>
      <c r="E35" s="538"/>
      <c r="F35" s="538"/>
      <c r="G35" s="538"/>
      <c r="H35" s="538"/>
      <c r="I35" s="538"/>
      <c r="J35" s="1219"/>
      <c r="K35" s="1123"/>
      <c r="L35" s="538"/>
      <c r="M35" s="538"/>
      <c r="N35" s="538"/>
      <c r="O35" s="1201"/>
      <c r="P35" s="1123"/>
      <c r="Q35" s="1201"/>
      <c r="R35" s="1123"/>
      <c r="S35" s="538"/>
      <c r="T35" s="538"/>
      <c r="U35" s="1201"/>
      <c r="V35" s="1123"/>
      <c r="W35" s="538">
        <v>2641.21</v>
      </c>
      <c r="X35" s="1201">
        <v>4551</v>
      </c>
      <c r="Y35" s="1123"/>
      <c r="Z35" s="1201">
        <v>5994.5</v>
      </c>
      <c r="AA35" s="1123"/>
      <c r="AB35" s="1201">
        <v>6436</v>
      </c>
      <c r="AC35" s="1123"/>
      <c r="AD35" s="1201">
        <v>764.7</v>
      </c>
      <c r="AE35" s="1123"/>
      <c r="AF35" s="1201">
        <v>761</v>
      </c>
      <c r="AG35" s="1123"/>
      <c r="AH35" s="1201">
        <v>9287.9</v>
      </c>
      <c r="AI35" s="1123"/>
      <c r="AJ35" s="1201">
        <v>6296.4</v>
      </c>
      <c r="AK35" s="1123"/>
      <c r="AL35" s="1223">
        <v>6794</v>
      </c>
      <c r="AM35" s="1224">
        <v>7664</v>
      </c>
      <c r="AN35" s="1225">
        <v>6976.15</v>
      </c>
      <c r="AO35" s="1225">
        <f>SUM(AO31:AO34)</f>
        <v>7529</v>
      </c>
      <c r="AP35" s="1225">
        <f>SUM(AP31:AP34)</f>
        <v>7650</v>
      </c>
      <c r="AQ35" s="1352"/>
      <c r="AR35" s="1225">
        <f>SUM(AR31:AR34)</f>
        <v>7724.77</v>
      </c>
    </row>
    <row r="36" spans="1:44">
      <c r="A36" s="1118" t="s">
        <v>170</v>
      </c>
      <c r="B36" s="1215" t="s">
        <v>171</v>
      </c>
      <c r="C36" s="533">
        <v>340</v>
      </c>
      <c r="D36" s="533">
        <v>353</v>
      </c>
      <c r="E36" s="533">
        <v>396</v>
      </c>
      <c r="F36" s="533">
        <v>453</v>
      </c>
      <c r="G36" s="533">
        <v>518</v>
      </c>
      <c r="H36" s="533">
        <v>571</v>
      </c>
      <c r="I36" s="533">
        <v>646</v>
      </c>
      <c r="J36" s="1218">
        <v>674</v>
      </c>
      <c r="K36" t="s">
        <v>171</v>
      </c>
      <c r="L36" s="533"/>
      <c r="M36" s="533">
        <v>714</v>
      </c>
      <c r="N36" s="533">
        <v>826</v>
      </c>
      <c r="O36" s="1200">
        <v>917</v>
      </c>
      <c r="P36" t="s">
        <v>171</v>
      </c>
      <c r="Q36" s="1200">
        <v>1046</v>
      </c>
      <c r="R36" t="s">
        <v>172</v>
      </c>
      <c r="S36" s="533">
        <v>1195</v>
      </c>
      <c r="T36" s="533">
        <v>1331</v>
      </c>
      <c r="U36" s="1200">
        <v>1369</v>
      </c>
      <c r="V36" t="s">
        <v>172</v>
      </c>
      <c r="W36" s="533">
        <v>1482</v>
      </c>
      <c r="X36" s="1200">
        <v>1608</v>
      </c>
      <c r="Y36" t="s">
        <v>172</v>
      </c>
      <c r="Z36" s="1200">
        <v>1758</v>
      </c>
      <c r="AA36" t="s">
        <v>172</v>
      </c>
      <c r="AB36" s="1200">
        <v>1875.5</v>
      </c>
      <c r="AC36" t="s">
        <v>172</v>
      </c>
      <c r="AD36" s="1200">
        <v>2015.3</v>
      </c>
      <c r="AE36" t="s">
        <v>172</v>
      </c>
      <c r="AF36" s="1200">
        <v>2104</v>
      </c>
      <c r="AG36" t="s">
        <v>172</v>
      </c>
      <c r="AH36" s="1200">
        <v>2165.04</v>
      </c>
      <c r="AI36" t="s">
        <v>172</v>
      </c>
      <c r="AJ36" s="1200">
        <v>2207</v>
      </c>
      <c r="AK36" t="s">
        <v>172</v>
      </c>
      <c r="AL36" s="1220">
        <v>2285.6999999999998</v>
      </c>
      <c r="AM36" s="1221">
        <v>2443.9</v>
      </c>
      <c r="AN36" s="1222">
        <v>2538.8000000000002</v>
      </c>
      <c r="AO36" s="1233">
        <v>2618</v>
      </c>
      <c r="AP36" s="1228">
        <v>2757.5</v>
      </c>
      <c r="AQ36" s="1230" t="s">
        <v>525</v>
      </c>
      <c r="AR36" s="1235">
        <f>'[4]Chapter 2'!$AB$90</f>
        <v>3008.8</v>
      </c>
    </row>
    <row r="37" spans="1:44">
      <c r="A37" s="1118" t="s">
        <v>173</v>
      </c>
      <c r="B37" s="1215" t="s">
        <v>154</v>
      </c>
      <c r="C37" s="533">
        <v>96</v>
      </c>
      <c r="D37" s="533">
        <v>42</v>
      </c>
      <c r="E37" s="533">
        <v>67</v>
      </c>
      <c r="F37" s="533">
        <v>47</v>
      </c>
      <c r="G37" s="533">
        <v>52</v>
      </c>
      <c r="H37" s="533">
        <v>76</v>
      </c>
      <c r="I37" s="533">
        <v>68</v>
      </c>
      <c r="J37" s="1218">
        <v>55</v>
      </c>
      <c r="K37" t="s">
        <v>154</v>
      </c>
      <c r="L37" s="533"/>
      <c r="M37" s="533">
        <v>42</v>
      </c>
      <c r="N37" s="533">
        <v>82</v>
      </c>
      <c r="O37" s="1200">
        <v>112</v>
      </c>
      <c r="P37" t="s">
        <v>174</v>
      </c>
      <c r="Q37" s="1200">
        <v>126</v>
      </c>
      <c r="R37" t="s">
        <v>175</v>
      </c>
      <c r="S37" s="533">
        <v>130</v>
      </c>
      <c r="T37" s="533">
        <v>111</v>
      </c>
      <c r="U37" s="1200">
        <v>110</v>
      </c>
      <c r="V37" t="s">
        <v>176</v>
      </c>
      <c r="W37" s="533">
        <v>86</v>
      </c>
      <c r="X37" s="1200">
        <v>114</v>
      </c>
      <c r="Y37" t="s">
        <v>176</v>
      </c>
      <c r="Z37" s="1200">
        <v>79</v>
      </c>
      <c r="AA37" t="s">
        <v>176</v>
      </c>
      <c r="AB37" s="1200">
        <v>200.1</v>
      </c>
      <c r="AC37" t="s">
        <v>176</v>
      </c>
      <c r="AD37" s="1200">
        <v>252.5</v>
      </c>
      <c r="AE37" t="s">
        <v>176</v>
      </c>
      <c r="AF37" s="1200">
        <v>179</v>
      </c>
      <c r="AG37" t="s">
        <v>176</v>
      </c>
      <c r="AH37" s="1200">
        <v>199.94</v>
      </c>
      <c r="AI37" t="s">
        <v>176</v>
      </c>
      <c r="AJ37" s="1200">
        <v>229</v>
      </c>
      <c r="AK37" t="s">
        <v>176</v>
      </c>
      <c r="AL37" s="1220">
        <v>117.1</v>
      </c>
      <c r="AM37" s="1221">
        <v>88.8</v>
      </c>
      <c r="AN37" s="1222">
        <v>240.7</v>
      </c>
      <c r="AO37" s="1227">
        <v>202</v>
      </c>
      <c r="AP37" s="1230">
        <v>183.5</v>
      </c>
      <c r="AQ37" s="1230" t="s">
        <v>526</v>
      </c>
      <c r="AR37" s="1235">
        <f>'[4]Chapter 2'!$AB$91</f>
        <v>145.1</v>
      </c>
    </row>
    <row r="38" spans="1:44">
      <c r="A38" s="1118"/>
      <c r="B38" s="1215" t="s">
        <v>177</v>
      </c>
      <c r="C38" s="533">
        <v>59</v>
      </c>
      <c r="D38" s="533">
        <v>72</v>
      </c>
      <c r="E38" s="533">
        <v>58</v>
      </c>
      <c r="F38" s="533">
        <v>77</v>
      </c>
      <c r="G38" s="533">
        <v>86</v>
      </c>
      <c r="H38" s="533">
        <v>84</v>
      </c>
      <c r="I38" s="533">
        <v>82</v>
      </c>
      <c r="J38" s="1218">
        <v>91</v>
      </c>
      <c r="K38" t="s">
        <v>174</v>
      </c>
      <c r="L38" s="533"/>
      <c r="M38" s="533">
        <v>115</v>
      </c>
      <c r="N38" s="533">
        <v>128</v>
      </c>
      <c r="O38" s="1200">
        <v>116</v>
      </c>
      <c r="P38" t="s">
        <v>178</v>
      </c>
      <c r="Q38" s="1200">
        <v>425</v>
      </c>
      <c r="R38" t="s">
        <v>179</v>
      </c>
      <c r="S38" s="533">
        <v>398</v>
      </c>
      <c r="T38" s="533">
        <v>363</v>
      </c>
      <c r="U38" s="1200">
        <v>312</v>
      </c>
      <c r="V38" t="s">
        <v>180</v>
      </c>
      <c r="W38" s="533">
        <v>113</v>
      </c>
      <c r="X38" s="1200">
        <v>125</v>
      </c>
      <c r="Y38" t="s">
        <v>180</v>
      </c>
      <c r="Z38" s="1200">
        <v>122</v>
      </c>
      <c r="AA38" t="s">
        <v>180</v>
      </c>
      <c r="AB38" s="1200">
        <v>128.30000000000001</v>
      </c>
      <c r="AC38" t="s">
        <v>180</v>
      </c>
      <c r="AD38" s="1200">
        <v>128.19999999999999</v>
      </c>
      <c r="AE38" t="s">
        <v>180</v>
      </c>
      <c r="AF38" s="1200">
        <v>128</v>
      </c>
      <c r="AG38" t="s">
        <v>180</v>
      </c>
      <c r="AH38" s="1200">
        <v>132.72999999999999</v>
      </c>
      <c r="AI38" t="s">
        <v>180</v>
      </c>
      <c r="AJ38" s="1200">
        <v>147</v>
      </c>
      <c r="AK38" t="s">
        <v>180</v>
      </c>
      <c r="AL38" s="1220">
        <v>124.1</v>
      </c>
      <c r="AM38" s="1221">
        <v>128.6</v>
      </c>
      <c r="AN38" s="1222">
        <v>114.1</v>
      </c>
      <c r="AO38" s="1227">
        <v>117</v>
      </c>
      <c r="AP38" s="1230">
        <v>118.9</v>
      </c>
      <c r="AQ38" s="1230" t="s">
        <v>527</v>
      </c>
      <c r="AR38" s="1235">
        <f>'[4]Chapter 2'!$AB$92</f>
        <v>98.4</v>
      </c>
    </row>
    <row r="39" spans="1:44">
      <c r="A39" s="1118"/>
      <c r="B39" s="1215" t="s">
        <v>181</v>
      </c>
      <c r="C39" s="533">
        <v>33</v>
      </c>
      <c r="D39" s="533">
        <v>40</v>
      </c>
      <c r="E39" s="533">
        <v>49</v>
      </c>
      <c r="F39" s="533">
        <v>64</v>
      </c>
      <c r="G39" s="533">
        <v>56</v>
      </c>
      <c r="H39" s="533">
        <v>77</v>
      </c>
      <c r="I39" s="533">
        <v>76</v>
      </c>
      <c r="J39" s="1218">
        <v>69</v>
      </c>
      <c r="K39" t="s">
        <v>181</v>
      </c>
      <c r="L39" s="533"/>
      <c r="M39" s="533">
        <v>89</v>
      </c>
      <c r="N39" s="533">
        <v>61</v>
      </c>
      <c r="O39" s="1200">
        <v>66</v>
      </c>
      <c r="P39" t="s">
        <v>155</v>
      </c>
      <c r="Q39" s="1200">
        <v>169</v>
      </c>
      <c r="R39" t="s">
        <v>182</v>
      </c>
      <c r="S39" s="533">
        <v>130</v>
      </c>
      <c r="T39" s="533">
        <v>138</v>
      </c>
      <c r="U39" s="1200">
        <v>148</v>
      </c>
      <c r="V39" t="s">
        <v>181</v>
      </c>
      <c r="W39" s="533">
        <v>90</v>
      </c>
      <c r="X39" s="1200">
        <v>100</v>
      </c>
      <c r="Y39" t="s">
        <v>181</v>
      </c>
      <c r="Z39" s="1200">
        <v>114</v>
      </c>
      <c r="AA39" t="s">
        <v>181</v>
      </c>
      <c r="AB39" s="1200">
        <v>146.9</v>
      </c>
      <c r="AC39" t="s">
        <v>181</v>
      </c>
      <c r="AD39" s="1200">
        <v>134.6</v>
      </c>
      <c r="AE39" t="s">
        <v>181</v>
      </c>
      <c r="AF39" s="1200">
        <v>140</v>
      </c>
      <c r="AG39" t="s">
        <v>181</v>
      </c>
      <c r="AH39" s="1200">
        <v>145.71</v>
      </c>
      <c r="AI39" t="s">
        <v>181</v>
      </c>
      <c r="AJ39" s="1200">
        <v>143</v>
      </c>
      <c r="AK39" t="s">
        <v>181</v>
      </c>
      <c r="AL39" s="1220">
        <v>150.5</v>
      </c>
      <c r="AM39" s="1221">
        <v>179.7</v>
      </c>
      <c r="AN39" s="1222">
        <v>153.5</v>
      </c>
      <c r="AO39" s="1227">
        <v>175</v>
      </c>
      <c r="AP39" s="1230">
        <v>198.5</v>
      </c>
      <c r="AQ39" s="1230" t="s">
        <v>528</v>
      </c>
      <c r="AR39" s="1235">
        <f>'[4]Chapter 2'!$AB$93</f>
        <v>191.8</v>
      </c>
    </row>
    <row r="40" spans="1:44">
      <c r="A40" s="1118"/>
      <c r="B40" s="1215" t="s">
        <v>183</v>
      </c>
      <c r="C40" s="533">
        <v>12</v>
      </c>
      <c r="D40" s="533">
        <v>8</v>
      </c>
      <c r="E40" s="533">
        <v>9</v>
      </c>
      <c r="F40" s="533">
        <v>7</v>
      </c>
      <c r="G40" s="533">
        <v>8</v>
      </c>
      <c r="H40" s="533">
        <v>9</v>
      </c>
      <c r="I40" s="533">
        <v>10</v>
      </c>
      <c r="J40" s="1218">
        <v>10</v>
      </c>
      <c r="K40" t="s">
        <v>183</v>
      </c>
      <c r="L40" s="533"/>
      <c r="M40" s="533">
        <v>10</v>
      </c>
      <c r="N40" s="533">
        <v>11</v>
      </c>
      <c r="O40" s="1200">
        <v>14</v>
      </c>
      <c r="Q40" s="1200"/>
      <c r="S40" s="533"/>
      <c r="T40" s="533"/>
      <c r="U40" s="1200"/>
      <c r="V40" t="s">
        <v>182</v>
      </c>
      <c r="W40" s="533">
        <v>387</v>
      </c>
      <c r="X40" s="1200">
        <v>428</v>
      </c>
      <c r="Y40" t="s">
        <v>182</v>
      </c>
      <c r="Z40" s="1200">
        <v>416</v>
      </c>
      <c r="AA40" t="s">
        <v>182</v>
      </c>
      <c r="AB40" s="1200">
        <v>646.70000000000005</v>
      </c>
      <c r="AC40" t="s">
        <v>182</v>
      </c>
      <c r="AD40" s="1200">
        <v>645.5</v>
      </c>
      <c r="AE40" t="s">
        <v>182</v>
      </c>
      <c r="AF40" s="1200">
        <v>596</v>
      </c>
      <c r="AG40" t="s">
        <v>182</v>
      </c>
      <c r="AH40" s="1200">
        <v>560.58000000000004</v>
      </c>
      <c r="AI40" t="s">
        <v>182</v>
      </c>
      <c r="AJ40" s="1200">
        <v>578</v>
      </c>
      <c r="AK40" t="s">
        <v>182</v>
      </c>
      <c r="AL40" s="1220">
        <v>664.4</v>
      </c>
      <c r="AM40" s="1221">
        <v>674.5</v>
      </c>
      <c r="AN40" s="1222">
        <v>675.4</v>
      </c>
      <c r="AO40" s="1227">
        <v>697</v>
      </c>
      <c r="AP40" s="1230">
        <v>709.7</v>
      </c>
      <c r="AQ40" s="1230" t="s">
        <v>529</v>
      </c>
      <c r="AR40" s="1235">
        <f>'[4]Chapter 2'!$AB$94</f>
        <v>752.6</v>
      </c>
    </row>
    <row r="41" spans="1:44">
      <c r="A41" s="1118"/>
      <c r="B41" s="1215" t="s">
        <v>184</v>
      </c>
      <c r="C41" s="533">
        <v>159</v>
      </c>
      <c r="D41" s="533">
        <v>192</v>
      </c>
      <c r="E41" s="533">
        <v>186</v>
      </c>
      <c r="F41" s="533">
        <v>211</v>
      </c>
      <c r="G41" s="533">
        <v>251</v>
      </c>
      <c r="H41" s="533">
        <v>259</v>
      </c>
      <c r="I41" s="533">
        <v>206</v>
      </c>
      <c r="J41" s="1218">
        <v>304</v>
      </c>
      <c r="K41" t="s">
        <v>178</v>
      </c>
      <c r="L41" s="533"/>
      <c r="M41" s="533">
        <v>301</v>
      </c>
      <c r="N41" s="533">
        <v>400</v>
      </c>
      <c r="O41" s="1200">
        <v>461</v>
      </c>
      <c r="Q41" s="1200"/>
      <c r="S41" s="533"/>
      <c r="T41" s="533"/>
      <c r="U41" s="1200"/>
      <c r="W41" s="533"/>
      <c r="X41" s="1200"/>
      <c r="Z41" s="1200"/>
      <c r="AB41" s="1200"/>
      <c r="AD41" s="1200"/>
      <c r="AF41" s="1200"/>
      <c r="AH41" s="1200"/>
      <c r="AJ41" s="1200"/>
      <c r="AL41" s="1220"/>
      <c r="AM41" s="1221"/>
      <c r="AN41" s="1222"/>
      <c r="AO41" s="774"/>
      <c r="AP41" s="533"/>
      <c r="AQ41" s="1230"/>
      <c r="AR41" s="1235"/>
    </row>
    <row r="42" spans="1:44">
      <c r="A42" s="1118"/>
      <c r="B42" s="1215" t="s">
        <v>126</v>
      </c>
      <c r="C42" s="533">
        <v>2</v>
      </c>
      <c r="D42" s="533">
        <v>2</v>
      </c>
      <c r="E42" s="533">
        <v>3</v>
      </c>
      <c r="F42" s="533">
        <v>4</v>
      </c>
      <c r="G42" s="533">
        <v>7</v>
      </c>
      <c r="H42" s="533">
        <v>3</v>
      </c>
      <c r="I42" s="533">
        <v>8</v>
      </c>
      <c r="J42" s="1218">
        <v>8</v>
      </c>
      <c r="K42" t="s">
        <v>185</v>
      </c>
      <c r="L42" s="533"/>
      <c r="M42" s="533">
        <v>8</v>
      </c>
      <c r="N42" s="533">
        <v>8</v>
      </c>
      <c r="O42" s="1200">
        <v>11</v>
      </c>
      <c r="Q42" s="1200"/>
      <c r="S42" s="533"/>
      <c r="T42" s="533"/>
      <c r="U42" s="1200"/>
      <c r="W42" s="533"/>
      <c r="X42" s="1200"/>
      <c r="Z42" s="1200"/>
      <c r="AB42" s="1200"/>
      <c r="AD42" s="1200"/>
      <c r="AF42" s="1200"/>
      <c r="AH42" s="1200"/>
      <c r="AJ42" s="1200"/>
      <c r="AL42" s="1220"/>
      <c r="AM42" s="1221"/>
      <c r="AN42" s="1222"/>
      <c r="AO42" s="774"/>
      <c r="AP42" s="533"/>
      <c r="AQ42" s="1230"/>
      <c r="AR42" s="1235"/>
    </row>
    <row r="43" spans="1:44">
      <c r="A43" s="809"/>
      <c r="B43" s="1216" t="s">
        <v>128</v>
      </c>
      <c r="C43" s="538">
        <v>701</v>
      </c>
      <c r="D43" s="538">
        <v>709</v>
      </c>
      <c r="E43" s="538">
        <v>768</v>
      </c>
      <c r="F43" s="538">
        <v>863</v>
      </c>
      <c r="G43" s="538">
        <v>978</v>
      </c>
      <c r="H43" s="538">
        <v>1079</v>
      </c>
      <c r="I43" s="538">
        <v>1096</v>
      </c>
      <c r="J43" s="1219">
        <v>1211</v>
      </c>
      <c r="K43" s="1123"/>
      <c r="L43" s="538"/>
      <c r="M43" s="538">
        <v>1279</v>
      </c>
      <c r="N43" s="538">
        <v>1516</v>
      </c>
      <c r="O43" s="1201">
        <v>1697</v>
      </c>
      <c r="P43" s="1123"/>
      <c r="Q43" s="1201">
        <v>1766</v>
      </c>
      <c r="R43" s="1123"/>
      <c r="S43" s="538">
        <v>1853</v>
      </c>
      <c r="T43" s="538">
        <v>1943</v>
      </c>
      <c r="U43" s="1201">
        <v>1939</v>
      </c>
      <c r="V43" s="1123"/>
      <c r="W43" s="538">
        <v>2158</v>
      </c>
      <c r="X43" s="1201">
        <v>2375</v>
      </c>
      <c r="Y43" s="1123"/>
      <c r="Z43" s="1201">
        <v>2489</v>
      </c>
      <c r="AA43" s="1123"/>
      <c r="AB43" s="1201">
        <v>2997.5</v>
      </c>
      <c r="AC43" s="1123"/>
      <c r="AD43" s="1201">
        <v>3176.1</v>
      </c>
      <c r="AE43" s="1123"/>
      <c r="AF43" s="1201">
        <v>3147</v>
      </c>
      <c r="AG43" s="1123"/>
      <c r="AH43" s="1201">
        <v>3204</v>
      </c>
      <c r="AI43" s="1123"/>
      <c r="AJ43" s="1201">
        <v>3304</v>
      </c>
      <c r="AK43" s="1123"/>
      <c r="AL43" s="1223">
        <v>3341.8</v>
      </c>
      <c r="AM43" s="1224">
        <v>3515.5</v>
      </c>
      <c r="AN43" s="1225">
        <v>3722.5</v>
      </c>
      <c r="AO43" s="1231">
        <f>SUM(AO36:AO42)</f>
        <v>3809</v>
      </c>
      <c r="AP43" s="1231">
        <f>SUM(AP36:AP42)</f>
        <v>3968.1000000000004</v>
      </c>
      <c r="AQ43" s="1123"/>
      <c r="AR43" s="1232">
        <f>SUM(AR36:AR40)</f>
        <v>4196.7000000000007</v>
      </c>
    </row>
  </sheetData>
  <phoneticPr fontId="93" type="noConversion"/>
  <hyperlinks>
    <hyperlink ref="AN1" location="Content!A1" display="content" xr:uid="{00000000-0004-0000-0300-000000000000}"/>
  </hyperlinks>
  <pageMargins left="0.7" right="0.7" top="0.75" bottom="0.75" header="0.3" footer="0.3"/>
  <pageSetup orientation="portrait"/>
  <ignoredErrors>
    <ignoredError sqref="AM15:AO15"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L37"/>
  <sheetViews>
    <sheetView zoomScale="80" zoomScaleNormal="80" workbookViewId="0">
      <pane xSplit="1" ySplit="5" topLeftCell="B6" activePane="bottomRight" state="frozenSplit"/>
      <selection pane="topRight"/>
      <selection pane="bottomLeft"/>
      <selection pane="bottomRight" activeCell="A17" sqref="A17"/>
    </sheetView>
  </sheetViews>
  <sheetFormatPr defaultColWidth="9" defaultRowHeight="14.4"/>
  <cols>
    <col min="1" max="1" width="22" customWidth="1"/>
    <col min="2" max="2" width="31.33203125" customWidth="1"/>
    <col min="11" max="11" width="31.77734375" customWidth="1"/>
    <col min="15" max="15" width="31.77734375" customWidth="1"/>
    <col min="17" max="17" width="31.77734375" customWidth="1"/>
    <col min="19" max="19" width="31.77734375" customWidth="1"/>
    <col min="21" max="21" width="31.77734375" customWidth="1"/>
    <col min="23" max="23" width="43.77734375" customWidth="1"/>
    <col min="26" max="26" width="60.77734375" customWidth="1"/>
    <col min="36" max="36" width="10.21875" customWidth="1"/>
  </cols>
  <sheetData>
    <row r="1" spans="1:38" ht="21">
      <c r="A1" s="528" t="s">
        <v>47</v>
      </c>
      <c r="AJ1" s="57" t="s">
        <v>48</v>
      </c>
    </row>
    <row r="2" spans="1:38" ht="18">
      <c r="A2" s="529" t="s">
        <v>92</v>
      </c>
    </row>
    <row r="3" spans="1:38" ht="18">
      <c r="A3" s="529" t="s">
        <v>43</v>
      </c>
      <c r="AJ3" s="123"/>
    </row>
    <row r="4" spans="1:38">
      <c r="AJ4" s="123"/>
    </row>
    <row r="5" spans="1:38">
      <c r="A5" s="1145" t="s">
        <v>94</v>
      </c>
      <c r="B5" s="1196" t="s">
        <v>68</v>
      </c>
      <c r="C5" s="553">
        <v>1996</v>
      </c>
      <c r="D5" s="553">
        <v>1997</v>
      </c>
      <c r="E5" s="553">
        <v>1998</v>
      </c>
      <c r="F5" s="553">
        <v>1999</v>
      </c>
      <c r="G5" s="553">
        <v>2000</v>
      </c>
      <c r="H5" s="553">
        <v>2001</v>
      </c>
      <c r="I5" s="553">
        <v>2002</v>
      </c>
      <c r="J5" s="1199">
        <v>2003</v>
      </c>
      <c r="K5" s="1196" t="s">
        <v>68</v>
      </c>
      <c r="L5" s="553">
        <v>2004</v>
      </c>
      <c r="M5" s="553">
        <v>2005</v>
      </c>
      <c r="N5" s="1199">
        <v>2006</v>
      </c>
      <c r="O5" s="1196" t="s">
        <v>68</v>
      </c>
      <c r="P5" s="1199">
        <v>2007</v>
      </c>
      <c r="Q5" s="1196" t="s">
        <v>68</v>
      </c>
      <c r="R5" s="1199">
        <v>2008</v>
      </c>
      <c r="S5" s="1196" t="s">
        <v>68</v>
      </c>
      <c r="T5" s="1199">
        <v>2009</v>
      </c>
      <c r="U5" s="1196" t="s">
        <v>68</v>
      </c>
      <c r="V5" s="1199">
        <v>2010</v>
      </c>
      <c r="W5" s="1196" t="s">
        <v>68</v>
      </c>
      <c r="X5" s="553">
        <v>2011</v>
      </c>
      <c r="Y5" s="1199">
        <v>2012</v>
      </c>
      <c r="Z5" s="1125" t="s">
        <v>68</v>
      </c>
      <c r="AA5" s="553">
        <v>2013</v>
      </c>
      <c r="AB5" s="553">
        <v>2014</v>
      </c>
      <c r="AC5" s="553">
        <v>2015</v>
      </c>
      <c r="AD5" s="553">
        <v>2016</v>
      </c>
      <c r="AE5" s="553">
        <v>2017</v>
      </c>
      <c r="AF5" s="553">
        <v>2018</v>
      </c>
      <c r="AG5" s="553">
        <v>2019</v>
      </c>
      <c r="AH5" s="553">
        <v>2020</v>
      </c>
      <c r="AI5" s="1146">
        <v>2021</v>
      </c>
      <c r="AJ5" s="552">
        <v>2022</v>
      </c>
      <c r="AK5" s="1146">
        <v>2023</v>
      </c>
      <c r="AL5" s="1146">
        <v>2024</v>
      </c>
    </row>
    <row r="6" spans="1:38">
      <c r="A6" s="1118" t="s">
        <v>186</v>
      </c>
      <c r="B6" s="1197" t="s">
        <v>157</v>
      </c>
      <c r="C6" s="533">
        <v>1851</v>
      </c>
      <c r="D6" s="533">
        <v>1943</v>
      </c>
      <c r="E6" s="533">
        <v>2116</v>
      </c>
      <c r="F6" s="533">
        <v>2382</v>
      </c>
      <c r="G6" s="533">
        <v>2653</v>
      </c>
      <c r="H6" s="533">
        <v>2917</v>
      </c>
      <c r="I6" s="533">
        <v>3157</v>
      </c>
      <c r="J6" s="1200">
        <v>3307</v>
      </c>
      <c r="K6" s="1197" t="s">
        <v>157</v>
      </c>
      <c r="L6" s="533">
        <v>3365</v>
      </c>
      <c r="M6" s="533">
        <v>3449</v>
      </c>
      <c r="N6" s="1200">
        <v>3555</v>
      </c>
      <c r="O6" s="1197" t="s">
        <v>157</v>
      </c>
      <c r="P6" s="1200">
        <v>3689</v>
      </c>
      <c r="Q6" s="1197" t="s">
        <v>157</v>
      </c>
      <c r="R6" s="1200">
        <v>3864</v>
      </c>
      <c r="S6" s="1197" t="s">
        <v>157</v>
      </c>
      <c r="T6" s="1200">
        <v>3969</v>
      </c>
      <c r="U6" s="1197" t="s">
        <v>157</v>
      </c>
      <c r="V6" s="1200">
        <v>3966</v>
      </c>
      <c r="W6" s="1197" t="s">
        <v>157</v>
      </c>
      <c r="X6" s="533">
        <v>3949</v>
      </c>
      <c r="Y6" s="1200">
        <v>3987</v>
      </c>
      <c r="Z6" t="s">
        <v>187</v>
      </c>
      <c r="AA6" s="533">
        <v>4112</v>
      </c>
      <c r="AB6" s="533">
        <v>4221</v>
      </c>
      <c r="AC6" s="533">
        <v>4227</v>
      </c>
      <c r="AD6" s="533">
        <v>4310</v>
      </c>
      <c r="AE6" s="533">
        <v>4378</v>
      </c>
      <c r="AF6" s="533">
        <v>4276</v>
      </c>
      <c r="AG6" s="533">
        <v>4241</v>
      </c>
      <c r="AH6" s="533">
        <v>4099</v>
      </c>
      <c r="AI6" s="1153">
        <v>3996</v>
      </c>
      <c r="AJ6" s="774">
        <v>3999</v>
      </c>
      <c r="AK6" s="530">
        <v>3987</v>
      </c>
      <c r="AL6" s="530">
        <v>4005</v>
      </c>
    </row>
    <row r="7" spans="1:38">
      <c r="A7" s="1118"/>
      <c r="B7" s="1197" t="s">
        <v>118</v>
      </c>
      <c r="C7" s="533">
        <v>78</v>
      </c>
      <c r="D7" s="533">
        <v>78</v>
      </c>
      <c r="E7" s="533">
        <v>82</v>
      </c>
      <c r="F7" s="533">
        <v>101</v>
      </c>
      <c r="G7" s="533">
        <v>107</v>
      </c>
      <c r="H7" s="533">
        <v>114</v>
      </c>
      <c r="I7" s="533">
        <v>116</v>
      </c>
      <c r="J7" s="1200">
        <v>123</v>
      </c>
      <c r="K7" s="1197" t="s">
        <v>118</v>
      </c>
      <c r="L7" s="533">
        <v>129</v>
      </c>
      <c r="M7" s="533">
        <v>138</v>
      </c>
      <c r="N7" s="1200">
        <v>141</v>
      </c>
      <c r="O7" s="1197" t="s">
        <v>118</v>
      </c>
      <c r="P7" s="1200">
        <v>158</v>
      </c>
      <c r="Q7" s="1197" t="s">
        <v>118</v>
      </c>
      <c r="R7" s="1200">
        <v>152</v>
      </c>
      <c r="S7" s="1197" t="s">
        <v>118</v>
      </c>
      <c r="T7" s="1200">
        <v>155</v>
      </c>
      <c r="U7" s="1197" t="s">
        <v>118</v>
      </c>
      <c r="V7" s="1200">
        <v>157</v>
      </c>
      <c r="W7" s="1197" t="s">
        <v>118</v>
      </c>
      <c r="X7" s="533">
        <v>158</v>
      </c>
      <c r="Y7" s="1200">
        <v>163</v>
      </c>
      <c r="Z7" t="s">
        <v>188</v>
      </c>
      <c r="AA7" s="533">
        <v>165</v>
      </c>
      <c r="AB7" s="533">
        <v>162</v>
      </c>
      <c r="AC7" s="533">
        <v>155</v>
      </c>
      <c r="AD7" s="533">
        <v>153</v>
      </c>
      <c r="AE7" s="533">
        <v>150</v>
      </c>
      <c r="AF7" s="533">
        <v>166</v>
      </c>
      <c r="AG7" s="533">
        <v>185</v>
      </c>
      <c r="AH7" s="533">
        <v>196</v>
      </c>
      <c r="AI7" s="814">
        <v>215</v>
      </c>
      <c r="AJ7" s="774">
        <v>196</v>
      </c>
      <c r="AK7" s="533">
        <v>180</v>
      </c>
      <c r="AL7" s="533">
        <v>171</v>
      </c>
    </row>
    <row r="8" spans="1:38">
      <c r="A8" s="1118"/>
      <c r="B8" s="1197" t="s">
        <v>126</v>
      </c>
      <c r="C8" s="533">
        <v>1742</v>
      </c>
      <c r="D8" s="533">
        <v>1732</v>
      </c>
      <c r="E8" s="533">
        <v>1829</v>
      </c>
      <c r="F8" s="533">
        <v>1818</v>
      </c>
      <c r="G8" s="533">
        <v>1953</v>
      </c>
      <c r="H8" s="533">
        <v>2038</v>
      </c>
      <c r="I8" s="533">
        <v>2148</v>
      </c>
      <c r="J8" s="1200">
        <v>2391</v>
      </c>
      <c r="K8" s="1197" t="s">
        <v>126</v>
      </c>
      <c r="L8" s="533">
        <v>2424</v>
      </c>
      <c r="M8" s="533">
        <v>2531</v>
      </c>
      <c r="N8" s="1200">
        <v>2623</v>
      </c>
      <c r="O8" s="1197" t="s">
        <v>126</v>
      </c>
      <c r="P8" s="1200">
        <v>2652</v>
      </c>
      <c r="Q8" s="1197" t="s">
        <v>126</v>
      </c>
      <c r="R8" s="1200">
        <v>2669</v>
      </c>
      <c r="S8" s="1197" t="s">
        <v>126</v>
      </c>
      <c r="T8" s="1200">
        <v>2694</v>
      </c>
      <c r="U8" s="1197" t="s">
        <v>126</v>
      </c>
      <c r="V8" s="1200">
        <v>2655</v>
      </c>
      <c r="W8" s="1197" t="s">
        <v>126</v>
      </c>
      <c r="X8" s="533">
        <v>2619</v>
      </c>
      <c r="Y8" s="1200">
        <v>2560</v>
      </c>
      <c r="Z8" t="s">
        <v>189</v>
      </c>
      <c r="AA8" s="533">
        <v>4277</v>
      </c>
      <c r="AB8" s="533">
        <v>4383</v>
      </c>
      <c r="AC8" s="533">
        <v>4382</v>
      </c>
      <c r="AD8" s="533">
        <v>4463</v>
      </c>
      <c r="AE8" s="533">
        <v>4463</v>
      </c>
      <c r="AF8" s="533">
        <v>4442</v>
      </c>
      <c r="AG8" s="533">
        <v>4426</v>
      </c>
      <c r="AH8" s="533">
        <v>4295</v>
      </c>
      <c r="AI8" s="814">
        <v>4211</v>
      </c>
      <c r="AJ8" s="774">
        <f>SUM(AJ6:AJ7)</f>
        <v>4195</v>
      </c>
      <c r="AK8" s="774">
        <f>SUM(AK6:AK7)</f>
        <v>4167</v>
      </c>
      <c r="AL8" s="774">
        <f>SUM(AL6:AL7)</f>
        <v>4176</v>
      </c>
    </row>
    <row r="9" spans="1:38">
      <c r="A9" s="1118"/>
      <c r="B9" s="1197"/>
      <c r="C9" s="533"/>
      <c r="D9" s="533"/>
      <c r="E9" s="533"/>
      <c r="F9" s="533"/>
      <c r="G9" s="533"/>
      <c r="H9" s="533"/>
      <c r="I9" s="533"/>
      <c r="J9" s="1200"/>
      <c r="K9" s="1197"/>
      <c r="L9" s="533"/>
      <c r="M9" s="533"/>
      <c r="N9" s="1200"/>
      <c r="O9" s="1197"/>
      <c r="P9" s="1200"/>
      <c r="Q9" s="1197"/>
      <c r="R9" s="1200"/>
      <c r="S9" s="1197"/>
      <c r="T9" s="1200"/>
      <c r="U9" s="1197"/>
      <c r="V9" s="1200"/>
      <c r="W9" s="1197"/>
      <c r="X9" s="533"/>
      <c r="Y9" s="1200"/>
      <c r="Z9" t="s">
        <v>59</v>
      </c>
      <c r="AA9" s="533">
        <v>2537</v>
      </c>
      <c r="AB9" s="533">
        <v>2509</v>
      </c>
      <c r="AC9" s="533">
        <v>2433</v>
      </c>
      <c r="AD9" s="533">
        <v>2338</v>
      </c>
      <c r="AE9" s="533">
        <v>2387</v>
      </c>
      <c r="AF9" s="533">
        <v>2254</v>
      </c>
      <c r="AG9" s="533">
        <v>2179</v>
      </c>
      <c r="AH9" s="533">
        <v>2108</v>
      </c>
      <c r="AI9" s="814">
        <v>2050</v>
      </c>
      <c r="AJ9" s="774">
        <v>2066</v>
      </c>
      <c r="AK9" s="533">
        <v>2108</v>
      </c>
      <c r="AL9" s="533">
        <v>2075</v>
      </c>
    </row>
    <row r="10" spans="1:38">
      <c r="A10" s="809"/>
      <c r="B10" s="1198" t="s">
        <v>128</v>
      </c>
      <c r="C10" s="538">
        <v>3671</v>
      </c>
      <c r="D10" s="538">
        <v>3753</v>
      </c>
      <c r="E10" s="538">
        <v>4027</v>
      </c>
      <c r="F10" s="538">
        <v>4301</v>
      </c>
      <c r="G10" s="538">
        <v>4713</v>
      </c>
      <c r="H10" s="538">
        <v>5069</v>
      </c>
      <c r="I10" s="538">
        <v>5421</v>
      </c>
      <c r="J10" s="1201">
        <v>5821</v>
      </c>
      <c r="K10" s="1198" t="s">
        <v>128</v>
      </c>
      <c r="L10" s="538">
        <v>5918</v>
      </c>
      <c r="M10" s="538">
        <v>6118</v>
      </c>
      <c r="N10" s="1201">
        <v>6319</v>
      </c>
      <c r="O10" s="1198" t="s">
        <v>128</v>
      </c>
      <c r="P10" s="1201">
        <v>6499</v>
      </c>
      <c r="Q10" s="1198" t="s">
        <v>128</v>
      </c>
      <c r="R10" s="1201">
        <v>6685</v>
      </c>
      <c r="S10" s="1198" t="s">
        <v>128</v>
      </c>
      <c r="T10" s="1201">
        <v>6818</v>
      </c>
      <c r="U10" s="1198" t="s">
        <v>128</v>
      </c>
      <c r="V10" s="1201">
        <v>6778</v>
      </c>
      <c r="W10" s="1198" t="s">
        <v>128</v>
      </c>
      <c r="X10" s="538">
        <v>6726</v>
      </c>
      <c r="Y10" s="1201">
        <v>6710</v>
      </c>
      <c r="Z10" s="1123" t="s">
        <v>128</v>
      </c>
      <c r="AA10" s="538">
        <v>6814</v>
      </c>
      <c r="AB10" s="538">
        <v>6892</v>
      </c>
      <c r="AC10" s="538">
        <v>6815</v>
      </c>
      <c r="AD10" s="538">
        <v>6801</v>
      </c>
      <c r="AE10" s="538">
        <v>6850</v>
      </c>
      <c r="AF10" s="538">
        <v>6696</v>
      </c>
      <c r="AG10" s="538">
        <v>6605</v>
      </c>
      <c r="AH10" s="538">
        <v>6403</v>
      </c>
      <c r="AI10" s="1096">
        <v>6261</v>
      </c>
      <c r="AJ10" s="1208">
        <f>SUM(AJ8:AJ9)</f>
        <v>6261</v>
      </c>
      <c r="AK10" s="1208">
        <f>SUM(AK8:AK9)</f>
        <v>6275</v>
      </c>
      <c r="AL10" s="1208">
        <f>SUM(AL8:AL9)</f>
        <v>6251</v>
      </c>
    </row>
    <row r="11" spans="1:38">
      <c r="A11" s="1118" t="s">
        <v>129</v>
      </c>
      <c r="B11" s="1197" t="s">
        <v>190</v>
      </c>
      <c r="C11" s="533">
        <v>1073</v>
      </c>
      <c r="D11" s="533">
        <v>1070</v>
      </c>
      <c r="E11" s="533">
        <v>1078</v>
      </c>
      <c r="F11" s="533">
        <v>1083</v>
      </c>
      <c r="G11" s="533">
        <v>1088</v>
      </c>
      <c r="H11" s="533">
        <v>1096</v>
      </c>
      <c r="I11" s="533">
        <v>1105</v>
      </c>
      <c r="J11" s="1200">
        <v>1126</v>
      </c>
      <c r="K11" s="1197" t="s">
        <v>190</v>
      </c>
      <c r="L11" s="533">
        <v>1243</v>
      </c>
      <c r="M11" s="533">
        <v>1358</v>
      </c>
      <c r="N11" s="1200">
        <v>1468</v>
      </c>
      <c r="O11" s="1197" t="s">
        <v>190</v>
      </c>
      <c r="P11" s="1200">
        <v>1567</v>
      </c>
      <c r="Q11" s="1197" t="s">
        <v>190</v>
      </c>
      <c r="R11" s="1200">
        <v>1680</v>
      </c>
      <c r="S11" s="1197" t="s">
        <v>190</v>
      </c>
      <c r="T11" s="1200">
        <v>1692</v>
      </c>
      <c r="U11" s="1197" t="s">
        <v>190</v>
      </c>
      <c r="V11" s="1200">
        <v>1703</v>
      </c>
      <c r="W11" s="1197" t="s">
        <v>190</v>
      </c>
      <c r="X11" s="533">
        <v>1711</v>
      </c>
      <c r="Y11" s="1200">
        <v>1713</v>
      </c>
      <c r="Z11" t="s">
        <v>190</v>
      </c>
      <c r="AA11" s="533">
        <v>1701</v>
      </c>
      <c r="AB11" s="533">
        <v>1702</v>
      </c>
      <c r="AC11" s="533">
        <v>1702</v>
      </c>
      <c r="AD11" s="533">
        <v>1702</v>
      </c>
      <c r="AE11" s="533">
        <v>1696</v>
      </c>
      <c r="AF11" s="533">
        <v>1690</v>
      </c>
      <c r="AG11" s="533">
        <v>1682</v>
      </c>
      <c r="AH11" s="533">
        <v>1666</v>
      </c>
      <c r="AI11" s="1153">
        <v>1665</v>
      </c>
      <c r="AJ11" s="774">
        <v>1662</v>
      </c>
      <c r="AK11" s="530">
        <v>1663</v>
      </c>
      <c r="AL11" s="530">
        <v>1669</v>
      </c>
    </row>
    <row r="12" spans="1:38">
      <c r="A12" s="1118"/>
      <c r="B12" s="1197" t="s">
        <v>191</v>
      </c>
      <c r="C12" s="533">
        <v>45</v>
      </c>
      <c r="D12" s="533">
        <v>47</v>
      </c>
      <c r="E12" s="533">
        <v>49</v>
      </c>
      <c r="F12" s="533">
        <v>51</v>
      </c>
      <c r="G12" s="533">
        <v>51</v>
      </c>
      <c r="H12" s="533">
        <v>51</v>
      </c>
      <c r="I12" s="533">
        <v>51</v>
      </c>
      <c r="J12" s="1200">
        <v>51</v>
      </c>
      <c r="K12" s="1197" t="s">
        <v>191</v>
      </c>
      <c r="L12" s="533">
        <v>51</v>
      </c>
      <c r="M12" s="533">
        <v>51</v>
      </c>
      <c r="N12" s="1200">
        <v>51</v>
      </c>
      <c r="O12" s="1197" t="s">
        <v>191</v>
      </c>
      <c r="P12" s="1200">
        <v>52</v>
      </c>
      <c r="Q12" s="1197" t="s">
        <v>191</v>
      </c>
      <c r="R12" s="1200">
        <v>52</v>
      </c>
      <c r="S12" s="1197" t="s">
        <v>191</v>
      </c>
      <c r="T12" s="1200">
        <v>52</v>
      </c>
      <c r="U12" s="1197" t="s">
        <v>191</v>
      </c>
      <c r="V12" s="1200">
        <v>52</v>
      </c>
      <c r="W12" s="1197" t="s">
        <v>191</v>
      </c>
      <c r="X12" s="533">
        <v>51</v>
      </c>
      <c r="Y12" s="1200">
        <v>51</v>
      </c>
      <c r="Z12" t="s">
        <v>191</v>
      </c>
      <c r="AA12" s="533">
        <v>51</v>
      </c>
      <c r="AB12" s="533">
        <v>49</v>
      </c>
      <c r="AC12" s="533">
        <v>48</v>
      </c>
      <c r="AD12" s="533">
        <v>48</v>
      </c>
      <c r="AE12" s="533">
        <v>48</v>
      </c>
      <c r="AF12" s="533">
        <v>48</v>
      </c>
      <c r="AG12" s="533">
        <v>48</v>
      </c>
      <c r="AH12" s="533">
        <v>50</v>
      </c>
      <c r="AI12" s="814">
        <v>50</v>
      </c>
      <c r="AJ12" s="774">
        <v>50</v>
      </c>
      <c r="AK12" s="533">
        <v>50</v>
      </c>
      <c r="AL12" s="533">
        <v>50</v>
      </c>
    </row>
    <row r="13" spans="1:38">
      <c r="A13" s="1118"/>
      <c r="B13" s="1197" t="s">
        <v>192</v>
      </c>
      <c r="C13" s="533">
        <v>131</v>
      </c>
      <c r="D13" s="533">
        <v>134</v>
      </c>
      <c r="E13" s="533">
        <v>137</v>
      </c>
      <c r="F13" s="533">
        <v>140</v>
      </c>
      <c r="G13" s="533">
        <v>142</v>
      </c>
      <c r="H13" s="533">
        <v>146</v>
      </c>
      <c r="I13" s="533">
        <v>148</v>
      </c>
      <c r="J13" s="1200">
        <v>148</v>
      </c>
      <c r="K13" s="1197" t="s">
        <v>192</v>
      </c>
      <c r="L13" s="533">
        <v>148</v>
      </c>
      <c r="M13" s="533">
        <v>148</v>
      </c>
      <c r="N13" s="1200">
        <v>149</v>
      </c>
      <c r="O13" s="1197" t="s">
        <v>192</v>
      </c>
      <c r="P13" s="1200">
        <v>149</v>
      </c>
      <c r="Q13" s="1197" t="s">
        <v>192</v>
      </c>
      <c r="R13" s="1200">
        <v>150</v>
      </c>
      <c r="S13" s="1197" t="s">
        <v>192</v>
      </c>
      <c r="T13" s="1200">
        <v>150</v>
      </c>
      <c r="U13" s="1197" t="s">
        <v>192</v>
      </c>
      <c r="V13" s="1200">
        <v>149</v>
      </c>
      <c r="W13" s="1197" t="s">
        <v>192</v>
      </c>
      <c r="X13" s="533">
        <v>148</v>
      </c>
      <c r="Y13" s="1200">
        <v>147</v>
      </c>
      <c r="Z13" t="s">
        <v>192</v>
      </c>
      <c r="AA13" s="533">
        <v>146</v>
      </c>
      <c r="AB13" s="533">
        <v>142</v>
      </c>
      <c r="AC13" s="533">
        <v>138</v>
      </c>
      <c r="AD13" s="533">
        <v>137</v>
      </c>
      <c r="AE13" s="533">
        <v>136</v>
      </c>
      <c r="AF13" s="533">
        <v>136</v>
      </c>
      <c r="AG13" s="533">
        <v>140</v>
      </c>
      <c r="AH13" s="533">
        <v>161</v>
      </c>
      <c r="AI13" s="814">
        <v>168</v>
      </c>
      <c r="AJ13" s="774">
        <v>175</v>
      </c>
      <c r="AK13" s="533">
        <v>175</v>
      </c>
      <c r="AL13" s="533">
        <v>173</v>
      </c>
    </row>
    <row r="14" spans="1:38">
      <c r="A14" s="1118"/>
      <c r="B14" s="1197" t="s">
        <v>118</v>
      </c>
      <c r="C14" s="533">
        <v>358</v>
      </c>
      <c r="D14" s="533">
        <v>377</v>
      </c>
      <c r="E14" s="533">
        <v>383</v>
      </c>
      <c r="F14" s="533">
        <v>389</v>
      </c>
      <c r="G14" s="533">
        <v>391</v>
      </c>
      <c r="H14" s="533">
        <v>393</v>
      </c>
      <c r="I14" s="533">
        <v>395</v>
      </c>
      <c r="J14" s="1200">
        <v>396</v>
      </c>
      <c r="K14" s="1197" t="s">
        <v>118</v>
      </c>
      <c r="L14" s="533">
        <v>392</v>
      </c>
      <c r="M14" s="533">
        <v>389</v>
      </c>
      <c r="N14" s="1200">
        <v>386</v>
      </c>
      <c r="O14" s="1197" t="s">
        <v>118</v>
      </c>
      <c r="P14" s="1200">
        <v>386</v>
      </c>
      <c r="Q14" s="1197" t="s">
        <v>118</v>
      </c>
      <c r="R14" s="1200">
        <v>386</v>
      </c>
      <c r="S14" s="1197" t="s">
        <v>118</v>
      </c>
      <c r="T14" s="1200">
        <v>387</v>
      </c>
      <c r="U14" s="1197" t="s">
        <v>118</v>
      </c>
      <c r="V14" s="1200">
        <v>387</v>
      </c>
      <c r="W14" s="1197" t="s">
        <v>118</v>
      </c>
      <c r="X14" s="533">
        <v>387</v>
      </c>
      <c r="Y14" s="1200">
        <v>387</v>
      </c>
      <c r="Z14" t="s">
        <v>193</v>
      </c>
      <c r="AA14" s="533">
        <v>387</v>
      </c>
      <c r="AB14" s="533">
        <v>387</v>
      </c>
      <c r="AC14" s="533">
        <v>387</v>
      </c>
      <c r="AD14" s="533">
        <v>383</v>
      </c>
      <c r="AE14" s="533">
        <v>383</v>
      </c>
      <c r="AF14" s="533">
        <v>383</v>
      </c>
      <c r="AG14" s="533">
        <v>383</v>
      </c>
      <c r="AH14" s="533">
        <v>380</v>
      </c>
      <c r="AI14" s="814">
        <v>380</v>
      </c>
      <c r="AJ14" s="774">
        <v>380</v>
      </c>
      <c r="AK14" s="533">
        <v>380</v>
      </c>
      <c r="AL14" s="533">
        <v>380</v>
      </c>
    </row>
    <row r="15" spans="1:38">
      <c r="A15" s="1118"/>
      <c r="B15" s="1197" t="s">
        <v>126</v>
      </c>
      <c r="C15" s="533">
        <v>914</v>
      </c>
      <c r="D15" s="533">
        <v>901</v>
      </c>
      <c r="E15" s="533">
        <v>884</v>
      </c>
      <c r="F15" s="533">
        <v>871</v>
      </c>
      <c r="G15" s="533">
        <v>852</v>
      </c>
      <c r="H15" s="533">
        <v>783</v>
      </c>
      <c r="I15" s="533">
        <v>771</v>
      </c>
      <c r="J15" s="1200">
        <v>758</v>
      </c>
      <c r="K15" s="1197" t="s">
        <v>126</v>
      </c>
      <c r="L15" s="533">
        <v>721</v>
      </c>
      <c r="M15" s="533">
        <v>705</v>
      </c>
      <c r="N15" s="1200">
        <v>662</v>
      </c>
      <c r="O15" s="1197" t="s">
        <v>126</v>
      </c>
      <c r="P15" s="1200">
        <v>646</v>
      </c>
      <c r="Q15" s="1197" t="s">
        <v>126</v>
      </c>
      <c r="R15" s="1200">
        <v>633</v>
      </c>
      <c r="S15" s="1197" t="s">
        <v>126</v>
      </c>
      <c r="T15" s="1200">
        <v>623</v>
      </c>
      <c r="U15" s="1197" t="s">
        <v>126</v>
      </c>
      <c r="V15" s="1200">
        <v>612</v>
      </c>
      <c r="W15" s="1197" t="s">
        <v>126</v>
      </c>
      <c r="X15" s="533">
        <v>598</v>
      </c>
      <c r="Y15" s="1200">
        <v>582</v>
      </c>
      <c r="Z15" t="s">
        <v>194</v>
      </c>
      <c r="AA15" s="533">
        <v>567</v>
      </c>
      <c r="AB15" s="533">
        <v>557</v>
      </c>
      <c r="AC15" s="533">
        <v>546</v>
      </c>
      <c r="AD15" s="533">
        <v>534</v>
      </c>
      <c r="AE15" s="533">
        <v>525</v>
      </c>
      <c r="AF15" s="533">
        <v>523</v>
      </c>
      <c r="AG15" s="533">
        <v>539</v>
      </c>
      <c r="AH15" s="533">
        <v>532</v>
      </c>
      <c r="AI15" s="814">
        <v>530</v>
      </c>
      <c r="AJ15" s="774">
        <v>527</v>
      </c>
      <c r="AK15" s="533">
        <v>528</v>
      </c>
      <c r="AL15" s="533">
        <v>528</v>
      </c>
    </row>
    <row r="16" spans="1:38">
      <c r="A16" s="809"/>
      <c r="B16" s="1198" t="s">
        <v>128</v>
      </c>
      <c r="C16" s="538">
        <v>2521</v>
      </c>
      <c r="D16" s="538">
        <v>2529</v>
      </c>
      <c r="E16" s="538">
        <v>2531</v>
      </c>
      <c r="F16" s="538">
        <v>2534</v>
      </c>
      <c r="G16" s="538">
        <v>2524</v>
      </c>
      <c r="H16" s="538">
        <v>2469</v>
      </c>
      <c r="I16" s="538">
        <v>2470</v>
      </c>
      <c r="J16" s="1201">
        <v>2479</v>
      </c>
      <c r="K16" s="1198" t="s">
        <v>128</v>
      </c>
      <c r="L16" s="538">
        <v>2555</v>
      </c>
      <c r="M16" s="538">
        <v>2651</v>
      </c>
      <c r="N16" s="1201">
        <v>2716</v>
      </c>
      <c r="O16" s="1198" t="s">
        <v>128</v>
      </c>
      <c r="P16" s="1201">
        <v>2800</v>
      </c>
      <c r="Q16" s="1198" t="s">
        <v>128</v>
      </c>
      <c r="R16" s="1201">
        <v>2901</v>
      </c>
      <c r="S16" s="1198" t="s">
        <v>128</v>
      </c>
      <c r="T16" s="1201">
        <v>2904</v>
      </c>
      <c r="U16" s="1198" t="s">
        <v>128</v>
      </c>
      <c r="V16" s="1201">
        <v>2903</v>
      </c>
      <c r="W16" s="1198" t="s">
        <v>128</v>
      </c>
      <c r="X16" s="538">
        <v>2895</v>
      </c>
      <c r="Y16" s="1201">
        <v>2880</v>
      </c>
      <c r="Z16" s="1123" t="s">
        <v>128</v>
      </c>
      <c r="AA16" s="538">
        <v>2852</v>
      </c>
      <c r="AB16" s="538">
        <v>2837</v>
      </c>
      <c r="AC16" s="538">
        <v>2821</v>
      </c>
      <c r="AD16" s="538">
        <v>2804</v>
      </c>
      <c r="AE16" s="538">
        <v>2788</v>
      </c>
      <c r="AF16" s="538">
        <v>2780</v>
      </c>
      <c r="AG16" s="538">
        <v>2792</v>
      </c>
      <c r="AH16" s="538">
        <v>2789</v>
      </c>
      <c r="AI16" s="1154">
        <v>2793</v>
      </c>
      <c r="AJ16" s="1208">
        <f>SUM(AJ11:AJ15)</f>
        <v>2794</v>
      </c>
      <c r="AK16" s="1208">
        <f>SUM(AK11:AK15)</f>
        <v>2796</v>
      </c>
      <c r="AL16" s="1208">
        <f>SUM(AL11:AL15)</f>
        <v>2800</v>
      </c>
    </row>
    <row r="17" spans="1:38">
      <c r="A17" s="1118" t="s">
        <v>146</v>
      </c>
      <c r="B17" s="1197"/>
      <c r="C17" s="533"/>
      <c r="D17" s="533"/>
      <c r="E17" s="533"/>
      <c r="F17" s="533"/>
      <c r="G17" s="533"/>
      <c r="H17" s="533"/>
      <c r="I17" s="533"/>
      <c r="J17" s="1200"/>
      <c r="K17" s="1197"/>
      <c r="L17" s="533"/>
      <c r="M17" s="533"/>
      <c r="N17" s="1200"/>
      <c r="O17" s="1197"/>
      <c r="P17" s="1200"/>
      <c r="Q17" s="1197" t="s">
        <v>195</v>
      </c>
      <c r="R17" s="1200">
        <v>678</v>
      </c>
      <c r="S17" s="1197" t="s">
        <v>195</v>
      </c>
      <c r="T17" s="1200">
        <v>675</v>
      </c>
      <c r="U17" s="1197" t="s">
        <v>195</v>
      </c>
      <c r="V17" s="1200">
        <v>712</v>
      </c>
      <c r="W17" s="1197" t="s">
        <v>195</v>
      </c>
      <c r="X17" s="533">
        <v>794</v>
      </c>
      <c r="Y17" s="1200">
        <v>813</v>
      </c>
      <c r="Z17" t="s">
        <v>190</v>
      </c>
      <c r="AA17" s="533">
        <v>812</v>
      </c>
      <c r="AB17" s="533">
        <v>813</v>
      </c>
      <c r="AC17" s="533">
        <v>843</v>
      </c>
      <c r="AD17" s="533">
        <v>836</v>
      </c>
      <c r="AE17" s="533">
        <v>866</v>
      </c>
      <c r="AF17" s="533">
        <v>824</v>
      </c>
      <c r="AG17" s="533">
        <v>868</v>
      </c>
      <c r="AH17" s="533">
        <v>932</v>
      </c>
      <c r="AI17" s="1153">
        <v>953</v>
      </c>
      <c r="AJ17" s="547">
        <v>978</v>
      </c>
      <c r="AK17" s="530">
        <v>980</v>
      </c>
      <c r="AL17" s="530">
        <v>1052</v>
      </c>
    </row>
    <row r="18" spans="1:38">
      <c r="A18" s="1118"/>
      <c r="B18" s="1197"/>
      <c r="C18" s="533"/>
      <c r="D18" s="533"/>
      <c r="E18" s="533"/>
      <c r="F18" s="533"/>
      <c r="G18" s="533"/>
      <c r="H18" s="533"/>
      <c r="I18" s="533"/>
      <c r="J18" s="1200"/>
      <c r="K18" s="1197"/>
      <c r="L18" s="533"/>
      <c r="M18" s="533"/>
      <c r="N18" s="1200"/>
      <c r="O18" s="1197"/>
      <c r="P18" s="1200"/>
      <c r="Q18" s="1197" t="s">
        <v>196</v>
      </c>
      <c r="R18" s="1200">
        <v>27</v>
      </c>
      <c r="S18" s="1197" t="s">
        <v>196</v>
      </c>
      <c r="T18" s="1200">
        <v>33</v>
      </c>
      <c r="U18" s="1197" t="s">
        <v>196</v>
      </c>
      <c r="V18" s="1200">
        <v>36</v>
      </c>
      <c r="W18" s="1197" t="s">
        <v>197</v>
      </c>
      <c r="X18" s="533">
        <v>134</v>
      </c>
      <c r="Y18" s="1200">
        <v>145</v>
      </c>
      <c r="Z18" t="s">
        <v>198</v>
      </c>
      <c r="AA18" s="533">
        <v>160</v>
      </c>
      <c r="AB18" s="533">
        <v>159</v>
      </c>
      <c r="AC18" s="533">
        <v>159</v>
      </c>
      <c r="AD18" s="533">
        <v>162</v>
      </c>
      <c r="AE18" s="533">
        <v>162</v>
      </c>
      <c r="AF18" s="533">
        <v>172</v>
      </c>
      <c r="AG18" s="533">
        <v>195</v>
      </c>
      <c r="AH18" s="533">
        <v>197</v>
      </c>
      <c r="AI18" s="814">
        <v>194</v>
      </c>
      <c r="AJ18" s="774">
        <v>214</v>
      </c>
      <c r="AK18" s="533">
        <v>213</v>
      </c>
      <c r="AL18" s="533">
        <v>224</v>
      </c>
    </row>
    <row r="19" spans="1:38">
      <c r="A19" s="1118"/>
      <c r="B19" s="1197"/>
      <c r="C19" s="533"/>
      <c r="D19" s="533"/>
      <c r="E19" s="533"/>
      <c r="F19" s="533"/>
      <c r="G19" s="533"/>
      <c r="H19" s="533"/>
      <c r="I19" s="533"/>
      <c r="J19" s="1200"/>
      <c r="K19" s="1197"/>
      <c r="L19" s="533"/>
      <c r="M19" s="533"/>
      <c r="N19" s="1200"/>
      <c r="O19" s="1197"/>
      <c r="P19" s="1200"/>
      <c r="Q19" s="1197" t="s">
        <v>199</v>
      </c>
      <c r="R19" s="1200">
        <v>102</v>
      </c>
      <c r="S19" s="1197" t="s">
        <v>199</v>
      </c>
      <c r="T19" s="1200">
        <v>88</v>
      </c>
      <c r="U19" s="1197" t="s">
        <v>199</v>
      </c>
      <c r="V19" s="1200">
        <v>95</v>
      </c>
      <c r="W19" s="1197" t="s">
        <v>193</v>
      </c>
      <c r="X19" s="533">
        <v>99</v>
      </c>
      <c r="Y19" s="1200">
        <v>99</v>
      </c>
      <c r="Z19" t="s">
        <v>118</v>
      </c>
      <c r="AA19" s="533">
        <v>99</v>
      </c>
      <c r="AB19" s="533">
        <v>99</v>
      </c>
      <c r="AC19" s="533">
        <v>106</v>
      </c>
      <c r="AD19" s="533">
        <v>106</v>
      </c>
      <c r="AE19" s="533">
        <v>106</v>
      </c>
      <c r="AF19" s="533">
        <v>107</v>
      </c>
      <c r="AG19" s="533">
        <v>107</v>
      </c>
      <c r="AH19" s="533">
        <v>107</v>
      </c>
      <c r="AI19" s="814">
        <v>107</v>
      </c>
      <c r="AJ19" s="774">
        <v>107</v>
      </c>
      <c r="AK19" s="533">
        <v>106</v>
      </c>
      <c r="AL19" s="533">
        <v>106</v>
      </c>
    </row>
    <row r="20" spans="1:38">
      <c r="A20" s="1118"/>
      <c r="B20" s="1197"/>
      <c r="C20" s="533"/>
      <c r="D20" s="533"/>
      <c r="E20" s="533"/>
      <c r="F20" s="533"/>
      <c r="G20" s="533"/>
      <c r="H20" s="533"/>
      <c r="I20" s="533"/>
      <c r="J20" s="1200"/>
      <c r="K20" s="1197"/>
      <c r="L20" s="533"/>
      <c r="M20" s="533"/>
      <c r="N20" s="1200"/>
      <c r="O20" s="1197"/>
      <c r="P20" s="1200"/>
      <c r="Q20" s="1197" t="s">
        <v>193</v>
      </c>
      <c r="R20" s="1200">
        <v>88</v>
      </c>
      <c r="S20" s="1197" t="s">
        <v>193</v>
      </c>
      <c r="T20" s="1200">
        <v>99</v>
      </c>
      <c r="U20" s="1197" t="s">
        <v>193</v>
      </c>
      <c r="V20" s="1200">
        <v>99</v>
      </c>
      <c r="W20" s="1197" t="s">
        <v>200</v>
      </c>
      <c r="X20" s="533">
        <v>549</v>
      </c>
      <c r="Y20" s="1200">
        <v>522</v>
      </c>
      <c r="Z20" t="s">
        <v>200</v>
      </c>
      <c r="AA20" s="533">
        <v>497</v>
      </c>
      <c r="AB20" s="533">
        <v>497</v>
      </c>
      <c r="AC20" s="533">
        <v>492</v>
      </c>
      <c r="AD20" s="533">
        <v>488</v>
      </c>
      <c r="AE20" s="533">
        <v>493</v>
      </c>
      <c r="AF20" s="533">
        <v>558</v>
      </c>
      <c r="AG20" s="533">
        <v>571</v>
      </c>
      <c r="AH20" s="533">
        <v>583</v>
      </c>
      <c r="AI20" s="814">
        <v>649</v>
      </c>
      <c r="AJ20" s="774">
        <v>597</v>
      </c>
      <c r="AK20" s="533">
        <v>596</v>
      </c>
      <c r="AL20" s="533">
        <v>583</v>
      </c>
    </row>
    <row r="21" spans="1:38">
      <c r="A21" s="1118"/>
      <c r="B21" s="1197"/>
      <c r="C21" s="533"/>
      <c r="D21" s="533"/>
      <c r="E21" s="533"/>
      <c r="F21" s="533"/>
      <c r="G21" s="533"/>
      <c r="H21" s="533"/>
      <c r="I21" s="533"/>
      <c r="J21" s="1200"/>
      <c r="K21" s="1197"/>
      <c r="L21" s="533"/>
      <c r="M21" s="533"/>
      <c r="N21" s="1200"/>
      <c r="O21" s="1197"/>
      <c r="P21" s="1200"/>
      <c r="Q21" s="1197" t="s">
        <v>200</v>
      </c>
      <c r="R21" s="1200">
        <v>616</v>
      </c>
      <c r="S21" s="1197" t="s">
        <v>200</v>
      </c>
      <c r="T21" s="1200">
        <v>616</v>
      </c>
      <c r="U21" s="1197" t="s">
        <v>200</v>
      </c>
      <c r="V21" s="1200">
        <v>606</v>
      </c>
      <c r="W21" s="1197"/>
      <c r="X21" s="533"/>
      <c r="Y21" s="1200"/>
      <c r="AA21" s="533"/>
      <c r="AB21" s="533"/>
      <c r="AC21" s="533"/>
      <c r="AD21" s="533"/>
      <c r="AE21" s="533"/>
      <c r="AF21" s="533"/>
      <c r="AG21" s="533"/>
      <c r="AH21" s="533"/>
      <c r="AI21" s="814"/>
      <c r="AJ21" s="774"/>
      <c r="AK21" s="533"/>
      <c r="AL21" s="533"/>
    </row>
    <row r="22" spans="1:38">
      <c r="A22" s="809"/>
      <c r="B22" s="1198"/>
      <c r="C22" s="538"/>
      <c r="D22" s="538"/>
      <c r="E22" s="538"/>
      <c r="F22" s="538"/>
      <c r="G22" s="538"/>
      <c r="H22" s="538"/>
      <c r="I22" s="538"/>
      <c r="J22" s="1201"/>
      <c r="K22" s="1198"/>
      <c r="L22" s="538"/>
      <c r="M22" s="538"/>
      <c r="N22" s="1201"/>
      <c r="O22" s="1198"/>
      <c r="P22" s="1201"/>
      <c r="Q22" s="1198" t="s">
        <v>128</v>
      </c>
      <c r="R22" s="1201">
        <v>1511</v>
      </c>
      <c r="S22" s="1198" t="s">
        <v>128</v>
      </c>
      <c r="T22" s="1201">
        <v>1511</v>
      </c>
      <c r="U22" s="1198" t="s">
        <v>128</v>
      </c>
      <c r="V22" s="1201">
        <v>1548</v>
      </c>
      <c r="W22" s="1198" t="s">
        <v>128</v>
      </c>
      <c r="X22" s="538">
        <v>1576</v>
      </c>
      <c r="Y22" s="1201">
        <v>1579</v>
      </c>
      <c r="Z22" s="1123" t="s">
        <v>128</v>
      </c>
      <c r="AA22" s="538">
        <v>1568</v>
      </c>
      <c r="AB22" s="538">
        <v>1568</v>
      </c>
      <c r="AC22" s="538">
        <v>1600</v>
      </c>
      <c r="AD22" s="538">
        <v>1592</v>
      </c>
      <c r="AE22" s="538">
        <v>1627</v>
      </c>
      <c r="AF22" s="538">
        <v>1661</v>
      </c>
      <c r="AG22" s="538">
        <v>1741</v>
      </c>
      <c r="AH22" s="538">
        <v>1819</v>
      </c>
      <c r="AI22" s="1154">
        <v>1903</v>
      </c>
      <c r="AJ22" s="1208">
        <f>SUM(AJ17:AJ21)</f>
        <v>1896</v>
      </c>
      <c r="AK22" s="1208">
        <f>SUM(AK17:AK21)</f>
        <v>1895</v>
      </c>
      <c r="AL22" s="1208">
        <v>1965</v>
      </c>
    </row>
    <row r="23" spans="1:38">
      <c r="A23" s="1118" t="s">
        <v>156</v>
      </c>
      <c r="B23" s="1197"/>
      <c r="C23" s="533"/>
      <c r="D23" s="533"/>
      <c r="E23" s="533"/>
      <c r="F23" s="533"/>
      <c r="G23" s="533"/>
      <c r="H23" s="533"/>
      <c r="I23" s="533"/>
      <c r="J23" s="1200"/>
      <c r="K23" s="1197"/>
      <c r="L23" s="533"/>
      <c r="M23" s="533"/>
      <c r="N23" s="1200"/>
      <c r="O23" s="1197"/>
      <c r="P23" s="1200"/>
      <c r="Q23" s="1197"/>
      <c r="R23" s="1200"/>
      <c r="S23" s="1197"/>
      <c r="T23" s="1200"/>
      <c r="U23" s="1197"/>
      <c r="V23" s="1200"/>
      <c r="W23" s="1197" t="s">
        <v>201</v>
      </c>
      <c r="X23" s="533">
        <v>88</v>
      </c>
      <c r="Y23" s="1200">
        <v>93</v>
      </c>
      <c r="Z23" t="s">
        <v>201</v>
      </c>
      <c r="AA23" s="533">
        <v>94</v>
      </c>
      <c r="AB23" s="533">
        <v>91</v>
      </c>
      <c r="AC23" s="533">
        <v>91</v>
      </c>
      <c r="AD23" s="533">
        <v>7</v>
      </c>
      <c r="AE23" s="533">
        <v>7</v>
      </c>
      <c r="AF23" s="533">
        <v>8</v>
      </c>
      <c r="AG23" s="533">
        <v>8</v>
      </c>
      <c r="AH23" s="533">
        <v>10</v>
      </c>
      <c r="AI23" s="814"/>
      <c r="AJ23" s="547"/>
      <c r="AK23" s="530"/>
      <c r="AL23" s="530"/>
    </row>
    <row r="24" spans="1:38">
      <c r="A24" s="1118"/>
      <c r="B24" s="1197"/>
      <c r="C24" s="533"/>
      <c r="D24" s="533"/>
      <c r="E24" s="533"/>
      <c r="F24" s="533"/>
      <c r="G24" s="533"/>
      <c r="H24" s="533"/>
      <c r="I24" s="533"/>
      <c r="J24" s="1200"/>
      <c r="K24" s="1197"/>
      <c r="L24" s="533"/>
      <c r="M24" s="533"/>
      <c r="N24" s="1200"/>
      <c r="O24" s="1197"/>
      <c r="P24" s="1200"/>
      <c r="Q24" s="1197"/>
      <c r="R24" s="1200"/>
      <c r="S24" s="1197"/>
      <c r="T24" s="1200"/>
      <c r="U24" s="1197"/>
      <c r="V24" s="1200"/>
      <c r="W24" s="1197" t="s">
        <v>202</v>
      </c>
      <c r="X24" s="533">
        <v>2112</v>
      </c>
      <c r="Y24" s="1200">
        <v>2058</v>
      </c>
      <c r="Z24" t="s">
        <v>203</v>
      </c>
      <c r="AA24" s="533">
        <v>2010</v>
      </c>
      <c r="AB24" s="533">
        <v>1855</v>
      </c>
      <c r="AC24" s="533">
        <v>1812</v>
      </c>
      <c r="AD24" s="533">
        <v>10000</v>
      </c>
      <c r="AE24" s="533">
        <v>11421</v>
      </c>
      <c r="AF24" s="533" t="s">
        <v>204</v>
      </c>
      <c r="AG24" s="533"/>
      <c r="AH24" s="533" t="s">
        <v>205</v>
      </c>
      <c r="AI24" s="814"/>
      <c r="AJ24" s="774"/>
      <c r="AK24" s="533"/>
      <c r="AL24" s="533"/>
    </row>
    <row r="25" spans="1:38">
      <c r="A25" s="1118"/>
      <c r="B25" s="1197"/>
      <c r="C25" s="533"/>
      <c r="D25" s="533"/>
      <c r="E25" s="533"/>
      <c r="F25" s="533"/>
      <c r="G25" s="533"/>
      <c r="H25" s="533"/>
      <c r="I25" s="533"/>
      <c r="J25" s="1200"/>
      <c r="K25" s="1197"/>
      <c r="L25" s="533"/>
      <c r="M25" s="533"/>
      <c r="N25" s="1200"/>
      <c r="O25" s="1197"/>
      <c r="P25" s="1200"/>
      <c r="Q25" s="1197"/>
      <c r="R25" s="1200"/>
      <c r="S25" s="1197"/>
      <c r="T25" s="1200"/>
      <c r="U25" s="1197"/>
      <c r="V25" s="1200"/>
      <c r="W25" s="1197" t="s">
        <v>206</v>
      </c>
      <c r="X25" s="533">
        <v>270</v>
      </c>
      <c r="Y25" s="1200">
        <v>260</v>
      </c>
      <c r="Z25" t="s">
        <v>207</v>
      </c>
      <c r="AA25" s="533">
        <v>251</v>
      </c>
      <c r="AB25" s="533">
        <v>244</v>
      </c>
      <c r="AC25" s="533">
        <v>248</v>
      </c>
      <c r="AD25" s="533"/>
      <c r="AE25" s="533"/>
      <c r="AF25" s="533"/>
      <c r="AG25" s="533"/>
      <c r="AH25" s="533"/>
      <c r="AI25" s="814"/>
      <c r="AJ25" s="774"/>
      <c r="AK25" s="533"/>
      <c r="AL25" s="533"/>
    </row>
    <row r="26" spans="1:38">
      <c r="A26" s="1118"/>
      <c r="B26" s="1197"/>
      <c r="C26" s="533"/>
      <c r="D26" s="533"/>
      <c r="E26" s="533"/>
      <c r="F26" s="533"/>
      <c r="G26" s="533"/>
      <c r="H26" s="533"/>
      <c r="I26" s="533"/>
      <c r="J26" s="1200"/>
      <c r="K26" s="1197"/>
      <c r="L26" s="533"/>
      <c r="M26" s="533"/>
      <c r="N26" s="1200"/>
      <c r="O26" s="1197"/>
      <c r="P26" s="1200"/>
      <c r="Q26" s="1197"/>
      <c r="R26" s="1200"/>
      <c r="S26" s="1197"/>
      <c r="T26" s="1200"/>
      <c r="U26" s="1197"/>
      <c r="V26" s="1200"/>
      <c r="W26" s="1197" t="s">
        <v>208</v>
      </c>
      <c r="X26" s="533">
        <v>787</v>
      </c>
      <c r="Y26" s="1200">
        <v>822</v>
      </c>
      <c r="Z26" t="s">
        <v>209</v>
      </c>
      <c r="AA26" s="533">
        <v>280</v>
      </c>
      <c r="AB26" s="533">
        <v>279</v>
      </c>
      <c r="AC26" s="533">
        <v>272</v>
      </c>
      <c r="AD26" s="533"/>
      <c r="AE26" s="533"/>
      <c r="AF26" s="533"/>
      <c r="AG26" s="533"/>
      <c r="AH26" s="533"/>
      <c r="AI26" s="814"/>
      <c r="AJ26" s="774"/>
      <c r="AK26" s="533"/>
      <c r="AL26" s="533"/>
    </row>
    <row r="27" spans="1:38">
      <c r="A27" s="1118"/>
      <c r="B27" s="1197"/>
      <c r="C27" s="533"/>
      <c r="D27" s="533"/>
      <c r="E27" s="533"/>
      <c r="F27" s="533"/>
      <c r="G27" s="533"/>
      <c r="H27" s="533"/>
      <c r="I27" s="533"/>
      <c r="J27" s="1200"/>
      <c r="K27" s="1197"/>
      <c r="L27" s="533"/>
      <c r="M27" s="533"/>
      <c r="N27" s="1200"/>
      <c r="O27" s="1197"/>
      <c r="P27" s="1200"/>
      <c r="Q27" s="1197"/>
      <c r="R27" s="1200"/>
      <c r="S27" s="1197"/>
      <c r="T27" s="1200"/>
      <c r="U27" s="1197"/>
      <c r="V27" s="1200"/>
      <c r="W27" s="1197" t="s">
        <v>210</v>
      </c>
      <c r="X27" s="533">
        <v>275</v>
      </c>
      <c r="Y27" s="1200">
        <v>262</v>
      </c>
      <c r="Z27" t="s">
        <v>211</v>
      </c>
      <c r="AA27" s="533">
        <v>265</v>
      </c>
      <c r="AB27" s="533">
        <v>334</v>
      </c>
      <c r="AC27" s="533">
        <v>344</v>
      </c>
      <c r="AD27" s="533"/>
      <c r="AE27" s="533"/>
      <c r="AF27" s="533"/>
      <c r="AG27" s="533"/>
      <c r="AH27" s="533"/>
      <c r="AI27" s="814"/>
      <c r="AJ27" s="774"/>
      <c r="AK27" s="533"/>
      <c r="AL27" s="533"/>
    </row>
    <row r="28" spans="1:38">
      <c r="A28" s="1118"/>
      <c r="B28" s="1197"/>
      <c r="C28" s="533"/>
      <c r="D28" s="533"/>
      <c r="E28" s="533"/>
      <c r="F28" s="533"/>
      <c r="G28" s="533"/>
      <c r="H28" s="533"/>
      <c r="I28" s="533"/>
      <c r="J28" s="1200"/>
      <c r="K28" s="1197"/>
      <c r="L28" s="533"/>
      <c r="M28" s="533"/>
      <c r="N28" s="1200"/>
      <c r="O28" s="1197"/>
      <c r="P28" s="1200"/>
      <c r="Q28" s="1197"/>
      <c r="R28" s="1200"/>
      <c r="S28" s="1197"/>
      <c r="T28" s="1200"/>
      <c r="U28" s="1197"/>
      <c r="V28" s="1200"/>
      <c r="W28" s="1197" t="s">
        <v>212</v>
      </c>
      <c r="X28" s="533">
        <v>4752</v>
      </c>
      <c r="Y28" s="1200">
        <v>6260</v>
      </c>
      <c r="Z28" t="s">
        <v>213</v>
      </c>
      <c r="AA28" s="533">
        <v>252</v>
      </c>
      <c r="AB28" s="533">
        <v>252</v>
      </c>
      <c r="AC28" s="533">
        <v>261</v>
      </c>
      <c r="AD28" s="533"/>
      <c r="AE28" s="533"/>
      <c r="AF28" s="533"/>
      <c r="AG28" s="533"/>
      <c r="AH28" s="533"/>
      <c r="AI28" s="814"/>
      <c r="AJ28" s="774"/>
      <c r="AK28" s="533"/>
      <c r="AL28" s="533"/>
    </row>
    <row r="29" spans="1:38">
      <c r="A29" s="1118"/>
      <c r="B29" s="1197"/>
      <c r="C29" s="533"/>
      <c r="D29" s="533"/>
      <c r="E29" s="533"/>
      <c r="F29" s="533"/>
      <c r="G29" s="533"/>
      <c r="H29" s="533"/>
      <c r="I29" s="533"/>
      <c r="J29" s="1200"/>
      <c r="K29" s="1197"/>
      <c r="L29" s="533"/>
      <c r="M29" s="533"/>
      <c r="N29" s="1200"/>
      <c r="O29" s="1197"/>
      <c r="P29" s="1200"/>
      <c r="Q29" s="1197"/>
      <c r="R29" s="1200"/>
      <c r="S29" s="1197"/>
      <c r="T29" s="1200"/>
      <c r="U29" s="1197"/>
      <c r="V29" s="1200"/>
      <c r="W29" s="1197"/>
      <c r="X29" s="533"/>
      <c r="Y29" s="1200"/>
      <c r="Z29" t="s">
        <v>214</v>
      </c>
      <c r="AA29" s="533">
        <v>232</v>
      </c>
      <c r="AB29" s="533">
        <v>278</v>
      </c>
      <c r="AC29" s="533">
        <v>292</v>
      </c>
      <c r="AD29" s="533"/>
      <c r="AE29" s="533"/>
      <c r="AF29" s="533"/>
      <c r="AG29" s="533"/>
      <c r="AH29" s="533"/>
      <c r="AI29" s="814"/>
      <c r="AJ29" s="774"/>
      <c r="AK29" s="533"/>
      <c r="AL29" s="533"/>
    </row>
    <row r="30" spans="1:38">
      <c r="A30" s="1118"/>
      <c r="B30" s="1197"/>
      <c r="C30" s="533"/>
      <c r="D30" s="533"/>
      <c r="E30" s="533"/>
      <c r="F30" s="533"/>
      <c r="G30" s="533"/>
      <c r="H30" s="533"/>
      <c r="I30" s="533"/>
      <c r="J30" s="1200"/>
      <c r="K30" s="1197"/>
      <c r="L30" s="533"/>
      <c r="M30" s="533"/>
      <c r="N30" s="1200"/>
      <c r="O30" s="1197"/>
      <c r="P30" s="1200"/>
      <c r="Q30" s="1197"/>
      <c r="R30" s="1200"/>
      <c r="S30" s="1197"/>
      <c r="T30" s="1200"/>
      <c r="U30" s="1197"/>
      <c r="V30" s="1200"/>
      <c r="W30" s="1197"/>
      <c r="X30" s="533"/>
      <c r="Y30" s="1200"/>
      <c r="Z30" t="s">
        <v>215</v>
      </c>
      <c r="AA30" s="533">
        <v>7922</v>
      </c>
      <c r="AB30" s="533">
        <v>9579</v>
      </c>
      <c r="AC30" s="533">
        <v>10639</v>
      </c>
      <c r="AD30" s="533"/>
      <c r="AE30" s="533"/>
      <c r="AF30" s="533"/>
      <c r="AG30" s="533"/>
      <c r="AH30" s="533"/>
      <c r="AI30" s="814"/>
      <c r="AJ30" s="774"/>
      <c r="AK30" s="533"/>
      <c r="AL30" s="533"/>
    </row>
    <row r="31" spans="1:38">
      <c r="A31" s="809"/>
      <c r="B31" s="1198"/>
      <c r="C31" s="538"/>
      <c r="D31" s="538"/>
      <c r="E31" s="538"/>
      <c r="F31" s="538"/>
      <c r="G31" s="538"/>
      <c r="H31" s="538"/>
      <c r="I31" s="538"/>
      <c r="J31" s="1201"/>
      <c r="K31" s="1198"/>
      <c r="L31" s="538"/>
      <c r="M31" s="538"/>
      <c r="N31" s="1201"/>
      <c r="O31" s="1198"/>
      <c r="P31" s="1201"/>
      <c r="Q31" s="1198"/>
      <c r="R31" s="1201"/>
      <c r="S31" s="1198"/>
      <c r="T31" s="1201"/>
      <c r="U31" s="1198"/>
      <c r="V31" s="1201"/>
      <c r="W31" s="1198" t="s">
        <v>128</v>
      </c>
      <c r="X31" s="538">
        <v>8284</v>
      </c>
      <c r="Y31" s="1201">
        <v>9755</v>
      </c>
      <c r="Z31" s="1123" t="s">
        <v>128</v>
      </c>
      <c r="AA31" s="538">
        <v>11306</v>
      </c>
      <c r="AB31" s="538">
        <v>12912</v>
      </c>
      <c r="AC31" s="538">
        <v>13959</v>
      </c>
      <c r="AD31" s="538">
        <v>14770</v>
      </c>
      <c r="AE31" s="538"/>
      <c r="AF31" s="538"/>
      <c r="AG31" s="538"/>
      <c r="AH31" s="538"/>
      <c r="AI31" s="1096"/>
      <c r="AJ31" s="1208"/>
      <c r="AK31" s="538"/>
      <c r="AL31" s="538"/>
    </row>
    <row r="32" spans="1:38">
      <c r="A32" s="1118" t="s">
        <v>170</v>
      </c>
      <c r="B32" s="1197" t="s">
        <v>157</v>
      </c>
      <c r="C32" s="533">
        <v>2434</v>
      </c>
      <c r="D32" s="533">
        <v>2158</v>
      </c>
      <c r="E32" s="533">
        <v>2594</v>
      </c>
      <c r="F32" s="533">
        <v>2940</v>
      </c>
      <c r="G32" s="533">
        <v>3143</v>
      </c>
      <c r="H32" s="533">
        <v>3165</v>
      </c>
      <c r="I32" s="533">
        <v>3489</v>
      </c>
      <c r="J32" s="1200">
        <v>3535</v>
      </c>
      <c r="K32" s="1197" t="s">
        <v>216</v>
      </c>
      <c r="L32" s="533">
        <v>3681</v>
      </c>
      <c r="M32" s="533">
        <v>4177</v>
      </c>
      <c r="N32" s="1200">
        <v>4779</v>
      </c>
      <c r="O32" s="1197" t="s">
        <v>216</v>
      </c>
      <c r="P32" s="1200">
        <v>5376</v>
      </c>
      <c r="Q32" s="1197" t="s">
        <v>216</v>
      </c>
      <c r="R32" s="1200">
        <v>5955</v>
      </c>
      <c r="S32" s="1197" t="s">
        <v>216</v>
      </c>
      <c r="T32" s="1200">
        <v>6143</v>
      </c>
      <c r="U32" s="1197" t="s">
        <v>216</v>
      </c>
      <c r="V32" s="1200">
        <v>6128</v>
      </c>
      <c r="W32" s="1197" t="s">
        <v>216</v>
      </c>
      <c r="X32" s="533">
        <v>6690</v>
      </c>
      <c r="Y32" s="1200">
        <v>7831</v>
      </c>
      <c r="Z32" t="s">
        <v>216</v>
      </c>
      <c r="AA32" s="533">
        <v>7928</v>
      </c>
      <c r="AB32" s="533">
        <v>9145</v>
      </c>
      <c r="AC32" s="533">
        <v>8977</v>
      </c>
      <c r="AD32" s="533">
        <v>8160</v>
      </c>
      <c r="AE32" s="533">
        <v>7961</v>
      </c>
      <c r="AF32" s="533">
        <v>8007</v>
      </c>
      <c r="AG32" s="533">
        <v>8125</v>
      </c>
      <c r="AH32" s="533">
        <v>8230</v>
      </c>
      <c r="AI32" s="1153">
        <v>7840</v>
      </c>
      <c r="AJ32" s="547">
        <v>8214</v>
      </c>
      <c r="AK32" s="530">
        <v>8237</v>
      </c>
      <c r="AL32" s="530">
        <v>8599</v>
      </c>
    </row>
    <row r="33" spans="1:38">
      <c r="A33" s="1118"/>
      <c r="B33" s="1197" t="s">
        <v>118</v>
      </c>
      <c r="C33" s="533">
        <v>84</v>
      </c>
      <c r="D33" s="533">
        <v>81</v>
      </c>
      <c r="E33" s="533">
        <v>86</v>
      </c>
      <c r="F33" s="533">
        <v>102</v>
      </c>
      <c r="G33" s="533">
        <v>117</v>
      </c>
      <c r="H33" s="533">
        <v>114</v>
      </c>
      <c r="I33" s="533">
        <v>110</v>
      </c>
      <c r="J33" s="1200">
        <v>109</v>
      </c>
      <c r="K33" s="1197" t="s">
        <v>217</v>
      </c>
      <c r="L33" s="533">
        <v>72</v>
      </c>
      <c r="M33" s="533">
        <v>81</v>
      </c>
      <c r="N33" s="1200">
        <v>104</v>
      </c>
      <c r="O33" s="1197" t="s">
        <v>217</v>
      </c>
      <c r="P33" s="1200">
        <v>101</v>
      </c>
      <c r="Q33" s="1197" t="s">
        <v>217</v>
      </c>
      <c r="R33" s="1200">
        <v>100</v>
      </c>
      <c r="S33" s="1197" t="s">
        <v>217</v>
      </c>
      <c r="T33" s="1200">
        <v>99</v>
      </c>
      <c r="U33" s="1197" t="s">
        <v>217</v>
      </c>
      <c r="V33" s="1200">
        <v>97</v>
      </c>
      <c r="W33" s="1197" t="s">
        <v>217</v>
      </c>
      <c r="X33" s="533">
        <v>95</v>
      </c>
      <c r="Y33" s="1200">
        <v>104</v>
      </c>
      <c r="Z33" t="s">
        <v>217</v>
      </c>
      <c r="AA33" s="533">
        <v>123</v>
      </c>
      <c r="AB33" s="533">
        <v>157</v>
      </c>
      <c r="AC33" s="533">
        <v>184</v>
      </c>
      <c r="AD33" s="533">
        <v>191</v>
      </c>
      <c r="AE33" s="533">
        <v>186</v>
      </c>
      <c r="AF33" s="533">
        <v>178</v>
      </c>
      <c r="AG33" s="533">
        <v>171</v>
      </c>
      <c r="AH33" s="533">
        <v>204</v>
      </c>
      <c r="AI33" s="814">
        <v>233</v>
      </c>
      <c r="AJ33" s="774">
        <v>295</v>
      </c>
      <c r="AK33" s="533">
        <v>331</v>
      </c>
      <c r="AL33" s="533">
        <v>345</v>
      </c>
    </row>
    <row r="34" spans="1:38">
      <c r="A34" s="1118"/>
      <c r="B34" s="1197" t="s">
        <v>126</v>
      </c>
      <c r="C34" s="533">
        <v>2714</v>
      </c>
      <c r="D34" s="533">
        <v>2975</v>
      </c>
      <c r="E34" s="533">
        <v>3090</v>
      </c>
      <c r="F34" s="533">
        <v>3221</v>
      </c>
      <c r="G34" s="533">
        <v>3134</v>
      </c>
      <c r="H34" s="533">
        <v>3280</v>
      </c>
      <c r="I34" s="533">
        <v>3122</v>
      </c>
      <c r="J34" s="1200">
        <v>3079</v>
      </c>
      <c r="K34" s="1197" t="s">
        <v>218</v>
      </c>
      <c r="L34" s="533">
        <v>1448</v>
      </c>
      <c r="M34" s="533">
        <v>1441</v>
      </c>
      <c r="N34" s="1200">
        <v>2400</v>
      </c>
      <c r="O34" s="1197" t="s">
        <v>219</v>
      </c>
      <c r="P34" s="1200">
        <v>404</v>
      </c>
      <c r="Q34" s="1197" t="s">
        <v>219</v>
      </c>
      <c r="R34" s="1200">
        <v>398</v>
      </c>
      <c r="S34" s="1197" t="s">
        <v>219</v>
      </c>
      <c r="T34" s="1200">
        <v>388</v>
      </c>
      <c r="U34" s="1197" t="s">
        <v>219</v>
      </c>
      <c r="V34" s="1200">
        <v>378</v>
      </c>
      <c r="W34" s="1197" t="s">
        <v>219</v>
      </c>
      <c r="X34" s="533">
        <v>378</v>
      </c>
      <c r="Y34" s="1200">
        <v>386</v>
      </c>
      <c r="Z34" t="s">
        <v>219</v>
      </c>
      <c r="AA34" s="533">
        <v>409</v>
      </c>
      <c r="AB34" s="533">
        <v>429</v>
      </c>
      <c r="AC34" s="533">
        <v>456</v>
      </c>
      <c r="AD34" s="533">
        <v>570</v>
      </c>
      <c r="AE34" s="533">
        <v>549</v>
      </c>
      <c r="AF34" s="533">
        <v>579</v>
      </c>
      <c r="AG34" s="533">
        <v>627</v>
      </c>
      <c r="AH34" s="533">
        <v>622</v>
      </c>
      <c r="AI34" s="814">
        <v>662</v>
      </c>
      <c r="AJ34" s="774">
        <v>718</v>
      </c>
      <c r="AK34" s="533">
        <v>756</v>
      </c>
      <c r="AL34" s="533">
        <v>765</v>
      </c>
    </row>
    <row r="35" spans="1:38">
      <c r="A35" s="1118"/>
      <c r="B35" s="1197"/>
      <c r="C35" s="533"/>
      <c r="D35" s="533"/>
      <c r="E35" s="533"/>
      <c r="F35" s="533"/>
      <c r="G35" s="533"/>
      <c r="H35" s="533"/>
      <c r="I35" s="533"/>
      <c r="J35" s="1200"/>
      <c r="K35" s="1197" t="s">
        <v>220</v>
      </c>
      <c r="L35" s="533">
        <v>1426</v>
      </c>
      <c r="M35" s="533">
        <v>1664</v>
      </c>
      <c r="N35" s="1200">
        <v>906</v>
      </c>
      <c r="O35" s="1197" t="s">
        <v>220</v>
      </c>
      <c r="P35" s="1200">
        <v>3032</v>
      </c>
      <c r="Q35" s="1197" t="s">
        <v>220</v>
      </c>
      <c r="R35" s="1200">
        <v>3065</v>
      </c>
      <c r="S35" s="1197" t="s">
        <v>220</v>
      </c>
      <c r="T35" s="1200">
        <v>3086</v>
      </c>
      <c r="U35" s="1197" t="s">
        <v>220</v>
      </c>
      <c r="V35" s="1200">
        <v>2904</v>
      </c>
      <c r="W35" s="1197" t="s">
        <v>220</v>
      </c>
      <c r="X35" s="533">
        <v>3047</v>
      </c>
      <c r="Y35" s="1200">
        <v>3210</v>
      </c>
      <c r="Z35" t="s">
        <v>221</v>
      </c>
      <c r="AA35" s="533">
        <v>3313</v>
      </c>
      <c r="AB35" s="533">
        <v>2719</v>
      </c>
      <c r="AC35" s="533">
        <v>3050</v>
      </c>
      <c r="AD35" s="533">
        <v>3804</v>
      </c>
      <c r="AE35" s="533">
        <v>3892</v>
      </c>
      <c r="AF35" s="533">
        <v>3815</v>
      </c>
      <c r="AG35" s="533">
        <v>3639</v>
      </c>
      <c r="AH35" s="533">
        <v>3872</v>
      </c>
      <c r="AI35" s="814">
        <v>4228</v>
      </c>
      <c r="AJ35" s="774">
        <v>3876</v>
      </c>
      <c r="AK35" s="533">
        <v>4128</v>
      </c>
      <c r="AL35" s="533">
        <v>4373</v>
      </c>
    </row>
    <row r="36" spans="1:38">
      <c r="A36" s="809"/>
      <c r="B36" s="1198" t="s">
        <v>128</v>
      </c>
      <c r="C36" s="538">
        <v>5232</v>
      </c>
      <c r="D36" s="538">
        <v>5214</v>
      </c>
      <c r="E36" s="538">
        <v>5770</v>
      </c>
      <c r="F36" s="538">
        <v>6263</v>
      </c>
      <c r="G36" s="538">
        <v>6394</v>
      </c>
      <c r="H36" s="538">
        <v>6559</v>
      </c>
      <c r="I36" s="538">
        <v>6721</v>
      </c>
      <c r="J36" s="1201">
        <v>6723</v>
      </c>
      <c r="K36" s="1198" t="s">
        <v>128</v>
      </c>
      <c r="L36" s="538">
        <v>6627</v>
      </c>
      <c r="M36" s="538">
        <v>7363</v>
      </c>
      <c r="N36" s="1201">
        <v>8189</v>
      </c>
      <c r="O36" s="1198" t="s">
        <v>128</v>
      </c>
      <c r="P36" s="1201">
        <v>8913</v>
      </c>
      <c r="Q36" s="1198" t="s">
        <v>128</v>
      </c>
      <c r="R36" s="1201">
        <v>9518</v>
      </c>
      <c r="S36" s="1198" t="s">
        <v>128</v>
      </c>
      <c r="T36" s="1201">
        <v>9716</v>
      </c>
      <c r="U36" s="1198" t="s">
        <v>128</v>
      </c>
      <c r="V36" s="1201">
        <v>9507</v>
      </c>
      <c r="W36" s="1198" t="s">
        <v>128</v>
      </c>
      <c r="X36" s="538">
        <v>10210</v>
      </c>
      <c r="Y36" s="1201">
        <v>11531</v>
      </c>
      <c r="Z36" s="1123" t="s">
        <v>128</v>
      </c>
      <c r="AA36" s="538">
        <v>11773</v>
      </c>
      <c r="AB36" s="538">
        <v>12450</v>
      </c>
      <c r="AC36" s="538">
        <v>12667</v>
      </c>
      <c r="AD36" s="538">
        <v>12725</v>
      </c>
      <c r="AE36" s="538">
        <v>12588</v>
      </c>
      <c r="AF36" s="538">
        <v>12579</v>
      </c>
      <c r="AG36" s="538">
        <v>12562</v>
      </c>
      <c r="AH36" s="538">
        <v>12928</v>
      </c>
      <c r="AI36" s="1154">
        <v>12963</v>
      </c>
      <c r="AJ36" s="1208">
        <f>SUM(AJ32:AJ35)</f>
        <v>13103</v>
      </c>
      <c r="AK36" s="1208">
        <f>SUM(AK32:AK35)</f>
        <v>13452</v>
      </c>
      <c r="AL36" s="1208">
        <f>SUM(AL32:AL35)</f>
        <v>14082</v>
      </c>
    </row>
    <row r="37" spans="1:38">
      <c r="AJ37" s="123"/>
    </row>
  </sheetData>
  <phoneticPr fontId="93" type="noConversion"/>
  <hyperlinks>
    <hyperlink ref="AJ1" location="Content!A1" display="content" xr:uid="{00000000-0004-0000-0400-000000000000}"/>
  </hyperlink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L68"/>
  <sheetViews>
    <sheetView zoomScale="80" zoomScaleNormal="80" workbookViewId="0">
      <selection activeCell="A32" sqref="A32"/>
    </sheetView>
  </sheetViews>
  <sheetFormatPr defaultColWidth="9" defaultRowHeight="14.4"/>
  <cols>
    <col min="1" max="1" width="38.109375" customWidth="1"/>
    <col min="2" max="2" width="29.33203125" customWidth="1"/>
    <col min="3" max="3" width="16.77734375" customWidth="1"/>
    <col min="11" max="11" width="29.33203125" customWidth="1"/>
    <col min="12" max="12" width="23.5546875" customWidth="1"/>
    <col min="17" max="17" width="34.21875" customWidth="1"/>
    <col min="18" max="18" width="41.21875" customWidth="1"/>
    <col min="22" max="22" width="34.21875" customWidth="1"/>
    <col min="23" max="23" width="41.21875" customWidth="1"/>
    <col min="24" max="35" width="9.77734375" customWidth="1"/>
    <col min="36" max="36" width="10.77734375" customWidth="1"/>
    <col min="37" max="38" width="11.77734375" customWidth="1"/>
  </cols>
  <sheetData>
    <row r="1" spans="1:38" ht="21">
      <c r="A1" s="528" t="s">
        <v>47</v>
      </c>
      <c r="AJ1" s="57" t="s">
        <v>48</v>
      </c>
    </row>
    <row r="2" spans="1:38" ht="18">
      <c r="A2" s="529" t="s">
        <v>92</v>
      </c>
    </row>
    <row r="3" spans="1:38" ht="18">
      <c r="A3" s="529" t="s">
        <v>44</v>
      </c>
      <c r="AJ3" s="123"/>
    </row>
    <row r="4" spans="1:38" ht="18">
      <c r="A4" s="529" t="s">
        <v>222</v>
      </c>
      <c r="AJ4" s="123"/>
    </row>
    <row r="5" spans="1:38">
      <c r="AJ5" s="123"/>
    </row>
    <row r="6" spans="1:38">
      <c r="A6" s="1145" t="s">
        <v>94</v>
      </c>
      <c r="B6" s="1196"/>
      <c r="C6" s="553"/>
      <c r="D6" s="553">
        <v>1996</v>
      </c>
      <c r="E6" s="553">
        <v>1997</v>
      </c>
      <c r="F6" s="553">
        <v>1998</v>
      </c>
      <c r="G6" s="553">
        <v>1999</v>
      </c>
      <c r="H6" s="553">
        <v>2000</v>
      </c>
      <c r="I6" s="553">
        <v>2001</v>
      </c>
      <c r="J6" s="1199">
        <v>2002</v>
      </c>
      <c r="K6" s="1196"/>
      <c r="L6" s="553"/>
      <c r="M6" s="553">
        <v>2003</v>
      </c>
      <c r="N6" s="553">
        <v>2004</v>
      </c>
      <c r="O6" s="553">
        <v>2005</v>
      </c>
      <c r="P6" s="1199">
        <v>2006</v>
      </c>
      <c r="Q6" s="1196"/>
      <c r="R6" s="553"/>
      <c r="S6" s="553">
        <v>2007</v>
      </c>
      <c r="T6" s="553">
        <v>2008</v>
      </c>
      <c r="U6" s="1199">
        <v>2009</v>
      </c>
      <c r="V6" s="1125"/>
      <c r="W6" s="553"/>
      <c r="X6" s="553">
        <v>2010</v>
      </c>
      <c r="Y6" s="553">
        <v>2011</v>
      </c>
      <c r="Z6" s="553">
        <v>2012</v>
      </c>
      <c r="AA6" s="553">
        <v>2013</v>
      </c>
      <c r="AB6" s="553">
        <v>2014</v>
      </c>
      <c r="AC6" s="553">
        <v>2015</v>
      </c>
      <c r="AD6" s="553">
        <v>2016</v>
      </c>
      <c r="AE6" s="553">
        <v>2017</v>
      </c>
      <c r="AF6" s="553">
        <v>2018</v>
      </c>
      <c r="AG6" s="553">
        <v>2019</v>
      </c>
      <c r="AH6" s="1146">
        <v>2020</v>
      </c>
      <c r="AI6" s="1146">
        <v>2021</v>
      </c>
      <c r="AJ6" s="552">
        <v>2022</v>
      </c>
      <c r="AK6" s="1146">
        <v>2023</v>
      </c>
      <c r="AL6" s="1146">
        <v>2024</v>
      </c>
    </row>
    <row r="7" spans="1:38">
      <c r="A7" s="1118" t="s">
        <v>186</v>
      </c>
      <c r="B7" s="1197" t="s">
        <v>223</v>
      </c>
      <c r="C7" s="533" t="s">
        <v>224</v>
      </c>
      <c r="D7" s="533">
        <v>40125</v>
      </c>
      <c r="E7" s="533">
        <v>42121</v>
      </c>
      <c r="F7" s="533">
        <v>48875</v>
      </c>
      <c r="G7" s="533">
        <v>52577</v>
      </c>
      <c r="H7" s="533">
        <v>53807</v>
      </c>
      <c r="I7" s="533">
        <v>51220</v>
      </c>
      <c r="J7" s="1200">
        <v>58213</v>
      </c>
      <c r="K7" s="1197" t="s">
        <v>223</v>
      </c>
      <c r="L7" s="533" t="s">
        <v>224</v>
      </c>
      <c r="M7" s="533">
        <v>71449</v>
      </c>
      <c r="N7" s="533">
        <v>77984</v>
      </c>
      <c r="O7" s="533">
        <v>87255</v>
      </c>
      <c r="P7" s="1200">
        <v>83748</v>
      </c>
      <c r="Q7" s="1197" t="s">
        <v>223</v>
      </c>
      <c r="R7" s="533" t="s">
        <v>224</v>
      </c>
      <c r="S7" s="533">
        <v>84698</v>
      </c>
      <c r="T7" s="533">
        <v>87667</v>
      </c>
      <c r="U7" s="1200">
        <v>99105</v>
      </c>
      <c r="V7" t="s">
        <v>223</v>
      </c>
      <c r="W7" s="533" t="s">
        <v>224</v>
      </c>
      <c r="X7" s="540">
        <v>100010</v>
      </c>
      <c r="Y7" s="540">
        <v>104638</v>
      </c>
      <c r="Z7" s="540">
        <v>103601</v>
      </c>
      <c r="AA7" s="540">
        <v>105432</v>
      </c>
      <c r="AB7" s="540">
        <v>111852</v>
      </c>
      <c r="AC7" s="540">
        <v>136460</v>
      </c>
      <c r="AD7" s="540">
        <v>133544</v>
      </c>
      <c r="AE7" s="540">
        <v>137348</v>
      </c>
      <c r="AF7" s="540">
        <v>122403</v>
      </c>
      <c r="AG7" s="540">
        <v>123722</v>
      </c>
      <c r="AH7" s="1153">
        <v>122804</v>
      </c>
      <c r="AI7" s="1153">
        <v>121471</v>
      </c>
      <c r="AJ7" s="548">
        <v>132384</v>
      </c>
      <c r="AK7" s="833">
        <v>118458</v>
      </c>
      <c r="AL7" s="833">
        <v>164633</v>
      </c>
    </row>
    <row r="8" spans="1:38">
      <c r="A8" s="1118"/>
      <c r="B8" s="1197"/>
      <c r="C8" s="533" t="s">
        <v>225</v>
      </c>
      <c r="D8" s="533">
        <v>27082</v>
      </c>
      <c r="E8" s="533">
        <v>32176</v>
      </c>
      <c r="F8" s="533">
        <v>39390</v>
      </c>
      <c r="G8" s="533">
        <v>44974</v>
      </c>
      <c r="H8" s="533">
        <v>56242</v>
      </c>
      <c r="I8" s="533">
        <v>56307</v>
      </c>
      <c r="J8" s="1200">
        <v>68421</v>
      </c>
      <c r="K8" s="1197"/>
      <c r="L8" s="533" t="s">
        <v>225</v>
      </c>
      <c r="M8" s="533">
        <v>66363</v>
      </c>
      <c r="N8" s="533">
        <v>65898</v>
      </c>
      <c r="O8" s="533">
        <v>70034</v>
      </c>
      <c r="P8" s="1200">
        <v>69841</v>
      </c>
      <c r="Q8" s="1197"/>
      <c r="R8" s="533" t="s">
        <v>225</v>
      </c>
      <c r="S8" s="533">
        <v>73880</v>
      </c>
      <c r="T8" s="533">
        <v>82063</v>
      </c>
      <c r="U8" s="1200">
        <v>81463</v>
      </c>
      <c r="W8" s="533" t="s">
        <v>225</v>
      </c>
      <c r="X8" s="540">
        <v>73686</v>
      </c>
      <c r="Y8" s="540">
        <v>75274</v>
      </c>
      <c r="Z8" s="540">
        <v>76825</v>
      </c>
      <c r="AA8" s="540">
        <v>82220</v>
      </c>
      <c r="AB8" s="540">
        <v>84696</v>
      </c>
      <c r="AC8" s="540">
        <v>84910</v>
      </c>
      <c r="AD8" s="540">
        <v>111145</v>
      </c>
      <c r="AE8" s="540">
        <v>83752</v>
      </c>
      <c r="AF8" s="540">
        <v>84224</v>
      </c>
      <c r="AG8" s="540">
        <v>83960</v>
      </c>
      <c r="AH8" s="1153">
        <v>85186</v>
      </c>
      <c r="AI8" s="1153">
        <v>82666</v>
      </c>
      <c r="AJ8" s="548">
        <v>86036</v>
      </c>
      <c r="AK8" s="835">
        <v>87715</v>
      </c>
      <c r="AL8" s="835">
        <v>70563</v>
      </c>
    </row>
    <row r="9" spans="1:38">
      <c r="A9" s="1118"/>
      <c r="B9" s="1197"/>
      <c r="C9" s="533" t="s">
        <v>126</v>
      </c>
      <c r="D9" s="533">
        <v>18086</v>
      </c>
      <c r="E9" s="533">
        <v>18510</v>
      </c>
      <c r="F9" s="533">
        <v>18644</v>
      </c>
      <c r="G9" s="533">
        <v>18255</v>
      </c>
      <c r="H9" s="533">
        <v>17974</v>
      </c>
      <c r="I9" s="533">
        <v>19909</v>
      </c>
      <c r="J9" s="1200">
        <v>14980</v>
      </c>
      <c r="K9" s="1197"/>
      <c r="L9" s="533" t="s">
        <v>126</v>
      </c>
      <c r="M9" s="533">
        <v>20819</v>
      </c>
      <c r="N9" s="533">
        <v>21964</v>
      </c>
      <c r="O9" s="533">
        <v>19454</v>
      </c>
      <c r="P9" s="1200">
        <v>18444</v>
      </c>
      <c r="Q9" s="1197"/>
      <c r="R9" s="533" t="s">
        <v>126</v>
      </c>
      <c r="S9" s="533">
        <v>18877</v>
      </c>
      <c r="T9" s="533">
        <v>17104</v>
      </c>
      <c r="U9" s="1200">
        <v>22941</v>
      </c>
      <c r="W9" s="533" t="s">
        <v>126</v>
      </c>
      <c r="X9" s="540">
        <v>27818</v>
      </c>
      <c r="Y9" s="540">
        <v>26227</v>
      </c>
      <c r="Z9" s="540">
        <v>23899</v>
      </c>
      <c r="AA9" s="540">
        <v>25624</v>
      </c>
      <c r="AB9" s="540">
        <v>26755</v>
      </c>
      <c r="AC9" s="540">
        <v>24367</v>
      </c>
      <c r="AD9" s="540">
        <v>27564</v>
      </c>
      <c r="AE9" s="540">
        <v>26403</v>
      </c>
      <c r="AF9" s="540">
        <v>26499</v>
      </c>
      <c r="AG9" s="540">
        <v>25380</v>
      </c>
      <c r="AH9" s="1153">
        <v>27577</v>
      </c>
      <c r="AI9" s="1153">
        <v>27945</v>
      </c>
      <c r="AJ9" s="548">
        <v>29128</v>
      </c>
      <c r="AK9" s="835">
        <v>27161</v>
      </c>
      <c r="AL9" s="835">
        <v>27646</v>
      </c>
    </row>
    <row r="10" spans="1:38">
      <c r="A10" s="1118"/>
      <c r="B10" s="1197"/>
      <c r="C10" s="533" t="s">
        <v>128</v>
      </c>
      <c r="D10" s="533">
        <v>85293</v>
      </c>
      <c r="E10" s="533">
        <v>92807</v>
      </c>
      <c r="F10" s="533">
        <v>106909</v>
      </c>
      <c r="G10" s="533">
        <v>115806</v>
      </c>
      <c r="H10" s="533">
        <v>128023</v>
      </c>
      <c r="I10" s="533">
        <v>127436</v>
      </c>
      <c r="J10" s="1200">
        <v>141614</v>
      </c>
      <c r="K10" s="1197"/>
      <c r="L10" s="533" t="s">
        <v>128</v>
      </c>
      <c r="M10" s="533">
        <v>158631</v>
      </c>
      <c r="N10" s="533">
        <v>165846</v>
      </c>
      <c r="O10" s="533">
        <v>163144</v>
      </c>
      <c r="P10" s="1200">
        <v>172033</v>
      </c>
      <c r="Q10" s="1197"/>
      <c r="R10" s="533" t="s">
        <v>128</v>
      </c>
      <c r="S10" s="533">
        <v>177455</v>
      </c>
      <c r="T10" s="533">
        <v>186834</v>
      </c>
      <c r="U10" s="1200">
        <v>203509</v>
      </c>
      <c r="V10" s="1202"/>
      <c r="W10" s="1203" t="s">
        <v>128</v>
      </c>
      <c r="X10" s="1204">
        <v>201514</v>
      </c>
      <c r="Y10" s="1204">
        <v>206139</v>
      </c>
      <c r="Z10" s="1204">
        <v>204325</v>
      </c>
      <c r="AA10" s="1204">
        <v>213276</v>
      </c>
      <c r="AB10" s="1204">
        <v>223303</v>
      </c>
      <c r="AC10" s="1204">
        <v>245737</v>
      </c>
      <c r="AD10" s="1204">
        <v>272253</v>
      </c>
      <c r="AE10" s="1204">
        <v>247503</v>
      </c>
      <c r="AF10" s="1204">
        <v>233126</v>
      </c>
      <c r="AG10" s="1204">
        <v>233062</v>
      </c>
      <c r="AH10" s="1207">
        <v>235567</v>
      </c>
      <c r="AI10" s="1207">
        <v>232082</v>
      </c>
      <c r="AJ10" s="548">
        <v>247548</v>
      </c>
      <c r="AK10" s="835">
        <v>233334</v>
      </c>
      <c r="AL10" s="835">
        <v>262842</v>
      </c>
    </row>
    <row r="11" spans="1:38">
      <c r="A11" s="1118"/>
      <c r="B11" s="1197" t="s">
        <v>226</v>
      </c>
      <c r="C11" s="533" t="s">
        <v>224</v>
      </c>
      <c r="D11" s="533">
        <v>52862</v>
      </c>
      <c r="E11" s="533">
        <v>45982</v>
      </c>
      <c r="F11" s="533">
        <v>45935</v>
      </c>
      <c r="G11" s="533">
        <v>40903</v>
      </c>
      <c r="H11" s="533">
        <v>45881</v>
      </c>
      <c r="I11" s="533">
        <v>55284</v>
      </c>
      <c r="J11" s="1200">
        <v>66086</v>
      </c>
      <c r="K11" s="1197" t="s">
        <v>226</v>
      </c>
      <c r="L11" s="533" t="s">
        <v>224</v>
      </c>
      <c r="M11" s="533">
        <v>73776</v>
      </c>
      <c r="N11" s="533">
        <v>76328</v>
      </c>
      <c r="O11" s="533">
        <v>84719</v>
      </c>
      <c r="P11" s="1200">
        <v>96422</v>
      </c>
      <c r="Q11" s="1197" t="s">
        <v>226</v>
      </c>
      <c r="R11" s="533" t="s">
        <v>224</v>
      </c>
      <c r="S11" s="533">
        <v>90310</v>
      </c>
      <c r="T11" s="533">
        <v>99053</v>
      </c>
      <c r="U11" s="1200">
        <v>102178</v>
      </c>
      <c r="V11" t="s">
        <v>226</v>
      </c>
      <c r="W11" s="533" t="s">
        <v>224</v>
      </c>
      <c r="X11" s="540">
        <v>114991</v>
      </c>
      <c r="Y11" s="540">
        <v>110331</v>
      </c>
      <c r="Z11" s="540">
        <v>111860</v>
      </c>
      <c r="AA11" s="540">
        <v>116820</v>
      </c>
      <c r="AB11" s="540">
        <v>115595</v>
      </c>
      <c r="AC11" s="540">
        <v>121242</v>
      </c>
      <c r="AD11" s="540">
        <v>137939</v>
      </c>
      <c r="AE11" s="540">
        <v>153858</v>
      </c>
      <c r="AF11" s="540">
        <v>185364</v>
      </c>
      <c r="AG11" s="540">
        <v>177872</v>
      </c>
      <c r="AH11" s="1153">
        <v>158955</v>
      </c>
      <c r="AI11" s="1153">
        <v>121537</v>
      </c>
      <c r="AJ11" s="548">
        <v>106227</v>
      </c>
      <c r="AK11" s="835">
        <v>137532</v>
      </c>
      <c r="AL11" s="835">
        <v>132890</v>
      </c>
    </row>
    <row r="12" spans="1:38">
      <c r="A12" s="1118"/>
      <c r="B12" s="1197"/>
      <c r="C12" s="533" t="s">
        <v>225</v>
      </c>
      <c r="D12" s="533">
        <v>15680</v>
      </c>
      <c r="E12" s="533">
        <v>19785</v>
      </c>
      <c r="F12" s="533">
        <v>25039</v>
      </c>
      <c r="G12" s="533">
        <v>28996</v>
      </c>
      <c r="H12" s="533">
        <v>35519</v>
      </c>
      <c r="I12" s="533">
        <v>41020</v>
      </c>
      <c r="J12" s="1200">
        <v>49438</v>
      </c>
      <c r="K12" s="1197"/>
      <c r="L12" s="533" t="s">
        <v>225</v>
      </c>
      <c r="M12" s="533">
        <v>35591</v>
      </c>
      <c r="N12" s="533">
        <v>27805</v>
      </c>
      <c r="O12" s="533">
        <v>18023</v>
      </c>
      <c r="P12" s="1200">
        <v>14574</v>
      </c>
      <c r="Q12" s="1197"/>
      <c r="R12" s="533" t="s">
        <v>225</v>
      </c>
      <c r="S12" s="533">
        <v>11513</v>
      </c>
      <c r="T12" s="533">
        <v>10430</v>
      </c>
      <c r="U12" s="1200">
        <v>9601</v>
      </c>
      <c r="W12" s="533" t="s">
        <v>225</v>
      </c>
      <c r="X12" s="540">
        <v>7128</v>
      </c>
      <c r="Y12" s="540">
        <v>7529</v>
      </c>
      <c r="Z12" s="540">
        <v>7995</v>
      </c>
      <c r="AA12" s="540">
        <v>7863</v>
      </c>
      <c r="AB12" s="540">
        <v>7987</v>
      </c>
      <c r="AC12" s="540">
        <v>9258</v>
      </c>
      <c r="AD12" s="540">
        <v>9180</v>
      </c>
      <c r="AE12" s="540">
        <v>8836</v>
      </c>
      <c r="AF12" s="540">
        <v>7867</v>
      </c>
      <c r="AG12" s="540">
        <v>6339</v>
      </c>
      <c r="AH12" s="1153">
        <v>5619</v>
      </c>
      <c r="AI12" s="1153">
        <v>5186</v>
      </c>
      <c r="AJ12" s="548">
        <v>5359</v>
      </c>
      <c r="AK12" s="835">
        <v>5016</v>
      </c>
      <c r="AL12" s="835">
        <v>4791</v>
      </c>
    </row>
    <row r="13" spans="1:38">
      <c r="A13" s="1118"/>
      <c r="B13" s="1197"/>
      <c r="C13" s="533" t="s">
        <v>114</v>
      </c>
      <c r="D13" s="533">
        <v>2331</v>
      </c>
      <c r="E13" s="533">
        <v>2198</v>
      </c>
      <c r="F13" s="533">
        <v>2469</v>
      </c>
      <c r="G13" s="533">
        <v>2318</v>
      </c>
      <c r="H13" s="533">
        <v>2351</v>
      </c>
      <c r="I13" s="533">
        <v>2091</v>
      </c>
      <c r="J13" s="1200">
        <v>1934</v>
      </c>
      <c r="K13" s="1197"/>
      <c r="L13" s="533" t="s">
        <v>114</v>
      </c>
      <c r="M13" s="533">
        <v>1872</v>
      </c>
      <c r="N13" s="533">
        <v>1979</v>
      </c>
      <c r="O13" s="533">
        <v>1862</v>
      </c>
      <c r="P13" s="1200">
        <v>1921</v>
      </c>
      <c r="Q13" s="1197"/>
      <c r="R13" s="533" t="s">
        <v>114</v>
      </c>
      <c r="S13" s="533">
        <v>2085</v>
      </c>
      <c r="T13" s="533">
        <v>1982</v>
      </c>
      <c r="U13" s="1200">
        <v>2314</v>
      </c>
      <c r="W13" s="533" t="s">
        <v>114</v>
      </c>
      <c r="X13" s="540">
        <v>2309</v>
      </c>
      <c r="Y13" s="540">
        <v>2234</v>
      </c>
      <c r="Z13" s="540">
        <v>2021</v>
      </c>
      <c r="AA13" s="540">
        <v>2176</v>
      </c>
      <c r="AB13" s="540">
        <v>2143</v>
      </c>
      <c r="AC13" s="540">
        <v>2190</v>
      </c>
      <c r="AD13" s="540">
        <v>4102</v>
      </c>
      <c r="AE13" s="540">
        <v>4072</v>
      </c>
      <c r="AF13" s="540">
        <v>4061</v>
      </c>
      <c r="AG13" s="540">
        <v>3977</v>
      </c>
      <c r="AH13" s="1153">
        <v>1855</v>
      </c>
      <c r="AI13" s="1153">
        <v>4647</v>
      </c>
      <c r="AJ13" s="548">
        <v>3775</v>
      </c>
      <c r="AK13" s="835">
        <v>2889</v>
      </c>
      <c r="AL13" s="835">
        <v>2587</v>
      </c>
    </row>
    <row r="14" spans="1:38">
      <c r="A14" s="1118"/>
      <c r="B14" s="1197"/>
      <c r="C14" s="533" t="s">
        <v>128</v>
      </c>
      <c r="D14" s="533">
        <v>70873</v>
      </c>
      <c r="E14" s="533">
        <v>67965</v>
      </c>
      <c r="F14" s="533">
        <v>73443</v>
      </c>
      <c r="G14" s="533">
        <v>72217</v>
      </c>
      <c r="H14" s="533">
        <v>83751</v>
      </c>
      <c r="I14" s="533">
        <v>98395</v>
      </c>
      <c r="J14" s="1200">
        <v>117458</v>
      </c>
      <c r="K14" s="1197"/>
      <c r="L14" s="533" t="s">
        <v>128</v>
      </c>
      <c r="M14" s="533">
        <v>111239</v>
      </c>
      <c r="N14" s="533">
        <v>106112</v>
      </c>
      <c r="O14" s="533">
        <v>104604</v>
      </c>
      <c r="P14" s="1200">
        <v>112917</v>
      </c>
      <c r="Q14" s="1197"/>
      <c r="R14" s="533" t="s">
        <v>128</v>
      </c>
      <c r="S14" s="533">
        <v>103908</v>
      </c>
      <c r="T14" s="533">
        <v>111465</v>
      </c>
      <c r="U14" s="1200">
        <v>114093</v>
      </c>
      <c r="V14" s="1202"/>
      <c r="W14" s="1203" t="s">
        <v>128</v>
      </c>
      <c r="X14" s="1204">
        <v>124428</v>
      </c>
      <c r="Y14" s="1204">
        <v>120094</v>
      </c>
      <c r="Z14" s="1204">
        <v>121876</v>
      </c>
      <c r="AA14" s="1204">
        <v>126859</v>
      </c>
      <c r="AB14" s="1204">
        <v>125725</v>
      </c>
      <c r="AC14" s="1204">
        <v>132690</v>
      </c>
      <c r="AD14" s="1204">
        <v>151221</v>
      </c>
      <c r="AE14" s="1204">
        <v>166766</v>
      </c>
      <c r="AF14" s="1204">
        <v>197292</v>
      </c>
      <c r="AG14" s="1204">
        <v>188188</v>
      </c>
      <c r="AH14" s="1207">
        <v>166429</v>
      </c>
      <c r="AI14" s="1207">
        <v>131370</v>
      </c>
      <c r="AJ14" s="548">
        <v>115361</v>
      </c>
      <c r="AK14" s="835">
        <v>145437</v>
      </c>
      <c r="AL14" s="835">
        <v>140268</v>
      </c>
    </row>
    <row r="15" spans="1:38">
      <c r="A15" s="1118"/>
      <c r="B15" s="1197" t="s">
        <v>227</v>
      </c>
      <c r="C15" s="533" t="s">
        <v>228</v>
      </c>
      <c r="D15" s="533">
        <v>862</v>
      </c>
      <c r="E15" s="533">
        <v>902</v>
      </c>
      <c r="F15" s="533">
        <v>954</v>
      </c>
      <c r="G15" s="533">
        <v>1060</v>
      </c>
      <c r="H15" s="533">
        <v>1139</v>
      </c>
      <c r="I15" s="533">
        <v>1170</v>
      </c>
      <c r="J15" s="1200">
        <v>1336</v>
      </c>
      <c r="K15" s="1197" t="s">
        <v>227</v>
      </c>
      <c r="L15" s="533" t="s">
        <v>228</v>
      </c>
      <c r="M15" s="533">
        <v>1363</v>
      </c>
      <c r="N15" s="533">
        <v>1369</v>
      </c>
      <c r="O15" s="533">
        <v>1395</v>
      </c>
      <c r="P15" s="1200">
        <v>1529</v>
      </c>
      <c r="Q15" s="1197" t="s">
        <v>227</v>
      </c>
      <c r="R15" s="533" t="s">
        <v>228</v>
      </c>
      <c r="S15" s="533">
        <v>1620</v>
      </c>
      <c r="T15" s="533">
        <v>1737</v>
      </c>
      <c r="U15" s="1200">
        <v>1893</v>
      </c>
      <c r="V15" t="s">
        <v>227</v>
      </c>
      <c r="W15" s="533" t="s">
        <v>228</v>
      </c>
      <c r="X15" s="540">
        <v>1959</v>
      </c>
      <c r="Y15" s="540">
        <v>1874</v>
      </c>
      <c r="Z15" s="540">
        <v>2027</v>
      </c>
      <c r="AA15" s="540">
        <v>2137</v>
      </c>
      <c r="AB15" s="540">
        <v>2300</v>
      </c>
      <c r="AC15" s="540">
        <v>2287</v>
      </c>
      <c r="AD15" s="540">
        <v>2229</v>
      </c>
      <c r="AE15" s="540">
        <v>2284</v>
      </c>
      <c r="AF15" s="540"/>
      <c r="AG15" s="540"/>
      <c r="AH15" s="1153"/>
      <c r="AI15" s="1153"/>
      <c r="AJ15" s="774"/>
      <c r="AK15" s="835"/>
      <c r="AL15" s="835"/>
    </row>
    <row r="16" spans="1:38">
      <c r="A16" s="1118"/>
      <c r="B16" s="1197"/>
      <c r="C16" s="533" t="s">
        <v>225</v>
      </c>
      <c r="D16" s="533">
        <v>5</v>
      </c>
      <c r="E16" s="533">
        <v>9</v>
      </c>
      <c r="F16" s="533">
        <v>8</v>
      </c>
      <c r="G16" s="533">
        <v>10</v>
      </c>
      <c r="H16" s="533">
        <v>17</v>
      </c>
      <c r="I16" s="533">
        <v>24</v>
      </c>
      <c r="J16" s="1200">
        <v>19</v>
      </c>
      <c r="K16" s="1197"/>
      <c r="L16" s="533" t="s">
        <v>225</v>
      </c>
      <c r="M16" s="533">
        <v>27</v>
      </c>
      <c r="N16" s="533">
        <v>32</v>
      </c>
      <c r="O16" s="533">
        <v>37</v>
      </c>
      <c r="P16" s="1200">
        <v>24</v>
      </c>
      <c r="Q16" s="1197"/>
      <c r="R16" s="533" t="s">
        <v>225</v>
      </c>
      <c r="S16" s="533">
        <v>41</v>
      </c>
      <c r="T16" s="533">
        <v>45</v>
      </c>
      <c r="U16" s="1200">
        <v>25</v>
      </c>
      <c r="W16" s="1205" t="s">
        <v>229</v>
      </c>
      <c r="X16" s="540">
        <v>28</v>
      </c>
      <c r="Y16" s="540">
        <v>22</v>
      </c>
      <c r="Z16" s="540"/>
      <c r="AA16" s="540"/>
      <c r="AB16" s="540"/>
      <c r="AC16" s="540"/>
      <c r="AD16" s="540"/>
      <c r="AE16" s="540"/>
      <c r="AF16" s="540"/>
      <c r="AG16" s="540"/>
      <c r="AH16" s="1153"/>
      <c r="AI16" s="1153"/>
      <c r="AJ16" s="774"/>
      <c r="AK16" s="835"/>
      <c r="AL16" s="835"/>
    </row>
    <row r="17" spans="1:38">
      <c r="A17" s="1118"/>
      <c r="B17" s="1197"/>
      <c r="C17" s="533" t="s">
        <v>126</v>
      </c>
      <c r="D17" s="533">
        <v>44</v>
      </c>
      <c r="E17" s="533">
        <v>52</v>
      </c>
      <c r="F17" s="533">
        <v>63</v>
      </c>
      <c r="G17" s="533">
        <v>49</v>
      </c>
      <c r="H17" s="533">
        <v>51</v>
      </c>
      <c r="I17" s="533">
        <v>58</v>
      </c>
      <c r="J17" s="1200">
        <v>48</v>
      </c>
      <c r="K17" s="1197"/>
      <c r="L17" s="533" t="s">
        <v>126</v>
      </c>
      <c r="M17" s="533">
        <v>35</v>
      </c>
      <c r="N17" s="533">
        <v>50</v>
      </c>
      <c r="O17" s="533">
        <v>50</v>
      </c>
      <c r="P17" s="1200">
        <v>46</v>
      </c>
      <c r="Q17" s="1197"/>
      <c r="R17" s="533" t="s">
        <v>126</v>
      </c>
      <c r="S17" s="533">
        <v>61</v>
      </c>
      <c r="T17" s="533">
        <v>67</v>
      </c>
      <c r="U17" s="1200">
        <v>61</v>
      </c>
      <c r="W17" s="533" t="s">
        <v>230</v>
      </c>
      <c r="X17" s="540">
        <v>39</v>
      </c>
      <c r="Y17" s="540">
        <v>27</v>
      </c>
      <c r="Z17" s="540">
        <v>42</v>
      </c>
      <c r="AA17" s="540">
        <v>50</v>
      </c>
      <c r="AB17" s="540">
        <v>60</v>
      </c>
      <c r="AC17" s="540">
        <v>48</v>
      </c>
      <c r="AD17" s="540">
        <v>61</v>
      </c>
      <c r="AE17" s="540">
        <v>40</v>
      </c>
      <c r="AF17" s="540"/>
      <c r="AG17" s="540"/>
      <c r="AH17" s="1153"/>
      <c r="AI17" s="1153"/>
      <c r="AJ17" s="774"/>
      <c r="AK17" s="835"/>
      <c r="AL17" s="835"/>
    </row>
    <row r="18" spans="1:38">
      <c r="A18" s="809"/>
      <c r="B18" s="1198"/>
      <c r="C18" s="538" t="s">
        <v>128</v>
      </c>
      <c r="D18" s="538">
        <v>911</v>
      </c>
      <c r="E18" s="538">
        <v>963</v>
      </c>
      <c r="F18" s="538">
        <v>1025</v>
      </c>
      <c r="G18" s="538">
        <v>1119</v>
      </c>
      <c r="H18" s="538">
        <v>1207</v>
      </c>
      <c r="I18" s="538">
        <v>1252</v>
      </c>
      <c r="J18" s="1201">
        <v>1403</v>
      </c>
      <c r="K18" s="1198"/>
      <c r="L18" s="538" t="s">
        <v>128</v>
      </c>
      <c r="M18" s="538">
        <v>1425</v>
      </c>
      <c r="N18" s="538">
        <v>1451</v>
      </c>
      <c r="O18" s="538">
        <v>1482</v>
      </c>
      <c r="P18" s="1201">
        <v>1599</v>
      </c>
      <c r="Q18" s="1198"/>
      <c r="R18" s="538" t="s">
        <v>128</v>
      </c>
      <c r="S18" s="538">
        <v>1722</v>
      </c>
      <c r="T18" s="538">
        <v>1849</v>
      </c>
      <c r="U18" s="1201">
        <v>1979</v>
      </c>
      <c r="V18" s="1123"/>
      <c r="W18" s="538" t="s">
        <v>128</v>
      </c>
      <c r="X18" s="539">
        <v>2026</v>
      </c>
      <c r="Y18" s="539">
        <v>1923</v>
      </c>
      <c r="Z18" s="539">
        <v>2069</v>
      </c>
      <c r="AA18" s="539">
        <v>2187</v>
      </c>
      <c r="AB18" s="539">
        <v>2360</v>
      </c>
      <c r="AC18" s="539">
        <v>2335</v>
      </c>
      <c r="AD18" s="539">
        <v>2290</v>
      </c>
      <c r="AE18" s="539">
        <v>2324</v>
      </c>
      <c r="AF18" s="539"/>
      <c r="AG18" s="539"/>
      <c r="AH18" s="1154"/>
      <c r="AI18" s="1154"/>
      <c r="AJ18" s="1208"/>
      <c r="AK18" s="837"/>
      <c r="AL18" s="837"/>
    </row>
    <row r="19" spans="1:38">
      <c r="A19" s="1118" t="s">
        <v>129</v>
      </c>
      <c r="B19" s="1197" t="s">
        <v>231</v>
      </c>
      <c r="C19" s="533" t="s">
        <v>232</v>
      </c>
      <c r="D19" s="533">
        <v>340101</v>
      </c>
      <c r="E19" s="533">
        <v>350807</v>
      </c>
      <c r="F19" s="533">
        <v>359381</v>
      </c>
      <c r="G19" s="533">
        <v>360180</v>
      </c>
      <c r="H19" s="533">
        <v>387364</v>
      </c>
      <c r="I19" s="533">
        <v>386767</v>
      </c>
      <c r="J19" s="1200">
        <v>369458</v>
      </c>
      <c r="K19" s="1197" t="s">
        <v>231</v>
      </c>
      <c r="L19" s="533" t="s">
        <v>232</v>
      </c>
      <c r="M19" s="533">
        <v>362711</v>
      </c>
      <c r="N19" s="533">
        <v>368416</v>
      </c>
      <c r="O19" s="533">
        <v>367960</v>
      </c>
      <c r="P19" s="1200">
        <v>347060</v>
      </c>
      <c r="Q19" s="1197" t="s">
        <v>231</v>
      </c>
      <c r="R19" s="533" t="s">
        <v>232</v>
      </c>
      <c r="S19" s="533">
        <v>333498</v>
      </c>
      <c r="T19" s="533">
        <v>330110</v>
      </c>
      <c r="U19" s="1200">
        <v>295315</v>
      </c>
      <c r="V19" t="s">
        <v>231</v>
      </c>
      <c r="W19" s="533" t="s">
        <v>232</v>
      </c>
      <c r="X19" s="540">
        <v>290081</v>
      </c>
      <c r="Y19" s="540">
        <v>287580</v>
      </c>
      <c r="Z19" s="540">
        <v>287013</v>
      </c>
      <c r="AA19" s="540">
        <v>271731</v>
      </c>
      <c r="AB19" s="540">
        <v>265959</v>
      </c>
      <c r="AC19" s="540">
        <v>258839</v>
      </c>
      <c r="AD19" s="540">
        <v>260244</v>
      </c>
      <c r="AE19" s="540">
        <v>260290</v>
      </c>
      <c r="AF19" s="540">
        <v>253630</v>
      </c>
      <c r="AG19" s="540">
        <v>245372</v>
      </c>
      <c r="AH19" s="1153">
        <v>227348</v>
      </c>
      <c r="AI19" s="1153">
        <v>222452</v>
      </c>
      <c r="AJ19" s="551">
        <v>218813</v>
      </c>
      <c r="AK19" s="833">
        <v>228936</v>
      </c>
      <c r="AL19" s="833">
        <v>237169</v>
      </c>
    </row>
    <row r="20" spans="1:38">
      <c r="A20" s="1118"/>
      <c r="B20" s="1197"/>
      <c r="C20" s="533" t="s">
        <v>233</v>
      </c>
      <c r="D20" s="533">
        <v>36514</v>
      </c>
      <c r="E20" s="533">
        <v>40765</v>
      </c>
      <c r="F20" s="533">
        <v>42551</v>
      </c>
      <c r="G20" s="533">
        <v>45475</v>
      </c>
      <c r="H20" s="533">
        <v>49501</v>
      </c>
      <c r="I20" s="533">
        <v>52408</v>
      </c>
      <c r="J20" s="1200">
        <v>51586</v>
      </c>
      <c r="K20" s="1197"/>
      <c r="L20" s="533" t="s">
        <v>233</v>
      </c>
      <c r="M20" s="533">
        <v>50381</v>
      </c>
      <c r="N20" s="533">
        <v>54665</v>
      </c>
      <c r="O20" s="533">
        <v>59118</v>
      </c>
      <c r="P20" s="1200">
        <v>61614</v>
      </c>
      <c r="Q20" s="1197"/>
      <c r="R20" s="533" t="s">
        <v>233</v>
      </c>
      <c r="S20" s="533">
        <v>62793</v>
      </c>
      <c r="T20" s="533">
        <v>60892</v>
      </c>
      <c r="U20" s="1200">
        <v>53281</v>
      </c>
      <c r="W20" s="533" t="s">
        <v>233</v>
      </c>
      <c r="X20" s="540">
        <v>54517</v>
      </c>
      <c r="Y20" s="540">
        <v>55030</v>
      </c>
      <c r="Z20" s="540">
        <v>55783</v>
      </c>
      <c r="AA20" s="540">
        <v>56705</v>
      </c>
      <c r="AB20" s="540">
        <v>60030</v>
      </c>
      <c r="AC20" s="540">
        <v>59882</v>
      </c>
      <c r="AD20" s="540">
        <v>58137</v>
      </c>
      <c r="AE20" s="540">
        <v>58189</v>
      </c>
      <c r="AF20" s="540">
        <v>59937</v>
      </c>
      <c r="AG20" s="540">
        <v>62597</v>
      </c>
      <c r="AH20" s="1153">
        <v>61124</v>
      </c>
      <c r="AI20" s="1153">
        <v>66748</v>
      </c>
      <c r="AJ20" s="548">
        <v>70717</v>
      </c>
      <c r="AK20" s="835">
        <v>71197</v>
      </c>
      <c r="AL20" s="835">
        <v>69686</v>
      </c>
    </row>
    <row r="21" spans="1:38">
      <c r="A21" s="1118"/>
      <c r="B21" s="1197"/>
      <c r="C21" s="533" t="s">
        <v>128</v>
      </c>
      <c r="D21" s="533">
        <v>376615</v>
      </c>
      <c r="E21" s="533">
        <v>391572</v>
      </c>
      <c r="F21" s="533">
        <v>401932</v>
      </c>
      <c r="G21" s="533">
        <v>405655</v>
      </c>
      <c r="H21" s="533">
        <v>436865</v>
      </c>
      <c r="I21" s="533">
        <v>439175</v>
      </c>
      <c r="J21" s="1200">
        <v>421044</v>
      </c>
      <c r="K21" s="1197"/>
      <c r="L21" s="533" t="s">
        <v>128</v>
      </c>
      <c r="M21" s="533">
        <v>413092</v>
      </c>
      <c r="N21" s="533">
        <v>423081</v>
      </c>
      <c r="O21" s="533">
        <v>427078</v>
      </c>
      <c r="P21" s="1200">
        <v>408674</v>
      </c>
      <c r="Q21" s="1197"/>
      <c r="R21" s="533" t="s">
        <v>128</v>
      </c>
      <c r="S21" s="533">
        <v>396291</v>
      </c>
      <c r="T21" s="533">
        <v>391002</v>
      </c>
      <c r="U21" s="1200">
        <v>348596</v>
      </c>
      <c r="V21" s="1202"/>
      <c r="W21" s="1203" t="s">
        <v>128</v>
      </c>
      <c r="X21" s="1204">
        <v>344598</v>
      </c>
      <c r="Y21" s="1204">
        <v>342610</v>
      </c>
      <c r="Z21" s="1204">
        <v>342796</v>
      </c>
      <c r="AA21" s="1204">
        <v>328436</v>
      </c>
      <c r="AB21" s="1204">
        <v>325989</v>
      </c>
      <c r="AC21" s="1204">
        <v>318721</v>
      </c>
      <c r="AD21" s="1204">
        <v>318381</v>
      </c>
      <c r="AE21" s="1204">
        <v>318479</v>
      </c>
      <c r="AF21" s="1204">
        <v>313567</v>
      </c>
      <c r="AG21" s="1204">
        <v>307969</v>
      </c>
      <c r="AH21" s="1207">
        <v>288472</v>
      </c>
      <c r="AI21" s="1207">
        <v>289200</v>
      </c>
      <c r="AJ21" s="548">
        <f>SUM(AJ19:AJ20)</f>
        <v>289530</v>
      </c>
      <c r="AK21" s="835">
        <v>300133</v>
      </c>
      <c r="AL21" s="835">
        <v>306855</v>
      </c>
    </row>
    <row r="22" spans="1:38">
      <c r="A22" s="1118"/>
      <c r="B22" s="1197"/>
      <c r="C22" s="533"/>
      <c r="D22" s="533"/>
      <c r="E22" s="533"/>
      <c r="F22" s="533"/>
      <c r="G22" s="533"/>
      <c r="H22" s="533"/>
      <c r="I22" s="533"/>
      <c r="J22" s="1200"/>
      <c r="K22" s="1197"/>
      <c r="L22" s="533"/>
      <c r="M22" s="533"/>
      <c r="N22" s="533"/>
      <c r="O22" s="533"/>
      <c r="P22" s="1200"/>
      <c r="Q22" s="1197" t="s">
        <v>110</v>
      </c>
      <c r="R22" s="533" t="s">
        <v>234</v>
      </c>
      <c r="S22" s="533">
        <v>376310</v>
      </c>
      <c r="T22" s="533">
        <v>347836</v>
      </c>
      <c r="U22" s="1200">
        <v>254368</v>
      </c>
      <c r="V22" t="s">
        <v>110</v>
      </c>
      <c r="W22" s="533" t="s">
        <v>234</v>
      </c>
      <c r="X22" s="540">
        <v>255192</v>
      </c>
      <c r="Y22" s="540">
        <v>253754</v>
      </c>
      <c r="Z22" s="540">
        <v>245004</v>
      </c>
      <c r="AA22" s="540">
        <v>240188</v>
      </c>
      <c r="AB22" s="540">
        <v>245535</v>
      </c>
      <c r="AC22" s="540">
        <v>241412</v>
      </c>
      <c r="AD22" s="540">
        <v>240455</v>
      </c>
      <c r="AE22" s="540">
        <v>240118</v>
      </c>
      <c r="AF22" s="540">
        <v>234309</v>
      </c>
      <c r="AG22" s="540">
        <v>235182</v>
      </c>
      <c r="AH22" s="1153">
        <v>232215</v>
      </c>
      <c r="AI22" s="1129">
        <v>238557</v>
      </c>
      <c r="AJ22" s="548">
        <v>233763</v>
      </c>
      <c r="AK22" s="835">
        <v>230184</v>
      </c>
      <c r="AL22" s="835">
        <v>228456</v>
      </c>
    </row>
    <row r="23" spans="1:38">
      <c r="A23" s="1118"/>
      <c r="B23" s="1197"/>
      <c r="C23" s="533"/>
      <c r="D23" s="533"/>
      <c r="E23" s="533"/>
      <c r="F23" s="533"/>
      <c r="G23" s="533"/>
      <c r="H23" s="533"/>
      <c r="I23" s="533"/>
      <c r="J23" s="1200"/>
      <c r="K23" s="1197"/>
      <c r="L23" s="533"/>
      <c r="M23" s="533"/>
      <c r="N23" s="533"/>
      <c r="O23" s="533"/>
      <c r="P23" s="1200"/>
      <c r="Q23" s="1197"/>
      <c r="R23" s="533" t="s">
        <v>235</v>
      </c>
      <c r="S23" s="533">
        <v>307665</v>
      </c>
      <c r="T23" s="533">
        <v>342654</v>
      </c>
      <c r="U23" s="1200">
        <v>361439</v>
      </c>
      <c r="W23" s="533" t="s">
        <v>235</v>
      </c>
      <c r="X23" s="540">
        <v>377089</v>
      </c>
      <c r="Y23" s="540">
        <v>363876</v>
      </c>
      <c r="Z23" s="540">
        <v>369679</v>
      </c>
      <c r="AA23" s="540">
        <v>356179</v>
      </c>
      <c r="AB23" s="540">
        <v>255001</v>
      </c>
      <c r="AC23" s="540">
        <v>235809</v>
      </c>
      <c r="AD23" s="540">
        <v>246879</v>
      </c>
      <c r="AE23" s="540">
        <v>239236</v>
      </c>
      <c r="AF23" s="540">
        <v>232701</v>
      </c>
      <c r="AG23" s="540">
        <v>227293</v>
      </c>
      <c r="AH23" s="1153">
        <v>222344</v>
      </c>
      <c r="AI23" s="1153">
        <v>232070</v>
      </c>
      <c r="AJ23" s="548">
        <v>242626</v>
      </c>
      <c r="AK23" s="835">
        <v>247155</v>
      </c>
      <c r="AL23" s="835">
        <v>232968</v>
      </c>
    </row>
    <row r="24" spans="1:38">
      <c r="A24" s="1118"/>
      <c r="B24" s="1197"/>
      <c r="C24" s="533"/>
      <c r="D24" s="533"/>
      <c r="E24" s="533"/>
      <c r="F24" s="533"/>
      <c r="G24" s="533"/>
      <c r="H24" s="533"/>
      <c r="I24" s="533"/>
      <c r="J24" s="1200"/>
      <c r="K24" s="1197"/>
      <c r="L24" s="533"/>
      <c r="M24" s="533"/>
      <c r="N24" s="533"/>
      <c r="O24" s="533"/>
      <c r="P24" s="1200"/>
      <c r="Q24" s="1197"/>
      <c r="R24" s="533" t="s">
        <v>236</v>
      </c>
      <c r="S24" s="533">
        <v>299628</v>
      </c>
      <c r="T24" s="533">
        <v>318903</v>
      </c>
      <c r="U24" s="1200">
        <v>354792</v>
      </c>
      <c r="V24" s="1202"/>
      <c r="W24" s="1203" t="s">
        <v>236</v>
      </c>
      <c r="X24" s="1204">
        <v>374891</v>
      </c>
      <c r="Y24" s="1204">
        <v>364712</v>
      </c>
      <c r="Z24" s="1204">
        <v>380964</v>
      </c>
      <c r="AA24" s="1204">
        <v>372680</v>
      </c>
      <c r="AB24" s="1204">
        <v>296740</v>
      </c>
      <c r="AC24" s="1204">
        <v>241904</v>
      </c>
      <c r="AD24" s="1204">
        <v>251877</v>
      </c>
      <c r="AE24" s="1204">
        <v>246500</v>
      </c>
      <c r="AF24" s="1204">
        <v>236279</v>
      </c>
      <c r="AG24" s="1204">
        <v>224375</v>
      </c>
      <c r="AH24" s="1207">
        <v>221486</v>
      </c>
      <c r="AI24" s="1207">
        <v>231272</v>
      </c>
      <c r="AJ24" s="548">
        <v>247378</v>
      </c>
      <c r="AK24" s="835">
        <v>254766</v>
      </c>
      <c r="AL24" s="835">
        <v>240987</v>
      </c>
    </row>
    <row r="25" spans="1:38">
      <c r="A25" s="1118"/>
      <c r="B25" s="1197"/>
      <c r="C25" s="533"/>
      <c r="D25" s="533"/>
      <c r="E25" s="533"/>
      <c r="F25" s="533"/>
      <c r="G25" s="533"/>
      <c r="H25" s="533"/>
      <c r="I25" s="533"/>
      <c r="J25" s="1200"/>
      <c r="K25" s="1197"/>
      <c r="L25" s="533"/>
      <c r="M25" s="533"/>
      <c r="N25" s="533"/>
      <c r="O25" s="533"/>
      <c r="P25" s="1200"/>
      <c r="Q25" s="1197" t="s">
        <v>237</v>
      </c>
      <c r="R25" s="533" t="s">
        <v>232</v>
      </c>
      <c r="S25" s="533">
        <v>145040</v>
      </c>
      <c r="T25" s="533">
        <v>151765</v>
      </c>
      <c r="U25" s="1200">
        <v>164459</v>
      </c>
      <c r="V25" t="s">
        <v>237</v>
      </c>
      <c r="W25" s="533" t="s">
        <v>232</v>
      </c>
      <c r="X25" s="540">
        <v>187237</v>
      </c>
      <c r="Y25" s="540">
        <v>197594</v>
      </c>
      <c r="Z25" s="540">
        <v>224917</v>
      </c>
      <c r="AA25" s="540">
        <v>225571</v>
      </c>
      <c r="AB25" s="540">
        <v>177750</v>
      </c>
      <c r="AC25" s="540">
        <v>146749</v>
      </c>
      <c r="AD25" s="540">
        <v>160643</v>
      </c>
      <c r="AE25" s="540">
        <v>156844</v>
      </c>
      <c r="AF25" s="540">
        <v>152440</v>
      </c>
      <c r="AG25" s="540">
        <v>140865</v>
      </c>
      <c r="AH25" s="1153">
        <v>140322</v>
      </c>
      <c r="AI25" s="1153">
        <v>141853</v>
      </c>
      <c r="AJ25" s="548">
        <v>155117</v>
      </c>
      <c r="AK25" s="835">
        <v>158587</v>
      </c>
      <c r="AL25" s="835">
        <v>146778</v>
      </c>
    </row>
    <row r="26" spans="1:38">
      <c r="A26" s="1118"/>
      <c r="B26" s="1197"/>
      <c r="C26" s="533"/>
      <c r="D26" s="533"/>
      <c r="E26" s="533"/>
      <c r="F26" s="533"/>
      <c r="G26" s="533"/>
      <c r="H26" s="533"/>
      <c r="I26" s="533"/>
      <c r="J26" s="1200"/>
      <c r="K26" s="1197"/>
      <c r="L26" s="533"/>
      <c r="M26" s="533"/>
      <c r="N26" s="533"/>
      <c r="O26" s="533"/>
      <c r="P26" s="1200"/>
      <c r="Q26" s="1197"/>
      <c r="R26" s="533" t="s">
        <v>233</v>
      </c>
      <c r="S26" s="533">
        <v>19914</v>
      </c>
      <c r="T26" s="533">
        <v>25185</v>
      </c>
      <c r="U26" s="1200">
        <v>28890</v>
      </c>
      <c r="W26" s="533" t="s">
        <v>233</v>
      </c>
      <c r="X26" s="540">
        <v>35456</v>
      </c>
      <c r="Y26" s="540">
        <v>40729</v>
      </c>
      <c r="Z26" s="540">
        <v>49874</v>
      </c>
      <c r="AA26" s="540">
        <v>51508</v>
      </c>
      <c r="AB26" s="540">
        <v>49392</v>
      </c>
      <c r="AC26" s="540">
        <v>42609</v>
      </c>
      <c r="AD26" s="540">
        <v>42444</v>
      </c>
      <c r="AE26" s="540">
        <v>42733</v>
      </c>
      <c r="AF26" s="540">
        <v>42085</v>
      </c>
      <c r="AG26" s="540">
        <v>39045</v>
      </c>
      <c r="AH26" s="1153">
        <v>39061</v>
      </c>
      <c r="AI26" s="1153">
        <v>42519</v>
      </c>
      <c r="AJ26" s="548">
        <v>46303</v>
      </c>
      <c r="AK26" s="835">
        <v>50781</v>
      </c>
      <c r="AL26" s="835">
        <v>53506</v>
      </c>
    </row>
    <row r="27" spans="1:38">
      <c r="A27" s="1118"/>
      <c r="B27" s="1197" t="s">
        <v>237</v>
      </c>
      <c r="C27" s="533" t="s">
        <v>232</v>
      </c>
      <c r="D27" s="533">
        <v>187681</v>
      </c>
      <c r="E27" s="533">
        <v>129937</v>
      </c>
      <c r="F27" s="533">
        <v>125704</v>
      </c>
      <c r="G27" s="533">
        <v>133960</v>
      </c>
      <c r="H27" s="533">
        <v>112269</v>
      </c>
      <c r="I27" s="533">
        <v>109375</v>
      </c>
      <c r="J27" s="1200">
        <v>108515</v>
      </c>
      <c r="K27" s="1197" t="s">
        <v>237</v>
      </c>
      <c r="L27" s="533" t="s">
        <v>232</v>
      </c>
      <c r="M27" s="533">
        <v>110835</v>
      </c>
      <c r="N27" s="533">
        <v>112527</v>
      </c>
      <c r="O27" s="533">
        <v>111088</v>
      </c>
      <c r="P27" s="1200">
        <v>126804</v>
      </c>
      <c r="Q27" s="1197"/>
      <c r="R27" s="533" t="s">
        <v>128</v>
      </c>
      <c r="S27" s="533">
        <v>164954</v>
      </c>
      <c r="T27" s="533">
        <v>176950</v>
      </c>
      <c r="U27" s="1200">
        <v>193349</v>
      </c>
      <c r="V27" s="1202"/>
      <c r="W27" s="1203" t="s">
        <v>128</v>
      </c>
      <c r="X27" s="1204">
        <v>222693</v>
      </c>
      <c r="Y27" s="1204">
        <v>238323</v>
      </c>
      <c r="Z27" s="1204">
        <v>274791</v>
      </c>
      <c r="AA27" s="1204">
        <v>277079</v>
      </c>
      <c r="AB27" s="1204">
        <v>227142</v>
      </c>
      <c r="AC27" s="1204">
        <v>189358</v>
      </c>
      <c r="AD27" s="1204">
        <v>203087</v>
      </c>
      <c r="AE27" s="1204">
        <v>199577</v>
      </c>
      <c r="AF27" s="1204">
        <v>194525</v>
      </c>
      <c r="AG27" s="1204">
        <v>179910</v>
      </c>
      <c r="AH27" s="1207">
        <v>179383</v>
      </c>
      <c r="AI27" s="1207">
        <v>184372</v>
      </c>
      <c r="AJ27" s="548">
        <f>SUM(AJ25:AJ26)</f>
        <v>201420</v>
      </c>
      <c r="AK27" s="835">
        <v>209368</v>
      </c>
      <c r="AL27" s="835">
        <v>200284</v>
      </c>
    </row>
    <row r="28" spans="1:38">
      <c r="A28" s="1118"/>
      <c r="B28" s="1197"/>
      <c r="C28" s="533" t="s">
        <v>233</v>
      </c>
      <c r="D28" s="533">
        <v>27419</v>
      </c>
      <c r="E28" s="533">
        <v>17749</v>
      </c>
      <c r="F28" s="533">
        <v>15774</v>
      </c>
      <c r="G28" s="533">
        <v>16099</v>
      </c>
      <c r="H28" s="533">
        <v>13611</v>
      </c>
      <c r="I28" s="533">
        <v>12367</v>
      </c>
      <c r="J28" s="1200">
        <v>11503</v>
      </c>
      <c r="K28" s="1197"/>
      <c r="L28" s="533" t="s">
        <v>233</v>
      </c>
      <c r="M28" s="533">
        <v>11676</v>
      </c>
      <c r="N28" s="533">
        <v>11665</v>
      </c>
      <c r="O28" s="533">
        <v>11856</v>
      </c>
      <c r="P28" s="1200">
        <v>14595</v>
      </c>
      <c r="Q28" s="1197" t="s">
        <v>238</v>
      </c>
      <c r="R28" s="533" t="s">
        <v>239</v>
      </c>
      <c r="S28" s="533">
        <v>32586</v>
      </c>
      <c r="T28" s="533">
        <v>31019</v>
      </c>
      <c r="U28" s="1200">
        <v>24137</v>
      </c>
      <c r="V28" t="s">
        <v>238</v>
      </c>
      <c r="W28" s="533" t="s">
        <v>239</v>
      </c>
      <c r="X28" s="540">
        <v>27889</v>
      </c>
      <c r="Y28" s="540">
        <v>26663</v>
      </c>
      <c r="Z28" s="540">
        <v>24958</v>
      </c>
      <c r="AA28" s="540">
        <v>24644</v>
      </c>
      <c r="AB28" s="540">
        <v>25710</v>
      </c>
      <c r="AC28" s="540">
        <v>21858</v>
      </c>
      <c r="AD28" s="540">
        <v>18898</v>
      </c>
      <c r="AE28" s="540">
        <v>18591</v>
      </c>
      <c r="AF28" s="540">
        <v>16536</v>
      </c>
      <c r="AG28" s="540">
        <v>16699</v>
      </c>
      <c r="AH28" s="1153">
        <v>16899</v>
      </c>
      <c r="AI28" s="1153">
        <v>16894</v>
      </c>
      <c r="AJ28" s="548">
        <v>19647</v>
      </c>
      <c r="AK28" s="835">
        <v>21047</v>
      </c>
      <c r="AL28" s="835">
        <v>20069</v>
      </c>
    </row>
    <row r="29" spans="1:38">
      <c r="A29" s="1118"/>
      <c r="B29" s="1197"/>
      <c r="C29" s="533" t="s">
        <v>128</v>
      </c>
      <c r="D29" s="533">
        <v>215100</v>
      </c>
      <c r="E29" s="533">
        <v>147686</v>
      </c>
      <c r="F29" s="533">
        <v>141478</v>
      </c>
      <c r="G29" s="533">
        <v>150059</v>
      </c>
      <c r="H29" s="533">
        <v>125880</v>
      </c>
      <c r="I29" s="533">
        <v>121742</v>
      </c>
      <c r="J29" s="1200">
        <v>120018</v>
      </c>
      <c r="K29" s="1197"/>
      <c r="L29" s="533" t="s">
        <v>128</v>
      </c>
      <c r="M29" s="533">
        <v>122511</v>
      </c>
      <c r="N29" s="533">
        <v>124192</v>
      </c>
      <c r="O29" s="533">
        <v>122944</v>
      </c>
      <c r="P29" s="1200">
        <v>141399</v>
      </c>
      <c r="Q29" s="1197"/>
      <c r="R29" s="533" t="s">
        <v>240</v>
      </c>
      <c r="S29" s="533">
        <v>284</v>
      </c>
      <c r="T29" s="533">
        <v>292</v>
      </c>
      <c r="U29" s="1200">
        <v>257</v>
      </c>
      <c r="V29" s="1202"/>
      <c r="W29" s="1203" t="s">
        <v>240</v>
      </c>
      <c r="X29" s="1204">
        <v>237</v>
      </c>
      <c r="Y29" s="1204">
        <v>269</v>
      </c>
      <c r="Z29" s="1204">
        <v>217</v>
      </c>
      <c r="AA29" s="1204">
        <v>247</v>
      </c>
      <c r="AB29" s="1204">
        <v>215</v>
      </c>
      <c r="AC29" s="1204">
        <v>227</v>
      </c>
      <c r="AD29" s="1204">
        <v>140</v>
      </c>
      <c r="AE29" s="1204">
        <v>161</v>
      </c>
      <c r="AF29" s="1204">
        <v>159</v>
      </c>
      <c r="AG29" s="1204">
        <v>113</v>
      </c>
      <c r="AH29" s="1207">
        <v>121</v>
      </c>
      <c r="AI29" s="1153">
        <v>106</v>
      </c>
      <c r="AJ29" s="548">
        <v>97</v>
      </c>
      <c r="AK29" s="835">
        <v>84</v>
      </c>
      <c r="AL29" s="835">
        <v>186</v>
      </c>
    </row>
    <row r="30" spans="1:38">
      <c r="A30" s="1118"/>
      <c r="B30" s="1197" t="s">
        <v>241</v>
      </c>
      <c r="C30" s="533"/>
      <c r="D30" s="533">
        <v>13667</v>
      </c>
      <c r="E30" s="533">
        <v>13742</v>
      </c>
      <c r="F30" s="533">
        <v>14157</v>
      </c>
      <c r="G30" s="533">
        <v>14650</v>
      </c>
      <c r="H30" s="533">
        <v>16498</v>
      </c>
      <c r="I30" s="533">
        <v>19962</v>
      </c>
      <c r="J30" s="1200">
        <v>21847</v>
      </c>
      <c r="K30" s="1197" t="s">
        <v>241</v>
      </c>
      <c r="L30" s="533"/>
      <c r="M30" s="533">
        <v>22217</v>
      </c>
      <c r="N30" s="533">
        <v>24008</v>
      </c>
      <c r="O30" s="533">
        <v>23054</v>
      </c>
      <c r="P30" s="1200">
        <v>26373</v>
      </c>
      <c r="Q30" s="1197" t="s">
        <v>242</v>
      </c>
      <c r="R30" s="533" t="s">
        <v>243</v>
      </c>
      <c r="S30" s="533">
        <v>26033</v>
      </c>
      <c r="T30" s="533">
        <v>26523</v>
      </c>
      <c r="U30" s="1200">
        <v>28927</v>
      </c>
      <c r="V30" t="s">
        <v>242</v>
      </c>
      <c r="W30" s="533" t="s">
        <v>243</v>
      </c>
      <c r="X30" s="540">
        <v>29993</v>
      </c>
      <c r="Y30" s="540">
        <v>35633</v>
      </c>
      <c r="Z30" s="540">
        <v>40529</v>
      </c>
      <c r="AA30" s="540">
        <v>42377</v>
      </c>
      <c r="AB30" s="540">
        <v>40079</v>
      </c>
      <c r="AC30" s="540">
        <v>43571</v>
      </c>
      <c r="AD30" s="540">
        <v>44321</v>
      </c>
      <c r="AE30" s="540">
        <v>45948</v>
      </c>
      <c r="AF30" s="540">
        <v>47934</v>
      </c>
      <c r="AG30" s="540">
        <v>51666</v>
      </c>
      <c r="AH30" s="1153">
        <v>50338</v>
      </c>
      <c r="AI30" s="1153">
        <v>48502</v>
      </c>
      <c r="AJ30" s="548">
        <v>49154</v>
      </c>
      <c r="AK30" s="835">
        <v>47333</v>
      </c>
      <c r="AL30" s="835">
        <v>47122</v>
      </c>
    </row>
    <row r="31" spans="1:38">
      <c r="A31" s="809"/>
      <c r="B31" s="1198" t="s">
        <v>244</v>
      </c>
      <c r="C31" s="538"/>
      <c r="D31" s="538" t="s">
        <v>245</v>
      </c>
      <c r="E31" s="538" t="s">
        <v>245</v>
      </c>
      <c r="F31" s="538" t="s">
        <v>245</v>
      </c>
      <c r="G31" s="538" t="s">
        <v>245</v>
      </c>
      <c r="H31" s="538" t="s">
        <v>245</v>
      </c>
      <c r="I31" s="538">
        <v>3536</v>
      </c>
      <c r="J31" s="1201">
        <v>3150</v>
      </c>
      <c r="K31" s="1198" t="s">
        <v>244</v>
      </c>
      <c r="L31" s="538"/>
      <c r="M31" s="538">
        <v>3896</v>
      </c>
      <c r="N31" s="538" t="s">
        <v>245</v>
      </c>
      <c r="O31" s="538" t="s">
        <v>245</v>
      </c>
      <c r="P31" s="1201" t="s">
        <v>245</v>
      </c>
      <c r="Q31" s="1198"/>
      <c r="R31" s="538" t="s">
        <v>246</v>
      </c>
      <c r="S31" s="538">
        <v>2741</v>
      </c>
      <c r="T31" s="538">
        <v>2321</v>
      </c>
      <c r="U31" s="1201">
        <v>2173</v>
      </c>
      <c r="V31" s="1123"/>
      <c r="W31" s="538" t="s">
        <v>246</v>
      </c>
      <c r="X31" s="539">
        <v>1952</v>
      </c>
      <c r="Y31" s="539">
        <v>2198</v>
      </c>
      <c r="Z31" s="539">
        <v>2702</v>
      </c>
      <c r="AA31" s="539">
        <v>2509</v>
      </c>
      <c r="AB31" s="539">
        <v>2190</v>
      </c>
      <c r="AC31" s="539">
        <v>2515</v>
      </c>
      <c r="AD31" s="539">
        <v>2021</v>
      </c>
      <c r="AE31" s="539">
        <v>1903</v>
      </c>
      <c r="AF31" s="539">
        <v>2131</v>
      </c>
      <c r="AG31" s="539">
        <v>2000</v>
      </c>
      <c r="AH31" s="1154">
        <v>1806</v>
      </c>
      <c r="AI31" s="1154">
        <v>1541</v>
      </c>
      <c r="AJ31" s="780">
        <v>1401</v>
      </c>
      <c r="AK31" s="835">
        <v>1412</v>
      </c>
      <c r="AL31" s="835">
        <v>1377</v>
      </c>
    </row>
    <row r="32" spans="1:38">
      <c r="A32" s="1118" t="s">
        <v>146</v>
      </c>
      <c r="B32" s="1197"/>
      <c r="C32" s="533"/>
      <c r="D32" s="533"/>
      <c r="E32" s="533"/>
      <c r="F32" s="533"/>
      <c r="G32" s="533"/>
      <c r="H32" s="533"/>
      <c r="I32" s="533"/>
      <c r="J32" s="1200"/>
      <c r="K32" s="1197"/>
      <c r="L32" s="533"/>
      <c r="M32" s="533"/>
      <c r="N32" s="533"/>
      <c r="O32" s="533"/>
      <c r="P32" s="1200"/>
      <c r="Q32" s="1197" t="s">
        <v>231</v>
      </c>
      <c r="R32" s="533" t="s">
        <v>232</v>
      </c>
      <c r="S32" s="533">
        <v>128701</v>
      </c>
      <c r="T32" s="533">
        <v>127114</v>
      </c>
      <c r="U32" s="1200">
        <v>127316</v>
      </c>
      <c r="V32" t="s">
        <v>231</v>
      </c>
      <c r="W32" s="533" t="s">
        <v>232</v>
      </c>
      <c r="X32" s="540">
        <v>131805</v>
      </c>
      <c r="Y32" s="540">
        <v>138034</v>
      </c>
      <c r="Z32" s="540">
        <v>148136</v>
      </c>
      <c r="AA32" s="540">
        <v>159978</v>
      </c>
      <c r="AB32" s="540">
        <v>164073</v>
      </c>
      <c r="AC32" s="540">
        <v>167273</v>
      </c>
      <c r="AD32" s="540">
        <v>163423</v>
      </c>
      <c r="AE32" s="540">
        <v>159031</v>
      </c>
      <c r="AF32" s="540">
        <v>162561</v>
      </c>
      <c r="AG32" s="540">
        <v>171603</v>
      </c>
      <c r="AH32" s="1153">
        <v>180477</v>
      </c>
      <c r="AI32" s="1153">
        <v>186245</v>
      </c>
      <c r="AJ32" s="551">
        <v>183748</v>
      </c>
      <c r="AK32" s="833">
        <v>191142</v>
      </c>
      <c r="AL32" s="833">
        <v>195786</v>
      </c>
    </row>
    <row r="33" spans="1:38">
      <c r="A33" s="1118"/>
      <c r="B33" s="1197"/>
      <c r="C33" s="533"/>
      <c r="D33" s="533"/>
      <c r="E33" s="533"/>
      <c r="F33" s="533"/>
      <c r="G33" s="533"/>
      <c r="H33" s="533"/>
      <c r="I33" s="533"/>
      <c r="J33" s="1200"/>
      <c r="K33" s="1197"/>
      <c r="L33" s="533"/>
      <c r="M33" s="533"/>
      <c r="N33" s="533"/>
      <c r="O33" s="533"/>
      <c r="P33" s="1200"/>
      <c r="Q33" s="1197"/>
      <c r="R33" s="533" t="s">
        <v>233</v>
      </c>
      <c r="S33" s="533">
        <v>43768</v>
      </c>
      <c r="T33" s="533">
        <v>43518</v>
      </c>
      <c r="U33" s="1200">
        <v>36207</v>
      </c>
      <c r="W33" s="533" t="s">
        <v>233</v>
      </c>
      <c r="X33" s="540">
        <v>38296</v>
      </c>
      <c r="Y33" s="540">
        <v>40890</v>
      </c>
      <c r="Z33" s="540">
        <v>40779</v>
      </c>
      <c r="AA33" s="540">
        <v>44611</v>
      </c>
      <c r="AB33" s="540">
        <v>46219</v>
      </c>
      <c r="AC33" s="540">
        <v>46421</v>
      </c>
      <c r="AD33" s="540">
        <v>45407</v>
      </c>
      <c r="AE33" s="540">
        <v>45744</v>
      </c>
      <c r="AF33" s="540">
        <v>47431</v>
      </c>
      <c r="AG33" s="540">
        <v>47372</v>
      </c>
      <c r="AH33" s="1153">
        <v>46282</v>
      </c>
      <c r="AI33" s="1153">
        <v>51753</v>
      </c>
      <c r="AJ33" s="548">
        <v>53885</v>
      </c>
      <c r="AK33" s="835">
        <v>52168</v>
      </c>
      <c r="AL33" s="835">
        <v>50459</v>
      </c>
    </row>
    <row r="34" spans="1:38">
      <c r="A34" s="1118"/>
      <c r="B34" s="1197"/>
      <c r="C34" s="533"/>
      <c r="D34" s="533"/>
      <c r="E34" s="533"/>
      <c r="F34" s="533"/>
      <c r="G34" s="533"/>
      <c r="H34" s="533"/>
      <c r="I34" s="533"/>
      <c r="J34" s="1200"/>
      <c r="K34" s="1197"/>
      <c r="L34" s="533"/>
      <c r="M34" s="533"/>
      <c r="N34" s="533"/>
      <c r="O34" s="533"/>
      <c r="P34" s="1200"/>
      <c r="Q34" s="1197"/>
      <c r="R34" s="533" t="s">
        <v>62</v>
      </c>
      <c r="S34" s="533">
        <v>172469</v>
      </c>
      <c r="T34" s="533">
        <v>170632</v>
      </c>
      <c r="U34" s="1200">
        <v>163523</v>
      </c>
      <c r="V34" s="1202"/>
      <c r="W34" s="1203" t="s">
        <v>62</v>
      </c>
      <c r="X34" s="1204">
        <v>170101</v>
      </c>
      <c r="Y34" s="1204">
        <v>178924</v>
      </c>
      <c r="Z34" s="1204">
        <v>188915</v>
      </c>
      <c r="AA34" s="1204">
        <v>204589</v>
      </c>
      <c r="AB34" s="1204">
        <v>210292</v>
      </c>
      <c r="AC34" s="1204">
        <v>213694</v>
      </c>
      <c r="AD34" s="1204">
        <v>208830</v>
      </c>
      <c r="AE34" s="1204">
        <v>204775</v>
      </c>
      <c r="AF34" s="1204">
        <v>209992</v>
      </c>
      <c r="AG34" s="1204">
        <v>218975</v>
      </c>
      <c r="AH34" s="1207">
        <v>226759</v>
      </c>
      <c r="AI34" s="1207">
        <v>237998</v>
      </c>
      <c r="AJ34" s="548">
        <f>SUM(AJ32:AJ33)</f>
        <v>237633</v>
      </c>
      <c r="AK34" s="835">
        <v>243310</v>
      </c>
      <c r="AL34" s="835">
        <v>246245</v>
      </c>
    </row>
    <row r="35" spans="1:38">
      <c r="A35" s="1118"/>
      <c r="B35" s="1197"/>
      <c r="C35" s="533"/>
      <c r="D35" s="533"/>
      <c r="E35" s="533"/>
      <c r="F35" s="533"/>
      <c r="G35" s="533"/>
      <c r="H35" s="533"/>
      <c r="I35" s="533"/>
      <c r="J35" s="1200"/>
      <c r="K35" s="1197"/>
      <c r="L35" s="533"/>
      <c r="M35" s="533"/>
      <c r="N35" s="533"/>
      <c r="O35" s="533"/>
      <c r="P35" s="1200"/>
      <c r="Q35" s="1197" t="s">
        <v>110</v>
      </c>
      <c r="R35" s="533" t="s">
        <v>234</v>
      </c>
      <c r="S35" s="533">
        <v>137446</v>
      </c>
      <c r="T35" s="533">
        <v>143916</v>
      </c>
      <c r="U35" s="1200">
        <v>132773</v>
      </c>
      <c r="V35" t="s">
        <v>110</v>
      </c>
      <c r="W35" s="533" t="s">
        <v>234</v>
      </c>
      <c r="X35" s="540">
        <v>143071</v>
      </c>
      <c r="Y35" s="540">
        <v>149987</v>
      </c>
      <c r="Z35" s="540">
        <v>155566</v>
      </c>
      <c r="AA35" s="540">
        <v>164844</v>
      </c>
      <c r="AB35" s="540">
        <v>169894</v>
      </c>
      <c r="AC35" s="540">
        <v>176346</v>
      </c>
      <c r="AD35" s="540">
        <v>172948</v>
      </c>
      <c r="AE35" s="540">
        <v>172635</v>
      </c>
      <c r="AF35" s="540">
        <v>180680</v>
      </c>
      <c r="AG35" s="540">
        <v>183816</v>
      </c>
      <c r="AH35" s="1153">
        <v>223842</v>
      </c>
      <c r="AI35" s="1153">
        <v>233055</v>
      </c>
      <c r="AJ35" s="548">
        <v>202508</v>
      </c>
      <c r="AK35" s="835">
        <v>199979</v>
      </c>
      <c r="AL35" s="835">
        <v>199384</v>
      </c>
    </row>
    <row r="36" spans="1:38">
      <c r="A36" s="1118"/>
      <c r="B36" s="1197"/>
      <c r="C36" s="533"/>
      <c r="D36" s="533"/>
      <c r="E36" s="533"/>
      <c r="F36" s="533"/>
      <c r="G36" s="533"/>
      <c r="H36" s="533"/>
      <c r="I36" s="533"/>
      <c r="J36" s="1200"/>
      <c r="K36" s="1197"/>
      <c r="L36" s="533"/>
      <c r="M36" s="533"/>
      <c r="N36" s="533"/>
      <c r="O36" s="533"/>
      <c r="P36" s="1200"/>
      <c r="Q36" s="1197"/>
      <c r="R36" s="533" t="s">
        <v>247</v>
      </c>
      <c r="S36" s="533">
        <v>129147</v>
      </c>
      <c r="T36" s="533">
        <v>95504</v>
      </c>
      <c r="U36" s="1200">
        <v>94300</v>
      </c>
      <c r="W36" s="533" t="s">
        <v>247</v>
      </c>
      <c r="X36" s="540">
        <v>125633</v>
      </c>
      <c r="Y36" s="540">
        <v>174283</v>
      </c>
      <c r="Z36" s="540">
        <v>163246</v>
      </c>
      <c r="AA36" s="540">
        <v>181871</v>
      </c>
      <c r="AB36" s="540">
        <v>166915</v>
      </c>
      <c r="AC36" s="540">
        <v>164773</v>
      </c>
      <c r="AD36" s="540">
        <v>174792</v>
      </c>
      <c r="AE36" s="540">
        <v>171112</v>
      </c>
      <c r="AF36" s="540">
        <v>162689</v>
      </c>
      <c r="AG36" s="540">
        <v>172371</v>
      </c>
      <c r="AH36" s="1153">
        <v>186495</v>
      </c>
      <c r="AI36" s="1153">
        <v>181976</v>
      </c>
      <c r="AJ36" s="548">
        <v>172793</v>
      </c>
      <c r="AK36" s="835">
        <v>177650</v>
      </c>
      <c r="AL36" s="835">
        <v>204097</v>
      </c>
    </row>
    <row r="37" spans="1:38">
      <c r="A37" s="1118"/>
      <c r="B37" s="1197"/>
      <c r="C37" s="533"/>
      <c r="D37" s="533"/>
      <c r="E37" s="533"/>
      <c r="F37" s="533"/>
      <c r="G37" s="533"/>
      <c r="H37" s="533"/>
      <c r="I37" s="533"/>
      <c r="J37" s="1200"/>
      <c r="K37" s="1197"/>
      <c r="L37" s="533"/>
      <c r="M37" s="533"/>
      <c r="N37" s="533"/>
      <c r="O37" s="533"/>
      <c r="P37" s="1200"/>
      <c r="Q37" s="1197"/>
      <c r="R37" s="533" t="s">
        <v>248</v>
      </c>
      <c r="S37" s="533">
        <v>152417</v>
      </c>
      <c r="T37" s="533">
        <v>108897</v>
      </c>
      <c r="U37" s="1200">
        <v>89272</v>
      </c>
      <c r="V37" s="1202"/>
      <c r="W37" s="1203" t="s">
        <v>248</v>
      </c>
      <c r="X37" s="1204">
        <v>110356</v>
      </c>
      <c r="Y37" s="1204">
        <v>151184</v>
      </c>
      <c r="Z37" s="1204">
        <v>163912</v>
      </c>
      <c r="AA37" s="1204">
        <v>179794</v>
      </c>
      <c r="AB37" s="1204">
        <v>177289</v>
      </c>
      <c r="AC37" s="1204">
        <v>149620</v>
      </c>
      <c r="AD37" s="1204">
        <v>172053</v>
      </c>
      <c r="AE37" s="1204">
        <v>177118</v>
      </c>
      <c r="AF37" s="1204">
        <v>165902</v>
      </c>
      <c r="AG37" s="1204">
        <v>170160</v>
      </c>
      <c r="AH37" s="1207">
        <v>177556</v>
      </c>
      <c r="AI37" s="1207">
        <v>184710</v>
      </c>
      <c r="AJ37" s="548">
        <v>172492</v>
      </c>
      <c r="AK37" s="835">
        <v>175536</v>
      </c>
      <c r="AL37" s="835">
        <v>167790</v>
      </c>
    </row>
    <row r="38" spans="1:38">
      <c r="A38" s="1118"/>
      <c r="B38" s="1197"/>
      <c r="C38" s="533"/>
      <c r="D38" s="533"/>
      <c r="E38" s="533"/>
      <c r="F38" s="533"/>
      <c r="G38" s="533"/>
      <c r="H38" s="533"/>
      <c r="I38" s="533"/>
      <c r="J38" s="1200"/>
      <c r="K38" s="1197"/>
      <c r="L38" s="533"/>
      <c r="M38" s="533"/>
      <c r="N38" s="533"/>
      <c r="O38" s="533"/>
      <c r="P38" s="1200"/>
      <c r="Q38" s="1197" t="s">
        <v>237</v>
      </c>
      <c r="R38" s="533" t="s">
        <v>232</v>
      </c>
      <c r="S38" s="533">
        <v>91562</v>
      </c>
      <c r="T38" s="533">
        <v>61115</v>
      </c>
      <c r="U38" s="1200">
        <v>42129</v>
      </c>
      <c r="V38" t="s">
        <v>237</v>
      </c>
      <c r="W38" s="533" t="s">
        <v>232</v>
      </c>
      <c r="X38" s="540">
        <v>51404</v>
      </c>
      <c r="Y38" s="540">
        <v>72258</v>
      </c>
      <c r="Z38" s="540">
        <v>84061</v>
      </c>
      <c r="AA38" s="540">
        <v>95667</v>
      </c>
      <c r="AB38" s="540">
        <v>97294</v>
      </c>
      <c r="AC38" s="540">
        <v>76318</v>
      </c>
      <c r="AD38" s="540">
        <v>82400</v>
      </c>
      <c r="AE38" s="540">
        <v>90847</v>
      </c>
      <c r="AF38" s="540">
        <v>89227</v>
      </c>
      <c r="AG38" s="540">
        <v>94852</v>
      </c>
      <c r="AH38" s="1153">
        <v>103881</v>
      </c>
      <c r="AI38" s="1153">
        <v>110351</v>
      </c>
      <c r="AJ38" s="548">
        <v>99202</v>
      </c>
      <c r="AK38" s="835">
        <v>99315</v>
      </c>
      <c r="AL38" s="835">
        <v>95165</v>
      </c>
    </row>
    <row r="39" spans="1:38">
      <c r="A39" s="1118"/>
      <c r="B39" s="1197"/>
      <c r="C39" s="533"/>
      <c r="D39" s="533"/>
      <c r="E39" s="533"/>
      <c r="F39" s="533"/>
      <c r="G39" s="533"/>
      <c r="H39" s="533"/>
      <c r="I39" s="533"/>
      <c r="J39" s="1200"/>
      <c r="K39" s="1197"/>
      <c r="L39" s="533"/>
      <c r="M39" s="533"/>
      <c r="N39" s="533"/>
      <c r="O39" s="533"/>
      <c r="P39" s="1200"/>
      <c r="Q39" s="1197"/>
      <c r="R39" s="533" t="s">
        <v>233</v>
      </c>
      <c r="S39" s="533">
        <v>32143</v>
      </c>
      <c r="T39" s="533">
        <v>22408</v>
      </c>
      <c r="U39" s="1200">
        <v>14603</v>
      </c>
      <c r="W39" s="533" t="s">
        <v>233</v>
      </c>
      <c r="X39" s="540">
        <v>17439</v>
      </c>
      <c r="Y39" s="540">
        <v>22462</v>
      </c>
      <c r="Z39" s="540">
        <v>29406</v>
      </c>
      <c r="AA39" s="540">
        <v>31663</v>
      </c>
      <c r="AB39" s="540">
        <v>32492</v>
      </c>
      <c r="AC39" s="540">
        <v>25555</v>
      </c>
      <c r="AD39" s="540">
        <v>26475</v>
      </c>
      <c r="AE39" s="540">
        <v>29815</v>
      </c>
      <c r="AF39" s="540">
        <v>29785</v>
      </c>
      <c r="AG39" s="540">
        <v>30809</v>
      </c>
      <c r="AH39" s="1153">
        <v>30885</v>
      </c>
      <c r="AI39" s="1153">
        <v>35531</v>
      </c>
      <c r="AJ39" s="548">
        <v>35978</v>
      </c>
      <c r="AK39" s="835">
        <v>35419</v>
      </c>
      <c r="AL39" s="835">
        <v>32641</v>
      </c>
    </row>
    <row r="40" spans="1:38">
      <c r="A40" s="1118"/>
      <c r="B40" s="1197"/>
      <c r="C40" s="533"/>
      <c r="D40" s="533"/>
      <c r="E40" s="533"/>
      <c r="F40" s="533"/>
      <c r="G40" s="533"/>
      <c r="H40" s="533"/>
      <c r="I40" s="533"/>
      <c r="J40" s="1200"/>
      <c r="K40" s="1197"/>
      <c r="L40" s="533"/>
      <c r="M40" s="533"/>
      <c r="N40" s="533"/>
      <c r="O40" s="533"/>
      <c r="P40" s="1200"/>
      <c r="Q40" s="1197"/>
      <c r="R40" s="533" t="s">
        <v>62</v>
      </c>
      <c r="S40" s="533">
        <v>123705</v>
      </c>
      <c r="T40" s="533">
        <v>83523</v>
      </c>
      <c r="U40" s="1200">
        <v>56732</v>
      </c>
      <c r="V40" s="1202"/>
      <c r="W40" s="1203" t="s">
        <v>62</v>
      </c>
      <c r="X40" s="1204">
        <v>68843</v>
      </c>
      <c r="Y40" s="1204">
        <v>94720</v>
      </c>
      <c r="Z40" s="1204">
        <v>113467</v>
      </c>
      <c r="AA40" s="1204">
        <v>127330</v>
      </c>
      <c r="AB40" s="1204">
        <v>129786</v>
      </c>
      <c r="AC40" s="1204">
        <v>101873</v>
      </c>
      <c r="AD40" s="1204">
        <v>108875</v>
      </c>
      <c r="AE40" s="1204">
        <v>120662</v>
      </c>
      <c r="AF40" s="1204">
        <v>119012</v>
      </c>
      <c r="AG40" s="1204">
        <v>125661</v>
      </c>
      <c r="AH40" s="1207">
        <v>134766</v>
      </c>
      <c r="AI40" s="1207">
        <v>145882</v>
      </c>
      <c r="AJ40" s="548">
        <f>SUM(AJ38:AJ39)</f>
        <v>135180</v>
      </c>
      <c r="AK40" s="835">
        <v>134734</v>
      </c>
      <c r="AL40" s="835">
        <v>127806</v>
      </c>
    </row>
    <row r="41" spans="1:38">
      <c r="A41" s="1118"/>
      <c r="B41" s="1197"/>
      <c r="C41" s="533"/>
      <c r="D41" s="533"/>
      <c r="E41" s="533"/>
      <c r="F41" s="533"/>
      <c r="G41" s="533"/>
      <c r="H41" s="533"/>
      <c r="I41" s="533"/>
      <c r="J41" s="1200"/>
      <c r="K41" s="1197"/>
      <c r="L41" s="533"/>
      <c r="M41" s="533"/>
      <c r="N41" s="533"/>
      <c r="O41" s="533"/>
      <c r="P41" s="1200"/>
      <c r="Q41" s="1197" t="s">
        <v>241</v>
      </c>
      <c r="R41" s="533"/>
      <c r="S41" s="533">
        <v>10950</v>
      </c>
      <c r="T41" s="533">
        <v>12238</v>
      </c>
      <c r="U41" s="1200">
        <v>10561</v>
      </c>
      <c r="V41" s="1206" t="s">
        <v>241</v>
      </c>
      <c r="W41" s="830" t="s">
        <v>241</v>
      </c>
      <c r="X41" s="831">
        <v>9270</v>
      </c>
      <c r="Y41" s="831">
        <v>9664</v>
      </c>
      <c r="Z41" s="831">
        <v>10039</v>
      </c>
      <c r="AA41" s="831">
        <v>8111</v>
      </c>
      <c r="AB41" s="831">
        <v>7335</v>
      </c>
      <c r="AC41" s="831">
        <v>9112</v>
      </c>
      <c r="AD41" s="831">
        <v>6796</v>
      </c>
      <c r="AE41" s="831">
        <v>4880</v>
      </c>
      <c r="AF41" s="831">
        <v>4084</v>
      </c>
      <c r="AG41" s="831">
        <v>3297</v>
      </c>
      <c r="AH41" s="1209">
        <v>2493</v>
      </c>
      <c r="AI41" s="1210">
        <v>2196</v>
      </c>
      <c r="AJ41" s="780">
        <v>1589</v>
      </c>
      <c r="AK41" s="837">
        <v>1700</v>
      </c>
      <c r="AL41" s="837">
        <v>1380</v>
      </c>
    </row>
    <row r="42" spans="1:38">
      <c r="A42" s="1118"/>
      <c r="B42" s="1197"/>
      <c r="C42" s="533"/>
      <c r="D42" s="533"/>
      <c r="E42" s="533"/>
      <c r="F42" s="533"/>
      <c r="G42" s="533"/>
      <c r="H42" s="533"/>
      <c r="I42" s="533"/>
      <c r="J42" s="1200"/>
      <c r="K42" s="1197"/>
      <c r="L42" s="533"/>
      <c r="M42" s="533"/>
      <c r="N42" s="533"/>
      <c r="O42" s="533"/>
      <c r="P42" s="1200"/>
      <c r="Q42" s="1197" t="s">
        <v>242</v>
      </c>
      <c r="R42" s="533" t="s">
        <v>243</v>
      </c>
      <c r="S42" s="533">
        <v>8280</v>
      </c>
      <c r="T42" s="533">
        <v>12936</v>
      </c>
      <c r="U42" s="1200">
        <v>16926</v>
      </c>
      <c r="V42" t="s">
        <v>242</v>
      </c>
      <c r="W42" s="533" t="s">
        <v>243</v>
      </c>
      <c r="X42" s="540">
        <v>20810</v>
      </c>
      <c r="Y42" s="540">
        <v>23166</v>
      </c>
      <c r="Z42" s="540">
        <v>29919</v>
      </c>
      <c r="AA42" s="540">
        <v>34431</v>
      </c>
      <c r="AB42" s="540">
        <v>30128</v>
      </c>
      <c r="AC42" s="540">
        <v>27958</v>
      </c>
      <c r="AD42" s="540">
        <v>28107</v>
      </c>
      <c r="AE42" s="540">
        <v>25920</v>
      </c>
      <c r="AF42" s="540">
        <v>24104</v>
      </c>
      <c r="AG42" s="540">
        <v>27154</v>
      </c>
      <c r="AH42" s="1153">
        <v>28536</v>
      </c>
      <c r="AI42" s="1153">
        <v>28350</v>
      </c>
      <c r="AJ42" s="551">
        <v>29928</v>
      </c>
      <c r="AK42" s="833">
        <v>29275</v>
      </c>
      <c r="AL42" s="833">
        <v>31213</v>
      </c>
    </row>
    <row r="43" spans="1:38">
      <c r="A43" s="809"/>
      <c r="B43" s="1198"/>
      <c r="C43" s="538"/>
      <c r="D43" s="538"/>
      <c r="E43" s="538"/>
      <c r="F43" s="538"/>
      <c r="G43" s="538"/>
      <c r="H43" s="538"/>
      <c r="I43" s="538"/>
      <c r="J43" s="1201"/>
      <c r="K43" s="1198"/>
      <c r="L43" s="538"/>
      <c r="M43" s="538"/>
      <c r="N43" s="538"/>
      <c r="O43" s="538"/>
      <c r="P43" s="1201"/>
      <c r="Q43" s="1198"/>
      <c r="R43" s="538" t="s">
        <v>249</v>
      </c>
      <c r="S43" s="538">
        <v>586</v>
      </c>
      <c r="T43" s="538">
        <v>474</v>
      </c>
      <c r="U43" s="1201">
        <v>362</v>
      </c>
      <c r="V43" s="1123"/>
      <c r="W43" s="538" t="s">
        <v>249</v>
      </c>
      <c r="X43" s="539">
        <v>324</v>
      </c>
      <c r="Y43" s="539">
        <v>224</v>
      </c>
      <c r="Z43" s="539">
        <v>253</v>
      </c>
      <c r="AA43" s="539">
        <v>263</v>
      </c>
      <c r="AB43" s="539">
        <v>250</v>
      </c>
      <c r="AC43" s="539">
        <v>232</v>
      </c>
      <c r="AD43" s="539">
        <v>209</v>
      </c>
      <c r="AE43" s="539">
        <v>169</v>
      </c>
      <c r="AF43" s="539">
        <v>131</v>
      </c>
      <c r="AG43" s="539">
        <v>131</v>
      </c>
      <c r="AH43" s="1154">
        <v>100</v>
      </c>
      <c r="AI43" s="1154">
        <v>124</v>
      </c>
      <c r="AJ43" s="780">
        <v>96</v>
      </c>
      <c r="AK43" s="837">
        <v>118</v>
      </c>
      <c r="AL43" s="837">
        <v>101</v>
      </c>
    </row>
    <row r="44" spans="1:38">
      <c r="A44" s="1118" t="s">
        <v>156</v>
      </c>
      <c r="B44" s="1197"/>
      <c r="C44" s="533"/>
      <c r="D44" s="533"/>
      <c r="E44" s="533"/>
      <c r="F44" s="533"/>
      <c r="G44" s="533"/>
      <c r="H44" s="533"/>
      <c r="I44" s="533"/>
      <c r="J44" s="1200"/>
      <c r="K44" s="1197"/>
      <c r="L44" s="533"/>
      <c r="M44" s="533"/>
      <c r="N44" s="533"/>
      <c r="O44" s="533"/>
      <c r="P44" s="1200"/>
      <c r="Q44" s="1197" t="s">
        <v>231</v>
      </c>
      <c r="R44" s="533" t="s">
        <v>232</v>
      </c>
      <c r="S44" s="533"/>
      <c r="T44" s="533"/>
      <c r="U44" s="1200"/>
      <c r="V44" t="s">
        <v>231</v>
      </c>
      <c r="W44" s="533" t="s">
        <v>232</v>
      </c>
      <c r="X44" s="540">
        <v>293066</v>
      </c>
      <c r="Y44" s="540">
        <v>415829</v>
      </c>
      <c r="Z44" s="540">
        <v>535313</v>
      </c>
      <c r="AA44" s="540">
        <v>704936</v>
      </c>
      <c r="AB44" s="540">
        <v>801135</v>
      </c>
      <c r="AC44" s="540">
        <v>968251</v>
      </c>
      <c r="AD44" s="540">
        <v>1204981</v>
      </c>
      <c r="AE44" s="540">
        <v>1245709</v>
      </c>
      <c r="AF44" s="540">
        <v>1393815</v>
      </c>
      <c r="AG44" s="540">
        <v>1243568</v>
      </c>
      <c r="AH44" s="1153">
        <v>1344817</v>
      </c>
      <c r="AI44" s="1153">
        <v>1427845</v>
      </c>
      <c r="AJ44" s="551">
        <v>1464605</v>
      </c>
      <c r="AK44" s="833">
        <v>1522292</v>
      </c>
      <c r="AL44" s="833">
        <v>1672001</v>
      </c>
    </row>
    <row r="45" spans="1:38">
      <c r="A45" s="1118"/>
      <c r="B45" s="1197"/>
      <c r="C45" s="533"/>
      <c r="D45" s="533"/>
      <c r="E45" s="533"/>
      <c r="F45" s="533"/>
      <c r="G45" s="533"/>
      <c r="H45" s="533"/>
      <c r="I45" s="533"/>
      <c r="J45" s="1200"/>
      <c r="K45" s="1197"/>
      <c r="L45" s="533"/>
      <c r="M45" s="533"/>
      <c r="N45" s="533"/>
      <c r="O45" s="533"/>
      <c r="P45" s="1200"/>
      <c r="Q45" s="1197"/>
      <c r="R45" s="533" t="s">
        <v>233</v>
      </c>
      <c r="S45" s="533"/>
      <c r="T45" s="533"/>
      <c r="U45" s="1200"/>
      <c r="W45" s="533" t="s">
        <v>233</v>
      </c>
      <c r="X45" s="540">
        <v>98111</v>
      </c>
      <c r="Y45" s="540">
        <v>110583</v>
      </c>
      <c r="Z45" s="540">
        <v>117464</v>
      </c>
      <c r="AA45" s="540">
        <v>120200</v>
      </c>
      <c r="AB45" s="540">
        <v>127042</v>
      </c>
      <c r="AC45" s="540">
        <v>133613</v>
      </c>
      <c r="AD45" s="540">
        <v>133522</v>
      </c>
      <c r="AE45" s="540">
        <v>135885</v>
      </c>
      <c r="AF45" s="540">
        <v>148187</v>
      </c>
      <c r="AG45" s="540">
        <v>157093</v>
      </c>
      <c r="AH45" s="1153">
        <v>152342</v>
      </c>
      <c r="AI45" s="1153">
        <v>157818</v>
      </c>
      <c r="AJ45" s="548">
        <v>154663</v>
      </c>
      <c r="AK45" s="835">
        <v>155409</v>
      </c>
      <c r="AL45" s="835">
        <v>156053</v>
      </c>
    </row>
    <row r="46" spans="1:38">
      <c r="A46" s="1118"/>
      <c r="B46" s="1197"/>
      <c r="C46" s="533"/>
      <c r="D46" s="533"/>
      <c r="E46" s="533"/>
      <c r="F46" s="533"/>
      <c r="G46" s="533"/>
      <c r="H46" s="533"/>
      <c r="I46" s="533"/>
      <c r="J46" s="1200"/>
      <c r="K46" s="1197"/>
      <c r="L46" s="533"/>
      <c r="M46" s="533"/>
      <c r="N46" s="533"/>
      <c r="O46" s="533"/>
      <c r="P46" s="1200"/>
      <c r="Q46" s="1197"/>
      <c r="R46" s="533" t="s">
        <v>128</v>
      </c>
      <c r="S46" s="533"/>
      <c r="T46" s="533"/>
      <c r="U46" s="1200"/>
      <c r="V46" s="1202"/>
      <c r="W46" s="1203" t="s">
        <v>128</v>
      </c>
      <c r="X46" s="1204">
        <v>391177</v>
      </c>
      <c r="Y46" s="1204">
        <v>526412</v>
      </c>
      <c r="Z46" s="1204">
        <v>652777</v>
      </c>
      <c r="AA46" s="1204">
        <v>825136</v>
      </c>
      <c r="AB46" s="1204">
        <v>928177</v>
      </c>
      <c r="AC46" s="1204">
        <v>1101864</v>
      </c>
      <c r="AD46" s="1204">
        <v>1338503</v>
      </c>
      <c r="AE46" s="1204">
        <v>1381594</v>
      </c>
      <c r="AF46" s="1204">
        <v>1542002</v>
      </c>
      <c r="AG46" s="1204">
        <v>1400661</v>
      </c>
      <c r="AH46" s="1207">
        <v>1497159</v>
      </c>
      <c r="AI46" s="1207">
        <v>1585663</v>
      </c>
      <c r="AJ46" s="548">
        <f>SUM(AJ44:AJ45)</f>
        <v>1619268</v>
      </c>
      <c r="AK46" s="835">
        <v>1677701</v>
      </c>
      <c r="AL46" s="835">
        <v>1828054</v>
      </c>
    </row>
    <row r="47" spans="1:38">
      <c r="A47" s="1118"/>
      <c r="B47" s="1197"/>
      <c r="C47" s="533"/>
      <c r="D47" s="533"/>
      <c r="E47" s="533"/>
      <c r="F47" s="533"/>
      <c r="G47" s="533"/>
      <c r="H47" s="533"/>
      <c r="I47" s="533"/>
      <c r="J47" s="1200"/>
      <c r="K47" s="1197"/>
      <c r="L47" s="533"/>
      <c r="M47" s="533"/>
      <c r="N47" s="533"/>
      <c r="O47" s="533"/>
      <c r="P47" s="1200"/>
      <c r="Q47" s="1197" t="s">
        <v>110</v>
      </c>
      <c r="R47" s="533" t="s">
        <v>235</v>
      </c>
      <c r="S47" s="533"/>
      <c r="T47" s="533"/>
      <c r="U47" s="1200"/>
      <c r="V47" t="s">
        <v>110</v>
      </c>
      <c r="W47" s="533" t="s">
        <v>235</v>
      </c>
      <c r="X47" s="540">
        <v>262526</v>
      </c>
      <c r="Y47" s="540">
        <v>292157</v>
      </c>
      <c r="Z47" s="540">
        <v>338407</v>
      </c>
      <c r="AA47" s="540">
        <v>407478</v>
      </c>
      <c r="AB47" s="540">
        <v>534733</v>
      </c>
      <c r="AC47" s="540">
        <v>661265</v>
      </c>
      <c r="AD47" s="540">
        <v>681931</v>
      </c>
      <c r="AE47" s="540">
        <v>827217</v>
      </c>
      <c r="AF47" s="540">
        <v>838869</v>
      </c>
      <c r="AG47" s="540">
        <v>1069288</v>
      </c>
      <c r="AH47" s="1153">
        <v>1177540</v>
      </c>
      <c r="AI47" s="1153">
        <v>1177540</v>
      </c>
      <c r="AJ47" s="548">
        <v>1311273</v>
      </c>
      <c r="AK47" s="835">
        <v>1457265</v>
      </c>
      <c r="AL47" s="835">
        <v>1242331</v>
      </c>
    </row>
    <row r="48" spans="1:38">
      <c r="A48" s="1118"/>
      <c r="B48" s="1197"/>
      <c r="C48" s="533"/>
      <c r="D48" s="533"/>
      <c r="E48" s="533"/>
      <c r="F48" s="533"/>
      <c r="G48" s="533"/>
      <c r="H48" s="533"/>
      <c r="I48" s="533"/>
      <c r="J48" s="1200"/>
      <c r="K48" s="1197"/>
      <c r="L48" s="533"/>
      <c r="M48" s="533"/>
      <c r="N48" s="533"/>
      <c r="O48" s="533"/>
      <c r="P48" s="1200"/>
      <c r="Q48" s="1197"/>
      <c r="R48" s="533" t="s">
        <v>236</v>
      </c>
      <c r="S48" s="533"/>
      <c r="T48" s="533"/>
      <c r="U48" s="1200"/>
      <c r="V48" s="1202"/>
      <c r="W48" s="1203" t="s">
        <v>236</v>
      </c>
      <c r="X48" s="1204">
        <v>237304</v>
      </c>
      <c r="Y48" s="1204">
        <v>271202</v>
      </c>
      <c r="Z48" s="1204">
        <v>344541</v>
      </c>
      <c r="AA48" s="1204">
        <v>355051</v>
      </c>
      <c r="AB48" s="1204">
        <v>430661</v>
      </c>
      <c r="AC48" s="1204">
        <v>557625</v>
      </c>
      <c r="AD48" s="1204">
        <v>675341</v>
      </c>
      <c r="AE48" s="1204">
        <v>744490</v>
      </c>
      <c r="AF48" s="1204">
        <v>808869</v>
      </c>
      <c r="AG48" s="1204">
        <v>1023221</v>
      </c>
      <c r="AH48" s="1207">
        <v>1093942</v>
      </c>
      <c r="AI48" s="1207">
        <v>1120991</v>
      </c>
      <c r="AJ48" s="548">
        <v>1475405</v>
      </c>
      <c r="AK48" s="835">
        <v>1618806</v>
      </c>
      <c r="AL48" s="835">
        <v>1657795</v>
      </c>
    </row>
    <row r="49" spans="1:38">
      <c r="A49" s="1118"/>
      <c r="B49" s="1197"/>
      <c r="C49" s="533"/>
      <c r="D49" s="533"/>
      <c r="E49" s="533"/>
      <c r="F49" s="533"/>
      <c r="G49" s="533"/>
      <c r="H49" s="533"/>
      <c r="I49" s="533"/>
      <c r="J49" s="1200"/>
      <c r="K49" s="1197"/>
      <c r="L49" s="533"/>
      <c r="M49" s="533"/>
      <c r="N49" s="533"/>
      <c r="O49" s="533"/>
      <c r="P49" s="1200"/>
      <c r="Q49" s="1197" t="s">
        <v>237</v>
      </c>
      <c r="R49" s="533" t="s">
        <v>232</v>
      </c>
      <c r="S49" s="533"/>
      <c r="T49" s="533"/>
      <c r="U49" s="1200"/>
      <c r="V49" t="s">
        <v>237</v>
      </c>
      <c r="W49" s="533" t="s">
        <v>232</v>
      </c>
      <c r="X49" s="540">
        <v>79767</v>
      </c>
      <c r="Y49" s="540">
        <v>112347</v>
      </c>
      <c r="Z49" s="540">
        <v>143847</v>
      </c>
      <c r="AA49" s="540">
        <v>143535</v>
      </c>
      <c r="AB49" s="540">
        <v>162680</v>
      </c>
      <c r="AC49" s="540">
        <v>263436</v>
      </c>
      <c r="AD49" s="540">
        <v>302136</v>
      </c>
      <c r="AE49" s="540">
        <v>326970</v>
      </c>
      <c r="AF49" s="540">
        <v>345959</v>
      </c>
      <c r="AG49" s="540">
        <v>360919</v>
      </c>
      <c r="AH49" s="1153">
        <v>440691</v>
      </c>
      <c r="AI49" s="1153">
        <v>585910</v>
      </c>
      <c r="AJ49" s="548">
        <v>695591</v>
      </c>
      <c r="AK49" s="835">
        <v>819234</v>
      </c>
      <c r="AL49" s="835">
        <v>938174</v>
      </c>
    </row>
    <row r="50" spans="1:38">
      <c r="A50" s="1118"/>
      <c r="B50" s="1197"/>
      <c r="C50" s="533"/>
      <c r="D50" s="533"/>
      <c r="E50" s="533"/>
      <c r="F50" s="533"/>
      <c r="G50" s="533"/>
      <c r="H50" s="533"/>
      <c r="I50" s="533"/>
      <c r="J50" s="1200"/>
      <c r="K50" s="1197"/>
      <c r="L50" s="533"/>
      <c r="M50" s="533"/>
      <c r="N50" s="533"/>
      <c r="O50" s="533"/>
      <c r="P50" s="1200"/>
      <c r="Q50" s="1197"/>
      <c r="R50" s="533" t="s">
        <v>233</v>
      </c>
      <c r="S50" s="533"/>
      <c r="T50" s="533"/>
      <c r="U50" s="1200"/>
      <c r="W50" s="533" t="s">
        <v>233</v>
      </c>
      <c r="X50" s="540">
        <v>55343</v>
      </c>
      <c r="Y50" s="540">
        <v>59766</v>
      </c>
      <c r="Z50" s="540">
        <v>73258</v>
      </c>
      <c r="AA50" s="540">
        <v>64153</v>
      </c>
      <c r="AB50" s="540">
        <v>70548</v>
      </c>
      <c r="AC50" s="540">
        <v>95880</v>
      </c>
      <c r="AD50" s="540">
        <v>102072</v>
      </c>
      <c r="AE50" s="540">
        <v>93174</v>
      </c>
      <c r="AF50" s="540">
        <v>86188</v>
      </c>
      <c r="AG50" s="540">
        <v>91885</v>
      </c>
      <c r="AH50" s="1153">
        <v>89436</v>
      </c>
      <c r="AI50" s="1153">
        <v>110036</v>
      </c>
      <c r="AJ50" s="548">
        <v>102756</v>
      </c>
      <c r="AK50" s="835">
        <v>101563</v>
      </c>
      <c r="AL50" s="835">
        <v>106603</v>
      </c>
    </row>
    <row r="51" spans="1:38">
      <c r="A51" s="1118"/>
      <c r="B51" s="1197"/>
      <c r="C51" s="533"/>
      <c r="D51" s="533"/>
      <c r="E51" s="533"/>
      <c r="F51" s="533"/>
      <c r="G51" s="533"/>
      <c r="H51" s="533"/>
      <c r="I51" s="533"/>
      <c r="J51" s="1200"/>
      <c r="K51" s="1197"/>
      <c r="L51" s="533"/>
      <c r="M51" s="533"/>
      <c r="N51" s="533"/>
      <c r="O51" s="533"/>
      <c r="P51" s="1200"/>
      <c r="Q51" s="1197"/>
      <c r="R51" s="533" t="s">
        <v>128</v>
      </c>
      <c r="S51" s="533"/>
      <c r="T51" s="533"/>
      <c r="U51" s="1200"/>
      <c r="V51" s="1202"/>
      <c r="W51" s="1203" t="s">
        <v>128</v>
      </c>
      <c r="X51" s="1204">
        <v>135110</v>
      </c>
      <c r="Y51" s="1204">
        <v>172113</v>
      </c>
      <c r="Z51" s="1204">
        <v>217105</v>
      </c>
      <c r="AA51" s="1204">
        <v>207688</v>
      </c>
      <c r="AB51" s="1204">
        <v>233228</v>
      </c>
      <c r="AC51" s="1204">
        <v>359316</v>
      </c>
      <c r="AD51" s="1204">
        <v>404208</v>
      </c>
      <c r="AE51" s="1204">
        <v>420144</v>
      </c>
      <c r="AF51" s="1204">
        <v>432147</v>
      </c>
      <c r="AG51" s="1204">
        <v>452804</v>
      </c>
      <c r="AH51" s="1207">
        <v>530127</v>
      </c>
      <c r="AI51" s="1207">
        <v>695946</v>
      </c>
      <c r="AJ51" s="548">
        <f>SUM(AJ49:AJ50)</f>
        <v>798347</v>
      </c>
      <c r="AK51" s="835">
        <v>920797</v>
      </c>
      <c r="AL51" s="835">
        <v>1044777</v>
      </c>
    </row>
    <row r="52" spans="1:38">
      <c r="A52" s="1118"/>
      <c r="B52" s="1197"/>
      <c r="C52" s="533"/>
      <c r="D52" s="533"/>
      <c r="E52" s="533"/>
      <c r="F52" s="533"/>
      <c r="G52" s="533"/>
      <c r="H52" s="533"/>
      <c r="I52" s="533"/>
      <c r="J52" s="1200"/>
      <c r="K52" s="1197"/>
      <c r="L52" s="533"/>
      <c r="M52" s="533"/>
      <c r="N52" s="533"/>
      <c r="O52" s="533"/>
      <c r="P52" s="1200"/>
      <c r="Q52" s="1197" t="s">
        <v>250</v>
      </c>
      <c r="R52" s="533" t="s">
        <v>251</v>
      </c>
      <c r="S52" s="533"/>
      <c r="T52" s="533"/>
      <c r="U52" s="1200"/>
      <c r="V52" t="s">
        <v>250</v>
      </c>
      <c r="W52" s="533" t="s">
        <v>251</v>
      </c>
      <c r="X52" s="540">
        <v>12299</v>
      </c>
      <c r="Y52" s="540">
        <v>12850</v>
      </c>
      <c r="Z52" s="540">
        <v>17328</v>
      </c>
      <c r="AA52" s="540">
        <v>18829</v>
      </c>
      <c r="AB52" s="540">
        <v>24452</v>
      </c>
      <c r="AC52" s="540">
        <v>12678</v>
      </c>
      <c r="AD52" s="540">
        <v>13107</v>
      </c>
      <c r="AE52" s="540">
        <v>28472</v>
      </c>
      <c r="AF52" s="540">
        <v>28695</v>
      </c>
      <c r="AG52" s="540">
        <v>44138</v>
      </c>
      <c r="AH52" s="1153">
        <v>49988</v>
      </c>
      <c r="AI52" s="1153">
        <v>73601</v>
      </c>
      <c r="AJ52" s="548">
        <v>96713</v>
      </c>
      <c r="AK52" s="835">
        <v>99087</v>
      </c>
      <c r="AL52" s="835">
        <v>90042</v>
      </c>
    </row>
    <row r="53" spans="1:38">
      <c r="A53" s="1118"/>
      <c r="B53" s="1197"/>
      <c r="C53" s="533"/>
      <c r="D53" s="533"/>
      <c r="E53" s="533"/>
      <c r="F53" s="533"/>
      <c r="G53" s="533"/>
      <c r="H53" s="533"/>
      <c r="I53" s="533"/>
      <c r="J53" s="1200"/>
      <c r="K53" s="1197"/>
      <c r="L53" s="533"/>
      <c r="M53" s="533"/>
      <c r="N53" s="533"/>
      <c r="O53" s="533"/>
      <c r="P53" s="1200"/>
      <c r="Q53" s="1197"/>
      <c r="R53" s="533" t="s">
        <v>252</v>
      </c>
      <c r="S53" s="533"/>
      <c r="T53" s="533"/>
      <c r="U53" s="1200"/>
      <c r="V53" s="1202"/>
      <c r="W53" s="1203" t="s">
        <v>252</v>
      </c>
      <c r="X53" s="1204">
        <v>509</v>
      </c>
      <c r="Y53" s="1204">
        <v>566</v>
      </c>
      <c r="Z53" s="1204">
        <v>602</v>
      </c>
      <c r="AA53" s="1204">
        <v>2930</v>
      </c>
      <c r="AB53" s="1204">
        <v>3422</v>
      </c>
      <c r="AC53" s="1204">
        <v>3724</v>
      </c>
      <c r="AD53" s="1204">
        <v>3969</v>
      </c>
      <c r="AE53" s="1204">
        <v>1126</v>
      </c>
      <c r="AF53" s="1204">
        <v>1387</v>
      </c>
      <c r="AG53" s="1204">
        <v>1403</v>
      </c>
      <c r="AH53" s="1207">
        <v>1442</v>
      </c>
      <c r="AI53" s="1207">
        <v>1713</v>
      </c>
      <c r="AJ53" s="548">
        <v>1431</v>
      </c>
      <c r="AK53" s="835">
        <v>1638</v>
      </c>
      <c r="AL53" s="835">
        <v>1837</v>
      </c>
    </row>
    <row r="54" spans="1:38">
      <c r="A54" s="1118"/>
      <c r="B54" s="1197"/>
      <c r="C54" s="533"/>
      <c r="D54" s="533"/>
      <c r="E54" s="533"/>
      <c r="F54" s="533"/>
      <c r="G54" s="533"/>
      <c r="H54" s="533"/>
      <c r="I54" s="533"/>
      <c r="J54" s="1200"/>
      <c r="K54" s="1197"/>
      <c r="L54" s="533"/>
      <c r="M54" s="533"/>
      <c r="N54" s="533"/>
      <c r="O54" s="533"/>
      <c r="P54" s="1200"/>
      <c r="Q54" s="1197" t="s">
        <v>242</v>
      </c>
      <c r="R54" s="533" t="s">
        <v>253</v>
      </c>
      <c r="S54" s="533"/>
      <c r="T54" s="533"/>
      <c r="U54" s="1200"/>
      <c r="V54" t="s">
        <v>242</v>
      </c>
      <c r="W54" s="533" t="s">
        <v>253</v>
      </c>
      <c r="X54" s="540">
        <v>10453</v>
      </c>
      <c r="Y54" s="540">
        <v>14553</v>
      </c>
      <c r="Z54" s="540">
        <v>18025</v>
      </c>
      <c r="AA54" s="540">
        <v>20374</v>
      </c>
      <c r="AB54" s="540">
        <v>25614</v>
      </c>
      <c r="AC54" s="540">
        <v>27925</v>
      </c>
      <c r="AD54" s="540">
        <v>39775</v>
      </c>
      <c r="AE54" s="540">
        <v>47235</v>
      </c>
      <c r="AF54" s="540">
        <v>52497</v>
      </c>
      <c r="AG54" s="540">
        <v>55776</v>
      </c>
      <c r="AH54" s="1153">
        <v>63754</v>
      </c>
      <c r="AI54" s="1211">
        <v>78200</v>
      </c>
      <c r="AJ54" s="548">
        <v>77669</v>
      </c>
      <c r="AK54" s="835" t="s">
        <v>254</v>
      </c>
      <c r="AL54" s="1212" t="s">
        <v>254</v>
      </c>
    </row>
    <row r="55" spans="1:38">
      <c r="A55" s="809"/>
      <c r="B55" s="1198"/>
      <c r="C55" s="538"/>
      <c r="D55" s="538"/>
      <c r="E55" s="538"/>
      <c r="F55" s="538"/>
      <c r="G55" s="538"/>
      <c r="H55" s="538"/>
      <c r="I55" s="538"/>
      <c r="J55" s="1201"/>
      <c r="K55" s="1198"/>
      <c r="L55" s="538"/>
      <c r="M55" s="538"/>
      <c r="N55" s="538"/>
      <c r="O55" s="538"/>
      <c r="P55" s="1201"/>
      <c r="Q55" s="1198"/>
      <c r="R55" s="538" t="s">
        <v>249</v>
      </c>
      <c r="S55" s="538"/>
      <c r="T55" s="538"/>
      <c r="U55" s="1201"/>
      <c r="V55" s="1123"/>
      <c r="W55" s="538" t="s">
        <v>249</v>
      </c>
      <c r="X55" s="539">
        <v>393</v>
      </c>
      <c r="Y55" s="539">
        <v>325</v>
      </c>
      <c r="Z55" s="539">
        <v>436</v>
      </c>
      <c r="AA55" s="539">
        <v>383</v>
      </c>
      <c r="AB55" s="539">
        <v>344</v>
      </c>
      <c r="AC55" s="539">
        <v>436</v>
      </c>
      <c r="AD55" s="539">
        <v>427</v>
      </c>
      <c r="AE55" s="539">
        <v>300</v>
      </c>
      <c r="AF55" s="539">
        <v>451</v>
      </c>
      <c r="AG55" s="539">
        <v>527</v>
      </c>
      <c r="AH55" s="1154">
        <v>456</v>
      </c>
      <c r="AI55" s="1213">
        <v>444</v>
      </c>
      <c r="AJ55" s="780">
        <v>394</v>
      </c>
      <c r="AK55" s="837" t="s">
        <v>254</v>
      </c>
      <c r="AL55" s="837" t="s">
        <v>254</v>
      </c>
    </row>
    <row r="56" spans="1:38">
      <c r="A56" s="1118" t="s">
        <v>170</v>
      </c>
      <c r="B56" s="1197" t="s">
        <v>247</v>
      </c>
      <c r="C56" s="533"/>
      <c r="D56" s="533">
        <v>174843</v>
      </c>
      <c r="E56" s="533">
        <v>187978</v>
      </c>
      <c r="F56" s="533">
        <v>209180</v>
      </c>
      <c r="G56" s="533">
        <v>230326</v>
      </c>
      <c r="H56" s="533">
        <v>238438</v>
      </c>
      <c r="I56" s="533">
        <v>249649</v>
      </c>
      <c r="J56" s="1200">
        <v>271624</v>
      </c>
      <c r="K56" s="1197" t="s">
        <v>247</v>
      </c>
      <c r="L56" s="533"/>
      <c r="M56" s="533">
        <v>288033</v>
      </c>
      <c r="N56" s="533">
        <v>288530</v>
      </c>
      <c r="O56" s="533">
        <v>302659</v>
      </c>
      <c r="P56" s="1200">
        <v>323379</v>
      </c>
      <c r="Q56" s="1197" t="s">
        <v>247</v>
      </c>
      <c r="R56" s="533"/>
      <c r="S56" s="533">
        <v>394492</v>
      </c>
      <c r="T56" s="533">
        <v>436947</v>
      </c>
      <c r="U56" s="1200">
        <v>466403</v>
      </c>
      <c r="V56" t="s">
        <v>247</v>
      </c>
      <c r="W56" s="533"/>
      <c r="X56" s="540">
        <v>445245</v>
      </c>
      <c r="Y56" s="540">
        <v>579088</v>
      </c>
      <c r="Z56" s="540">
        <v>550363</v>
      </c>
      <c r="AA56" s="540">
        <v>594257</v>
      </c>
      <c r="AB56" s="540">
        <v>593723</v>
      </c>
      <c r="AC56" s="540">
        <v>633336</v>
      </c>
      <c r="AD56" s="540">
        <v>568923</v>
      </c>
      <c r="AE56" s="540">
        <v>607928</v>
      </c>
      <c r="AF56" s="540">
        <v>592895</v>
      </c>
      <c r="AG56" s="540">
        <v>600057</v>
      </c>
      <c r="AH56" s="1153">
        <v>573920</v>
      </c>
      <c r="AI56" s="1153">
        <v>540135</v>
      </c>
      <c r="AJ56" s="551">
        <v>493599</v>
      </c>
      <c r="AK56" s="833">
        <v>528873</v>
      </c>
      <c r="AL56" s="833">
        <v>522051</v>
      </c>
    </row>
    <row r="57" spans="1:38">
      <c r="A57" s="1118"/>
      <c r="B57" s="1197" t="s">
        <v>255</v>
      </c>
      <c r="C57" s="533"/>
      <c r="D57" s="533">
        <v>8945</v>
      </c>
      <c r="E57" s="533">
        <v>11671</v>
      </c>
      <c r="F57" s="533">
        <v>13030</v>
      </c>
      <c r="G57" s="533">
        <v>13744</v>
      </c>
      <c r="H57" s="533">
        <v>15443</v>
      </c>
      <c r="I57" s="533">
        <v>18179</v>
      </c>
      <c r="J57" s="1200">
        <v>17505</v>
      </c>
      <c r="K57" s="1197" t="s">
        <v>256</v>
      </c>
      <c r="L57" s="533"/>
      <c r="M57" s="533">
        <v>21932</v>
      </c>
      <c r="N57" s="533">
        <v>17030</v>
      </c>
      <c r="O57" s="533">
        <v>11427</v>
      </c>
      <c r="P57" s="1200">
        <v>7124</v>
      </c>
      <c r="Q57" s="1197" t="s">
        <v>255</v>
      </c>
      <c r="R57" s="533"/>
      <c r="S57" s="533">
        <v>3107</v>
      </c>
      <c r="T57" s="533">
        <v>3087</v>
      </c>
      <c r="U57" s="1200">
        <v>1930</v>
      </c>
      <c r="V57" t="s">
        <v>255</v>
      </c>
      <c r="W57" s="533"/>
      <c r="X57" s="540">
        <v>1452</v>
      </c>
      <c r="Y57" s="540">
        <v>1448</v>
      </c>
      <c r="Z57" s="540">
        <v>1385</v>
      </c>
      <c r="AA57" s="540">
        <v>1300</v>
      </c>
      <c r="AB57" s="540">
        <v>1243</v>
      </c>
      <c r="AC57" s="540">
        <v>1610</v>
      </c>
      <c r="AD57" s="540">
        <v>1211</v>
      </c>
      <c r="AE57" s="540">
        <v>1309</v>
      </c>
      <c r="AF57" s="540">
        <v>991</v>
      </c>
      <c r="AG57" s="540">
        <v>1003</v>
      </c>
      <c r="AH57" s="1153">
        <v>1035</v>
      </c>
      <c r="AI57" s="1153">
        <v>944</v>
      </c>
      <c r="AJ57" s="548">
        <v>689</v>
      </c>
      <c r="AK57" s="835">
        <v>515</v>
      </c>
      <c r="AL57" s="835">
        <v>1095</v>
      </c>
    </row>
    <row r="58" spans="1:38">
      <c r="A58" s="1118"/>
      <c r="B58" s="1197" t="s">
        <v>227</v>
      </c>
      <c r="C58" s="533" t="s">
        <v>257</v>
      </c>
      <c r="D58" s="533">
        <v>3500</v>
      </c>
      <c r="E58" s="533">
        <v>4328</v>
      </c>
      <c r="F58" s="533">
        <v>3889</v>
      </c>
      <c r="G58" s="533">
        <v>3961</v>
      </c>
      <c r="H58" s="533">
        <v>2860</v>
      </c>
      <c r="I58" s="533">
        <v>3762</v>
      </c>
      <c r="J58" s="1200">
        <v>3253</v>
      </c>
      <c r="K58" s="1197" t="s">
        <v>227</v>
      </c>
      <c r="L58" s="533" t="s">
        <v>258</v>
      </c>
      <c r="M58" s="533">
        <v>2683</v>
      </c>
      <c r="N58" s="533">
        <v>2387</v>
      </c>
      <c r="O58" s="533">
        <v>2834</v>
      </c>
      <c r="P58" s="1200">
        <v>3349</v>
      </c>
      <c r="Q58" s="1197" t="s">
        <v>227</v>
      </c>
      <c r="R58" s="533" t="s">
        <v>258</v>
      </c>
      <c r="S58" s="533">
        <v>5078</v>
      </c>
      <c r="T58" s="533">
        <v>7550</v>
      </c>
      <c r="U58" s="1200">
        <v>14773</v>
      </c>
      <c r="V58" t="s">
        <v>227</v>
      </c>
      <c r="W58" s="533" t="s">
        <v>258</v>
      </c>
      <c r="X58" s="540">
        <v>14022</v>
      </c>
      <c r="Y58" s="540">
        <v>13365</v>
      </c>
      <c r="Z58" s="540">
        <v>13093</v>
      </c>
      <c r="AA58" s="540">
        <v>9481</v>
      </c>
      <c r="AB58" s="540">
        <v>9585</v>
      </c>
      <c r="AC58" s="540">
        <v>8055</v>
      </c>
      <c r="AD58" s="540">
        <v>9059</v>
      </c>
      <c r="AE58" s="540">
        <v>11347</v>
      </c>
      <c r="AF58" s="540">
        <v>8684</v>
      </c>
      <c r="AG58" s="540">
        <v>6889</v>
      </c>
      <c r="AH58" s="1153">
        <v>6676</v>
      </c>
      <c r="AI58" s="1153">
        <v>5270</v>
      </c>
      <c r="AJ58" s="548">
        <v>4682</v>
      </c>
      <c r="AK58" s="835">
        <v>4262</v>
      </c>
      <c r="AL58" s="835">
        <v>4057</v>
      </c>
    </row>
    <row r="59" spans="1:38">
      <c r="A59" s="1118"/>
      <c r="B59" s="1197"/>
      <c r="C59" s="533" t="s">
        <v>259</v>
      </c>
      <c r="D59" s="533">
        <v>3067</v>
      </c>
      <c r="E59" s="533">
        <v>2911</v>
      </c>
      <c r="F59" s="533">
        <v>4286</v>
      </c>
      <c r="G59" s="533">
        <v>4689</v>
      </c>
      <c r="H59" s="533">
        <v>5134</v>
      </c>
      <c r="I59" s="533">
        <v>4978</v>
      </c>
      <c r="J59" s="1200">
        <v>4851</v>
      </c>
      <c r="K59" s="1197"/>
      <c r="L59" s="533" t="s">
        <v>260</v>
      </c>
      <c r="M59" s="533">
        <v>3737</v>
      </c>
      <c r="N59" s="533">
        <v>3355</v>
      </c>
      <c r="O59" s="533">
        <v>2937</v>
      </c>
      <c r="P59" s="1200">
        <v>2874</v>
      </c>
      <c r="Q59" s="1197"/>
      <c r="R59" s="533" t="s">
        <v>260</v>
      </c>
      <c r="S59" s="533">
        <v>3757</v>
      </c>
      <c r="T59" s="533">
        <v>4876</v>
      </c>
      <c r="U59" s="1200">
        <v>7071</v>
      </c>
      <c r="W59" s="533" t="s">
        <v>260</v>
      </c>
      <c r="X59" s="540">
        <v>7461</v>
      </c>
      <c r="Y59" s="540">
        <v>7861</v>
      </c>
      <c r="Z59" s="540">
        <v>7608</v>
      </c>
      <c r="AA59" s="540">
        <v>10865</v>
      </c>
      <c r="AB59" s="540">
        <v>9489</v>
      </c>
      <c r="AC59" s="540">
        <v>12289</v>
      </c>
      <c r="AD59" s="540">
        <v>15034</v>
      </c>
      <c r="AE59" s="540">
        <v>13171</v>
      </c>
      <c r="AF59" s="540">
        <v>10989</v>
      </c>
      <c r="AG59" s="540">
        <v>11353</v>
      </c>
      <c r="AH59" s="1153">
        <v>7767</v>
      </c>
      <c r="AI59" s="1153">
        <v>7009</v>
      </c>
      <c r="AJ59" s="548">
        <v>5728</v>
      </c>
      <c r="AK59" s="835">
        <v>4406</v>
      </c>
      <c r="AL59" s="835">
        <v>3785</v>
      </c>
    </row>
    <row r="60" spans="1:38">
      <c r="A60" s="1118"/>
      <c r="B60" s="1197"/>
      <c r="C60" s="533" t="s">
        <v>261</v>
      </c>
      <c r="D60" s="533">
        <v>2297</v>
      </c>
      <c r="E60" s="533">
        <v>1953</v>
      </c>
      <c r="F60" s="533" t="s">
        <v>245</v>
      </c>
      <c r="G60" s="533" t="s">
        <v>245</v>
      </c>
      <c r="H60" s="533" t="s">
        <v>245</v>
      </c>
      <c r="I60" s="533" t="s">
        <v>245</v>
      </c>
      <c r="J60" s="1200" t="s">
        <v>245</v>
      </c>
      <c r="K60" s="1197"/>
      <c r="L60" s="533" t="s">
        <v>262</v>
      </c>
      <c r="M60" s="533">
        <v>101</v>
      </c>
      <c r="N60" s="533">
        <v>70</v>
      </c>
      <c r="O60" s="533">
        <v>94</v>
      </c>
      <c r="P60" s="1200">
        <v>129</v>
      </c>
      <c r="Q60" s="1197"/>
      <c r="R60" s="533" t="s">
        <v>262</v>
      </c>
      <c r="S60" s="533">
        <v>61</v>
      </c>
      <c r="T60" s="533">
        <v>63</v>
      </c>
      <c r="U60" s="1200">
        <v>54</v>
      </c>
      <c r="W60" s="533" t="s">
        <v>262</v>
      </c>
      <c r="X60" s="540">
        <v>48</v>
      </c>
      <c r="Y60" s="540">
        <v>73</v>
      </c>
      <c r="Z60" s="540">
        <v>142</v>
      </c>
      <c r="AA60" s="540">
        <v>209</v>
      </c>
      <c r="AB60" s="540">
        <v>238</v>
      </c>
      <c r="AC60" s="540">
        <v>234</v>
      </c>
      <c r="AD60" s="540">
        <v>64</v>
      </c>
      <c r="AE60" s="540">
        <v>46</v>
      </c>
      <c r="AF60" s="540">
        <v>26</v>
      </c>
      <c r="AG60" s="540">
        <v>10</v>
      </c>
      <c r="AH60" s="1153">
        <v>4</v>
      </c>
      <c r="AI60" s="1153">
        <v>7</v>
      </c>
      <c r="AJ60" s="548">
        <v>4</v>
      </c>
      <c r="AK60" s="835">
        <v>0</v>
      </c>
      <c r="AL60" s="835">
        <v>45</v>
      </c>
    </row>
    <row r="61" spans="1:38">
      <c r="A61" s="1118"/>
      <c r="B61" s="1197"/>
      <c r="C61" s="533" t="s">
        <v>263</v>
      </c>
      <c r="D61" s="533">
        <v>6042</v>
      </c>
      <c r="E61" s="533">
        <v>7852</v>
      </c>
      <c r="F61" s="533">
        <v>8908</v>
      </c>
      <c r="G61" s="533">
        <v>8180</v>
      </c>
      <c r="H61" s="533" t="s">
        <v>245</v>
      </c>
      <c r="I61" s="533" t="s">
        <v>245</v>
      </c>
      <c r="J61" s="1200" t="s">
        <v>245</v>
      </c>
      <c r="K61" s="1197"/>
      <c r="L61" s="533" t="s">
        <v>264</v>
      </c>
      <c r="M61" s="533">
        <v>154</v>
      </c>
      <c r="N61" s="533">
        <v>99</v>
      </c>
      <c r="O61" s="533">
        <v>96</v>
      </c>
      <c r="P61" s="1200">
        <v>107</v>
      </c>
      <c r="Q61" s="1197"/>
      <c r="R61" s="533" t="s">
        <v>264</v>
      </c>
      <c r="S61" s="533">
        <v>83</v>
      </c>
      <c r="T61" s="533">
        <v>74</v>
      </c>
      <c r="U61" s="1200">
        <v>60</v>
      </c>
      <c r="W61" s="533" t="s">
        <v>264</v>
      </c>
      <c r="X61" s="540">
        <v>54</v>
      </c>
      <c r="Y61" s="540">
        <v>54</v>
      </c>
      <c r="Z61" s="540">
        <v>95</v>
      </c>
      <c r="AA61" s="540">
        <v>175</v>
      </c>
      <c r="AB61" s="540">
        <v>247</v>
      </c>
      <c r="AC61" s="540">
        <v>222</v>
      </c>
      <c r="AD61" s="540">
        <v>157</v>
      </c>
      <c r="AE61" s="540">
        <v>70</v>
      </c>
      <c r="AF61" s="540">
        <v>38</v>
      </c>
      <c r="AG61" s="540">
        <v>19</v>
      </c>
      <c r="AH61" s="1153">
        <v>15</v>
      </c>
      <c r="AI61" s="1153">
        <v>9</v>
      </c>
      <c r="AJ61" s="548">
        <v>15</v>
      </c>
      <c r="AK61" s="835">
        <v>0</v>
      </c>
      <c r="AL61" s="835">
        <v>41</v>
      </c>
    </row>
    <row r="62" spans="1:38">
      <c r="A62" s="1118"/>
      <c r="B62" s="1197" t="s">
        <v>265</v>
      </c>
      <c r="C62" s="533" t="s">
        <v>257</v>
      </c>
      <c r="D62" s="533">
        <v>116</v>
      </c>
      <c r="E62" s="533">
        <v>282</v>
      </c>
      <c r="F62" s="533">
        <v>165</v>
      </c>
      <c r="G62" s="533">
        <v>78</v>
      </c>
      <c r="H62" s="533">
        <v>137</v>
      </c>
      <c r="I62" s="533">
        <v>126</v>
      </c>
      <c r="J62" s="1200">
        <v>108</v>
      </c>
      <c r="K62" s="1197"/>
      <c r="L62" s="533"/>
      <c r="M62" s="533"/>
      <c r="N62" s="533"/>
      <c r="O62" s="533"/>
      <c r="P62" s="1200"/>
      <c r="Q62" s="1197" t="s">
        <v>265</v>
      </c>
      <c r="R62" s="533"/>
      <c r="S62" s="533" t="s">
        <v>266</v>
      </c>
      <c r="T62" s="533" t="s">
        <v>266</v>
      </c>
      <c r="U62" s="1200" t="s">
        <v>266</v>
      </c>
      <c r="V62" t="s">
        <v>265</v>
      </c>
      <c r="W62" s="533"/>
      <c r="X62" s="540" t="s">
        <v>266</v>
      </c>
      <c r="Y62" s="540" t="s">
        <v>266</v>
      </c>
      <c r="Z62" s="540" t="s">
        <v>266</v>
      </c>
      <c r="AA62" s="540" t="s">
        <v>266</v>
      </c>
      <c r="AB62" s="540" t="s">
        <v>266</v>
      </c>
      <c r="AC62" s="540" t="s">
        <v>266</v>
      </c>
      <c r="AD62" s="540" t="s">
        <v>266</v>
      </c>
      <c r="AE62" s="540" t="s">
        <v>266</v>
      </c>
      <c r="AF62" s="540" t="s">
        <v>266</v>
      </c>
      <c r="AG62" s="540" t="s">
        <v>266</v>
      </c>
      <c r="AH62" s="1153" t="s">
        <v>266</v>
      </c>
      <c r="AI62" s="1153" t="s">
        <v>266</v>
      </c>
      <c r="AJ62" s="548" t="s">
        <v>245</v>
      </c>
      <c r="AK62" s="548" t="s">
        <v>245</v>
      </c>
      <c r="AL62" s="548" t="s">
        <v>245</v>
      </c>
    </row>
    <row r="63" spans="1:38">
      <c r="A63" s="1118"/>
      <c r="B63" s="1197"/>
      <c r="C63" s="533" t="s">
        <v>259</v>
      </c>
      <c r="D63" s="533">
        <v>135</v>
      </c>
      <c r="E63" s="533">
        <v>124</v>
      </c>
      <c r="F63" s="533">
        <v>191</v>
      </c>
      <c r="G63" s="533">
        <v>187</v>
      </c>
      <c r="H63" s="533">
        <v>189</v>
      </c>
      <c r="I63" s="533">
        <v>180</v>
      </c>
      <c r="J63" s="1200">
        <v>155</v>
      </c>
      <c r="K63" s="1197"/>
      <c r="L63" s="533"/>
      <c r="M63" s="533"/>
      <c r="N63" s="533"/>
      <c r="O63" s="533"/>
      <c r="P63" s="1200"/>
      <c r="Q63" s="1197"/>
      <c r="R63" s="533"/>
      <c r="S63" s="533" t="s">
        <v>266</v>
      </c>
      <c r="T63" s="533" t="s">
        <v>266</v>
      </c>
      <c r="U63" s="1200" t="s">
        <v>266</v>
      </c>
      <c r="W63" s="533"/>
      <c r="X63" s="540" t="s">
        <v>266</v>
      </c>
      <c r="Y63" s="540" t="s">
        <v>266</v>
      </c>
      <c r="Z63" s="540" t="s">
        <v>266</v>
      </c>
      <c r="AA63" s="540" t="s">
        <v>266</v>
      </c>
      <c r="AB63" s="540" t="s">
        <v>266</v>
      </c>
      <c r="AC63" s="540" t="s">
        <v>266</v>
      </c>
      <c r="AD63" s="540" t="s">
        <v>266</v>
      </c>
      <c r="AE63" s="540" t="s">
        <v>266</v>
      </c>
      <c r="AF63" s="540" t="s">
        <v>266</v>
      </c>
      <c r="AG63" s="540" t="s">
        <v>266</v>
      </c>
      <c r="AH63" s="1153" t="s">
        <v>266</v>
      </c>
      <c r="AI63" s="1153" t="s">
        <v>266</v>
      </c>
      <c r="AJ63" s="548" t="s">
        <v>245</v>
      </c>
      <c r="AK63" s="548" t="s">
        <v>245</v>
      </c>
      <c r="AL63" s="548" t="s">
        <v>245</v>
      </c>
    </row>
    <row r="64" spans="1:38">
      <c r="A64" s="1118"/>
      <c r="B64" s="1197"/>
      <c r="C64" s="533" t="s">
        <v>263</v>
      </c>
      <c r="D64" s="533">
        <v>314</v>
      </c>
      <c r="E64" s="533">
        <v>296</v>
      </c>
      <c r="F64" s="533">
        <v>425</v>
      </c>
      <c r="G64" s="533">
        <v>316</v>
      </c>
      <c r="H64" s="533" t="s">
        <v>245</v>
      </c>
      <c r="I64" s="533" t="s">
        <v>245</v>
      </c>
      <c r="J64" s="1200" t="s">
        <v>245</v>
      </c>
      <c r="K64" s="1197"/>
      <c r="L64" s="533"/>
      <c r="M64" s="533"/>
      <c r="N64" s="533"/>
      <c r="O64" s="533"/>
      <c r="P64" s="1200"/>
      <c r="Q64" s="1197"/>
      <c r="R64" s="533"/>
      <c r="S64" s="533" t="s">
        <v>266</v>
      </c>
      <c r="T64" s="533" t="s">
        <v>266</v>
      </c>
      <c r="U64" s="1200" t="s">
        <v>266</v>
      </c>
      <c r="W64" s="533"/>
      <c r="X64" s="540" t="s">
        <v>266</v>
      </c>
      <c r="Y64" s="540" t="s">
        <v>266</v>
      </c>
      <c r="Z64" s="540" t="s">
        <v>266</v>
      </c>
      <c r="AA64" s="540" t="s">
        <v>266</v>
      </c>
      <c r="AB64" s="540" t="s">
        <v>266</v>
      </c>
      <c r="AC64" s="540" t="s">
        <v>266</v>
      </c>
      <c r="AD64" s="540" t="s">
        <v>266</v>
      </c>
      <c r="AE64" s="540" t="s">
        <v>266</v>
      </c>
      <c r="AF64" s="540" t="s">
        <v>266</v>
      </c>
      <c r="AG64" s="540" t="s">
        <v>266</v>
      </c>
      <c r="AH64" s="1153" t="s">
        <v>266</v>
      </c>
      <c r="AI64" s="1153" t="s">
        <v>266</v>
      </c>
      <c r="AJ64" s="548" t="s">
        <v>245</v>
      </c>
      <c r="AK64" s="548" t="s">
        <v>245</v>
      </c>
      <c r="AL64" s="548" t="s">
        <v>245</v>
      </c>
    </row>
    <row r="65" spans="1:38">
      <c r="A65" s="1118"/>
      <c r="B65" s="1197" t="s">
        <v>267</v>
      </c>
      <c r="C65" s="533" t="s">
        <v>268</v>
      </c>
      <c r="D65" s="533">
        <v>53</v>
      </c>
      <c r="E65" s="533">
        <v>51</v>
      </c>
      <c r="F65" s="533">
        <v>51</v>
      </c>
      <c r="G65" s="533">
        <v>69</v>
      </c>
      <c r="H65" s="533">
        <v>60</v>
      </c>
      <c r="I65" s="533">
        <v>49</v>
      </c>
      <c r="J65" s="1200">
        <v>49</v>
      </c>
      <c r="K65" s="1197" t="s">
        <v>267</v>
      </c>
      <c r="L65" s="533" t="s">
        <v>268</v>
      </c>
      <c r="M65" s="533">
        <v>60</v>
      </c>
      <c r="N65" s="533">
        <v>66</v>
      </c>
      <c r="O65" s="533">
        <v>47</v>
      </c>
      <c r="P65" s="1200">
        <v>64</v>
      </c>
      <c r="Q65" s="1197" t="s">
        <v>267</v>
      </c>
      <c r="R65" s="533" t="s">
        <v>268</v>
      </c>
      <c r="S65" s="533">
        <v>51</v>
      </c>
      <c r="T65" s="533">
        <v>79</v>
      </c>
      <c r="U65" s="1200">
        <v>179</v>
      </c>
      <c r="V65" t="s">
        <v>267</v>
      </c>
      <c r="W65" s="533" t="s">
        <v>268</v>
      </c>
      <c r="X65" s="540">
        <v>150</v>
      </c>
      <c r="Y65" s="540">
        <v>136</v>
      </c>
      <c r="Z65" s="540">
        <v>174</v>
      </c>
      <c r="AA65" s="540">
        <v>176</v>
      </c>
      <c r="AB65" s="540">
        <v>132</v>
      </c>
      <c r="AC65" s="540">
        <v>374</v>
      </c>
      <c r="AD65" s="540">
        <v>650</v>
      </c>
      <c r="AE65" s="540">
        <v>515</v>
      </c>
      <c r="AF65" s="540">
        <v>669</v>
      </c>
      <c r="AG65" s="540">
        <v>682</v>
      </c>
      <c r="AH65" s="1153">
        <v>684</v>
      </c>
      <c r="AI65" s="1153">
        <v>220</v>
      </c>
      <c r="AJ65" s="548">
        <v>505</v>
      </c>
      <c r="AK65" s="835">
        <v>497</v>
      </c>
      <c r="AL65" s="835">
        <v>570</v>
      </c>
    </row>
    <row r="66" spans="1:38">
      <c r="A66" s="1118"/>
      <c r="B66" s="1197"/>
      <c r="C66" s="533" t="s">
        <v>269</v>
      </c>
      <c r="D66" s="533">
        <v>61</v>
      </c>
      <c r="E66" s="533">
        <v>71</v>
      </c>
      <c r="F66" s="533">
        <v>40</v>
      </c>
      <c r="G66" s="533">
        <v>78</v>
      </c>
      <c r="H66" s="533">
        <v>49</v>
      </c>
      <c r="I66" s="533">
        <v>62</v>
      </c>
      <c r="J66" s="1200">
        <v>55</v>
      </c>
      <c r="K66" s="1197"/>
      <c r="L66" s="533" t="s">
        <v>269</v>
      </c>
      <c r="M66" s="533">
        <v>54</v>
      </c>
      <c r="N66" s="533">
        <v>61</v>
      </c>
      <c r="O66" s="533">
        <v>53</v>
      </c>
      <c r="P66" s="1200">
        <v>59</v>
      </c>
      <c r="Q66" s="1197"/>
      <c r="R66" s="533" t="s">
        <v>269</v>
      </c>
      <c r="S66" s="533">
        <v>58</v>
      </c>
      <c r="T66" s="533">
        <v>62</v>
      </c>
      <c r="U66" s="1200">
        <v>73</v>
      </c>
      <c r="W66" s="533" t="s">
        <v>269</v>
      </c>
      <c r="X66" s="540">
        <v>150</v>
      </c>
      <c r="Y66" s="540">
        <v>111</v>
      </c>
      <c r="Z66" s="540">
        <v>157</v>
      </c>
      <c r="AA66" s="540">
        <v>121</v>
      </c>
      <c r="AB66" s="540">
        <v>254</v>
      </c>
      <c r="AC66" s="540">
        <v>320</v>
      </c>
      <c r="AD66" s="540">
        <v>451</v>
      </c>
      <c r="AE66" s="540">
        <v>471</v>
      </c>
      <c r="AF66" s="540">
        <v>645</v>
      </c>
      <c r="AG66" s="540">
        <v>778</v>
      </c>
      <c r="AH66" s="1153">
        <v>716</v>
      </c>
      <c r="AI66" s="1153">
        <v>175</v>
      </c>
      <c r="AJ66" s="548">
        <v>300</v>
      </c>
      <c r="AK66" s="835">
        <v>414</v>
      </c>
      <c r="AL66" s="835">
        <v>398</v>
      </c>
    </row>
    <row r="67" spans="1:38">
      <c r="A67" s="809"/>
      <c r="B67" s="1198"/>
      <c r="C67" s="538" t="s">
        <v>270</v>
      </c>
      <c r="D67" s="538">
        <v>34</v>
      </c>
      <c r="E67" s="538">
        <v>36</v>
      </c>
      <c r="F67" s="538">
        <v>47</v>
      </c>
      <c r="G67" s="538">
        <v>38</v>
      </c>
      <c r="H67" s="538">
        <v>49</v>
      </c>
      <c r="I67" s="538">
        <v>40</v>
      </c>
      <c r="J67" s="1201">
        <v>33</v>
      </c>
      <c r="K67" s="1198"/>
      <c r="L67" s="538" t="s">
        <v>270</v>
      </c>
      <c r="M67" s="538">
        <v>39</v>
      </c>
      <c r="N67" s="538">
        <v>42</v>
      </c>
      <c r="O67" s="538">
        <v>47</v>
      </c>
      <c r="P67" s="1201">
        <v>58</v>
      </c>
      <c r="Q67" s="1198"/>
      <c r="R67" s="538" t="s">
        <v>270</v>
      </c>
      <c r="S67" s="538">
        <v>43</v>
      </c>
      <c r="T67" s="538">
        <v>60</v>
      </c>
      <c r="U67" s="1201">
        <v>143</v>
      </c>
      <c r="V67" s="1123"/>
      <c r="W67" s="538" t="s">
        <v>270</v>
      </c>
      <c r="X67" s="539">
        <v>166</v>
      </c>
      <c r="Y67" s="539">
        <v>197</v>
      </c>
      <c r="Z67" s="539">
        <v>216</v>
      </c>
      <c r="AA67" s="539">
        <v>267</v>
      </c>
      <c r="AB67" s="539">
        <v>158</v>
      </c>
      <c r="AC67" s="539">
        <v>373</v>
      </c>
      <c r="AD67" s="539">
        <v>540</v>
      </c>
      <c r="AE67" s="539">
        <v>606</v>
      </c>
      <c r="AF67" s="539">
        <v>639</v>
      </c>
      <c r="AG67" s="539">
        <v>561</v>
      </c>
      <c r="AH67" s="1154">
        <v>535</v>
      </c>
      <c r="AI67" s="1154">
        <v>217</v>
      </c>
      <c r="AJ67" s="780">
        <v>605</v>
      </c>
      <c r="AK67" s="837">
        <v>795</v>
      </c>
      <c r="AL67" s="837">
        <v>844</v>
      </c>
    </row>
    <row r="68" spans="1:38">
      <c r="AJ68" s="123"/>
    </row>
  </sheetData>
  <phoneticPr fontId="93" type="noConversion"/>
  <hyperlinks>
    <hyperlink ref="AJ1" location="Content!A1" display="content" xr:uid="{00000000-0004-0000-0500-000000000000}"/>
  </hyperlinks>
  <pageMargins left="0.7" right="0.7" top="0.75" bottom="0.75" header="0.3" footer="0.3"/>
  <pageSetup paperSize="9" orientation="portrait"/>
  <ignoredErrors>
    <ignoredError sqref="AJ34:AJ40 AJ46:AJ51 AJ27"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B86"/>
  <sheetViews>
    <sheetView topLeftCell="A64" zoomScale="70" zoomScaleNormal="70" workbookViewId="0">
      <pane xSplit="2" topLeftCell="AO1" activePane="topRight" state="frozenSplit"/>
      <selection pane="topRight" activeCell="BH54" sqref="BH54"/>
    </sheetView>
  </sheetViews>
  <sheetFormatPr defaultColWidth="9" defaultRowHeight="14.4"/>
  <cols>
    <col min="1" max="1" width="11.77734375" customWidth="1"/>
    <col min="2" max="2" width="23" customWidth="1"/>
    <col min="3" max="12" width="9.77734375" customWidth="1"/>
    <col min="13" max="25" width="10.21875" customWidth="1"/>
    <col min="26" max="28" width="11.109375" customWidth="1"/>
  </cols>
  <sheetData>
    <row r="1" spans="1:28" ht="21">
      <c r="A1" s="528" t="s">
        <v>47</v>
      </c>
      <c r="Z1" s="57" t="s">
        <v>48</v>
      </c>
      <c r="AA1" s="57"/>
      <c r="AB1" s="57"/>
    </row>
    <row r="2" spans="1:28" ht="18">
      <c r="A2" s="529" t="s">
        <v>271</v>
      </c>
    </row>
    <row r="3" spans="1:28" ht="18">
      <c r="A3" s="529" t="s">
        <v>272</v>
      </c>
    </row>
    <row r="5" spans="1:28">
      <c r="A5" t="s">
        <v>273</v>
      </c>
    </row>
    <row r="7" spans="1:28">
      <c r="A7" s="1145" t="s">
        <v>61</v>
      </c>
      <c r="B7" s="553" t="s">
        <v>274</v>
      </c>
      <c r="C7" s="553">
        <v>1996</v>
      </c>
      <c r="D7" s="553">
        <v>1997</v>
      </c>
      <c r="E7" s="553">
        <v>1998</v>
      </c>
      <c r="F7" s="553">
        <v>1999</v>
      </c>
      <c r="G7" s="553">
        <v>2000</v>
      </c>
      <c r="H7" s="553">
        <v>2001</v>
      </c>
      <c r="I7" s="553">
        <v>2002</v>
      </c>
      <c r="J7" s="553">
        <v>2003</v>
      </c>
      <c r="K7" s="553">
        <v>2004</v>
      </c>
      <c r="L7" s="553">
        <v>2005</v>
      </c>
      <c r="M7" s="553">
        <v>2006</v>
      </c>
      <c r="N7" s="553">
        <v>2009</v>
      </c>
      <c r="O7" s="553">
        <v>2010</v>
      </c>
      <c r="P7" s="553">
        <v>2011</v>
      </c>
      <c r="Q7" s="553">
        <v>2012</v>
      </c>
      <c r="R7" s="553">
        <v>2013</v>
      </c>
      <c r="S7" s="553">
        <v>2014</v>
      </c>
      <c r="T7" s="553">
        <v>2015</v>
      </c>
      <c r="U7" s="553">
        <v>2016</v>
      </c>
      <c r="V7" s="553">
        <v>2017</v>
      </c>
      <c r="W7" s="553">
        <v>2018</v>
      </c>
      <c r="X7" s="553">
        <v>2019</v>
      </c>
      <c r="Y7" s="1146">
        <v>2020</v>
      </c>
      <c r="Z7" s="552">
        <v>2021</v>
      </c>
      <c r="AA7" s="1146">
        <v>2022</v>
      </c>
      <c r="AB7" s="1146">
        <v>2023</v>
      </c>
    </row>
    <row r="8" spans="1:28">
      <c r="A8" s="1118" t="s">
        <v>66</v>
      </c>
      <c r="B8" s="802" t="s">
        <v>275</v>
      </c>
      <c r="C8" s="803">
        <v>181520</v>
      </c>
      <c r="D8" s="803">
        <v>171999</v>
      </c>
      <c r="E8" s="803">
        <v>193428</v>
      </c>
      <c r="F8" s="803">
        <v>205240</v>
      </c>
      <c r="G8" s="803">
        <v>214173</v>
      </c>
      <c r="H8" s="803">
        <v>187579</v>
      </c>
      <c r="I8" s="803">
        <v>186619</v>
      </c>
      <c r="J8" s="803">
        <v>185284</v>
      </c>
      <c r="K8" s="803">
        <v>178220</v>
      </c>
      <c r="L8" s="803">
        <v>181560</v>
      </c>
      <c r="M8" s="803">
        <v>186599</v>
      </c>
      <c r="N8" s="803">
        <v>182361</v>
      </c>
      <c r="O8" s="803">
        <v>170493</v>
      </c>
      <c r="P8" s="803">
        <v>191377</v>
      </c>
      <c r="Q8" s="803">
        <v>196836</v>
      </c>
      <c r="R8" s="803">
        <v>197753</v>
      </c>
      <c r="S8" s="803">
        <v>198496</v>
      </c>
      <c r="T8" s="803">
        <v>193699</v>
      </c>
      <c r="U8" s="803">
        <v>204287</v>
      </c>
      <c r="V8" s="803">
        <v>200312</v>
      </c>
      <c r="W8" s="803">
        <v>197414</v>
      </c>
      <c r="X8" s="803">
        <v>195245</v>
      </c>
      <c r="Y8" s="803">
        <v>185487</v>
      </c>
      <c r="Z8" s="548">
        <v>181859</v>
      </c>
      <c r="AA8" s="551">
        <v>179774</v>
      </c>
      <c r="AB8" s="551">
        <v>191512</v>
      </c>
    </row>
    <row r="9" spans="1:28">
      <c r="A9" s="1118"/>
      <c r="B9" s="791" t="s">
        <v>276</v>
      </c>
      <c r="C9" s="792">
        <v>21183</v>
      </c>
      <c r="D9" s="792">
        <v>24112</v>
      </c>
      <c r="E9" s="792">
        <v>26371</v>
      </c>
      <c r="F9" s="792">
        <v>27415</v>
      </c>
      <c r="G9" s="792">
        <v>29428</v>
      </c>
      <c r="H9" s="792">
        <v>29981</v>
      </c>
      <c r="I9" s="792">
        <v>29837</v>
      </c>
      <c r="J9" s="792">
        <v>30428</v>
      </c>
      <c r="K9" s="792">
        <v>32238</v>
      </c>
      <c r="L9" s="792">
        <v>33557</v>
      </c>
      <c r="M9" s="792">
        <v>34438</v>
      </c>
      <c r="N9" s="792">
        <v>34032</v>
      </c>
      <c r="O9" s="792">
        <v>38913</v>
      </c>
      <c r="P9" s="792">
        <v>36378</v>
      </c>
      <c r="Q9" s="792">
        <v>37729</v>
      </c>
      <c r="R9" s="792">
        <v>37830</v>
      </c>
      <c r="S9" s="792">
        <v>38679</v>
      </c>
      <c r="T9" s="792">
        <v>39137</v>
      </c>
      <c r="U9" s="792">
        <v>39136</v>
      </c>
      <c r="V9" s="792">
        <v>40921</v>
      </c>
      <c r="W9" s="792">
        <v>42176</v>
      </c>
      <c r="X9" s="792">
        <v>43496</v>
      </c>
      <c r="Y9" s="792">
        <v>43213</v>
      </c>
      <c r="Z9" s="548">
        <v>42762</v>
      </c>
      <c r="AA9" s="548">
        <v>42668</v>
      </c>
      <c r="AB9" s="548">
        <v>45098</v>
      </c>
    </row>
    <row r="10" spans="1:28">
      <c r="A10" s="1118"/>
      <c r="B10" s="791" t="s">
        <v>277</v>
      </c>
      <c r="C10" s="792">
        <v>18994</v>
      </c>
      <c r="D10" s="792">
        <v>22481</v>
      </c>
      <c r="E10" s="792">
        <v>27179</v>
      </c>
      <c r="F10" s="792">
        <v>30557</v>
      </c>
      <c r="G10" s="792">
        <v>36003</v>
      </c>
      <c r="H10" s="792">
        <v>39133</v>
      </c>
      <c r="I10" s="792">
        <v>42512</v>
      </c>
      <c r="J10" s="792">
        <v>43887</v>
      </c>
      <c r="K10" s="792">
        <v>44631</v>
      </c>
      <c r="L10" s="792">
        <v>48035</v>
      </c>
      <c r="M10" s="792">
        <v>50848</v>
      </c>
      <c r="N10" s="792">
        <v>53515</v>
      </c>
      <c r="O10" s="792">
        <v>53940</v>
      </c>
      <c r="P10" s="792">
        <v>55656</v>
      </c>
      <c r="Q10" s="792">
        <v>57500</v>
      </c>
      <c r="R10" s="792">
        <v>57403</v>
      </c>
      <c r="S10" s="792">
        <v>58416</v>
      </c>
      <c r="T10" s="792">
        <v>58653</v>
      </c>
      <c r="U10" s="792">
        <v>59589</v>
      </c>
      <c r="V10" s="792">
        <v>60691</v>
      </c>
      <c r="W10" s="792">
        <v>62046</v>
      </c>
      <c r="X10" s="792">
        <v>61987</v>
      </c>
      <c r="Y10" s="792">
        <v>61814</v>
      </c>
      <c r="Z10" s="548">
        <v>61232</v>
      </c>
      <c r="AA10" s="548">
        <v>60378</v>
      </c>
      <c r="AB10" s="548">
        <v>60631</v>
      </c>
    </row>
    <row r="11" spans="1:28">
      <c r="A11" s="809"/>
      <c r="B11" s="830" t="s">
        <v>128</v>
      </c>
      <c r="C11" s="831">
        <f>SUM(C8:C10)</f>
        <v>221697</v>
      </c>
      <c r="D11" s="831">
        <f t="shared" ref="D11:X11" si="0">SUM(D8:D10)</f>
        <v>218592</v>
      </c>
      <c r="E11" s="831">
        <f t="shared" si="0"/>
        <v>246978</v>
      </c>
      <c r="F11" s="831">
        <f t="shared" si="0"/>
        <v>263212</v>
      </c>
      <c r="G11" s="831">
        <f t="shared" si="0"/>
        <v>279604</v>
      </c>
      <c r="H11" s="831">
        <f t="shared" si="0"/>
        <v>256693</v>
      </c>
      <c r="I11" s="831">
        <f t="shared" si="0"/>
        <v>258968</v>
      </c>
      <c r="J11" s="831">
        <f t="shared" si="0"/>
        <v>259599</v>
      </c>
      <c r="K11" s="831">
        <f t="shared" si="0"/>
        <v>255089</v>
      </c>
      <c r="L11" s="831">
        <f t="shared" si="0"/>
        <v>263152</v>
      </c>
      <c r="M11" s="831">
        <f t="shared" si="0"/>
        <v>271885</v>
      </c>
      <c r="N11" s="831">
        <f t="shared" si="0"/>
        <v>269908</v>
      </c>
      <c r="O11" s="831">
        <f t="shared" si="0"/>
        <v>263346</v>
      </c>
      <c r="P11" s="831">
        <f t="shared" si="0"/>
        <v>283411</v>
      </c>
      <c r="Q11" s="831">
        <f t="shared" si="0"/>
        <v>292065</v>
      </c>
      <c r="R11" s="831">
        <f t="shared" si="0"/>
        <v>292986</v>
      </c>
      <c r="S11" s="831">
        <f t="shared" si="0"/>
        <v>295591</v>
      </c>
      <c r="T11" s="831">
        <f t="shared" si="0"/>
        <v>291489</v>
      </c>
      <c r="U11" s="831">
        <f t="shared" si="0"/>
        <v>303012</v>
      </c>
      <c r="V11" s="831">
        <f t="shared" si="0"/>
        <v>301924</v>
      </c>
      <c r="W11" s="831">
        <f t="shared" si="0"/>
        <v>301636</v>
      </c>
      <c r="X11" s="831">
        <f t="shared" si="0"/>
        <v>300728</v>
      </c>
      <c r="Y11" s="831">
        <v>290514</v>
      </c>
      <c r="Z11" s="780">
        <f>SUM(Z8:Z10)</f>
        <v>285853</v>
      </c>
      <c r="AA11" s="780">
        <f>SUM(AA8:AA10)</f>
        <v>282820</v>
      </c>
      <c r="AB11" s="780">
        <f>SUM(AB8:AB10)</f>
        <v>297241</v>
      </c>
    </row>
    <row r="12" spans="1:28">
      <c r="A12" s="1118" t="s">
        <v>55</v>
      </c>
      <c r="B12" s="802" t="s">
        <v>275</v>
      </c>
      <c r="C12" s="803">
        <v>403657</v>
      </c>
      <c r="D12" s="803">
        <v>407626</v>
      </c>
      <c r="E12" s="803">
        <v>431224</v>
      </c>
      <c r="F12" s="803">
        <v>427935</v>
      </c>
      <c r="G12" s="803">
        <v>464930</v>
      </c>
      <c r="H12" s="803">
        <v>468251</v>
      </c>
      <c r="I12" s="803">
        <v>446296</v>
      </c>
      <c r="J12" s="803">
        <v>445707</v>
      </c>
      <c r="K12" s="803">
        <v>452904</v>
      </c>
      <c r="L12" s="803">
        <v>459533</v>
      </c>
      <c r="M12" s="803">
        <v>438310</v>
      </c>
      <c r="N12" s="803">
        <v>374216</v>
      </c>
      <c r="O12" s="803">
        <v>364531</v>
      </c>
      <c r="P12" s="803">
        <v>369055</v>
      </c>
      <c r="Q12" s="803">
        <v>365967</v>
      </c>
      <c r="R12" s="803">
        <v>342331</v>
      </c>
      <c r="S12" s="803">
        <v>333709</v>
      </c>
      <c r="T12" s="803">
        <v>328351</v>
      </c>
      <c r="U12" s="803">
        <v>327333</v>
      </c>
      <c r="V12" s="803">
        <v>323441</v>
      </c>
      <c r="W12" s="803">
        <v>319395</v>
      </c>
      <c r="X12" s="803">
        <v>307831</v>
      </c>
      <c r="Y12" s="803">
        <v>281631</v>
      </c>
      <c r="Z12" s="551">
        <v>269576</v>
      </c>
      <c r="AA12" s="548">
        <v>266594</v>
      </c>
      <c r="AB12" s="548">
        <v>278750</v>
      </c>
    </row>
    <row r="13" spans="1:28">
      <c r="A13" s="1118"/>
      <c r="B13" s="791" t="s">
        <v>276</v>
      </c>
      <c r="C13" s="792">
        <v>9667</v>
      </c>
      <c r="D13" s="792">
        <v>10543</v>
      </c>
      <c r="E13" s="792">
        <v>10821</v>
      </c>
      <c r="F13" s="792">
        <v>11050</v>
      </c>
      <c r="G13" s="792">
        <v>12564</v>
      </c>
      <c r="H13" s="792">
        <v>14166</v>
      </c>
      <c r="I13" s="792">
        <v>11796</v>
      </c>
      <c r="J13" s="792">
        <v>11125</v>
      </c>
      <c r="K13" s="792">
        <v>12002</v>
      </c>
      <c r="L13" s="792">
        <v>11678</v>
      </c>
      <c r="M13" s="792">
        <v>10951</v>
      </c>
      <c r="N13" s="792">
        <v>8502</v>
      </c>
      <c r="O13" s="792">
        <v>9743</v>
      </c>
      <c r="P13" s="792">
        <v>8524</v>
      </c>
      <c r="Q13" s="792">
        <v>8531</v>
      </c>
      <c r="R13" s="792">
        <v>7445</v>
      </c>
      <c r="S13" s="792">
        <v>6778</v>
      </c>
      <c r="T13" s="792">
        <v>6518</v>
      </c>
      <c r="U13" s="792">
        <v>6551</v>
      </c>
      <c r="V13" s="792">
        <v>6771</v>
      </c>
      <c r="W13" s="792">
        <v>7012</v>
      </c>
      <c r="X13" s="792">
        <v>6707</v>
      </c>
      <c r="Y13" s="792">
        <v>6097</v>
      </c>
      <c r="Z13" s="548">
        <v>5743</v>
      </c>
      <c r="AA13" s="548">
        <v>5801</v>
      </c>
      <c r="AB13" s="548">
        <v>6054</v>
      </c>
    </row>
    <row r="14" spans="1:28">
      <c r="A14" s="1118"/>
      <c r="B14" s="791" t="s">
        <v>277</v>
      </c>
      <c r="C14" s="792">
        <v>3861</v>
      </c>
      <c r="D14" s="792">
        <v>4845</v>
      </c>
      <c r="E14" s="792">
        <v>6098</v>
      </c>
      <c r="F14" s="792">
        <v>7473</v>
      </c>
      <c r="G14" s="792">
        <v>9567</v>
      </c>
      <c r="H14" s="792">
        <v>11687</v>
      </c>
      <c r="I14" s="792">
        <v>14063</v>
      </c>
      <c r="J14" s="792">
        <v>17414</v>
      </c>
      <c r="K14" s="792">
        <v>20264</v>
      </c>
      <c r="L14" s="792">
        <v>24868</v>
      </c>
      <c r="M14" s="792">
        <v>27024</v>
      </c>
      <c r="N14" s="792">
        <v>29802</v>
      </c>
      <c r="O14" s="792">
        <v>32150</v>
      </c>
      <c r="P14" s="792">
        <v>38875</v>
      </c>
      <c r="Q14" s="792">
        <v>43523</v>
      </c>
      <c r="R14" s="792">
        <v>43911</v>
      </c>
      <c r="S14" s="792">
        <v>42380</v>
      </c>
      <c r="T14" s="792">
        <v>44051</v>
      </c>
      <c r="U14" s="792">
        <v>45209</v>
      </c>
      <c r="V14" s="792">
        <v>48206</v>
      </c>
      <c r="W14" s="792">
        <v>49704</v>
      </c>
      <c r="X14" s="792">
        <v>52702</v>
      </c>
      <c r="Y14" s="792">
        <v>50581</v>
      </c>
      <c r="Z14" s="548">
        <v>50355</v>
      </c>
      <c r="AA14" s="548">
        <v>48930</v>
      </c>
      <c r="AB14" s="548">
        <v>48402</v>
      </c>
    </row>
    <row r="15" spans="1:28">
      <c r="A15" s="809"/>
      <c r="B15" s="830" t="s">
        <v>128</v>
      </c>
      <c r="C15" s="831">
        <f>SUM(C12:C14)</f>
        <v>417185</v>
      </c>
      <c r="D15" s="831">
        <f t="shared" ref="D15" si="1">SUM(D12:D14)</f>
        <v>423014</v>
      </c>
      <c r="E15" s="831">
        <f t="shared" ref="E15" si="2">SUM(E12:E14)</f>
        <v>448143</v>
      </c>
      <c r="F15" s="831">
        <f t="shared" ref="F15" si="3">SUM(F12:F14)</f>
        <v>446458</v>
      </c>
      <c r="G15" s="831">
        <f t="shared" ref="G15" si="4">SUM(G12:G14)</f>
        <v>487061</v>
      </c>
      <c r="H15" s="831">
        <f t="shared" ref="H15" si="5">SUM(H12:H14)</f>
        <v>494104</v>
      </c>
      <c r="I15" s="831">
        <f t="shared" ref="I15" si="6">SUM(I12:I14)</f>
        <v>472155</v>
      </c>
      <c r="J15" s="831">
        <f t="shared" ref="J15" si="7">SUM(J12:J14)</f>
        <v>474246</v>
      </c>
      <c r="K15" s="831">
        <f t="shared" ref="K15" si="8">SUM(K12:K14)</f>
        <v>485170</v>
      </c>
      <c r="L15" s="831">
        <f t="shared" ref="L15" si="9">SUM(L12:L14)</f>
        <v>496079</v>
      </c>
      <c r="M15" s="831">
        <f t="shared" ref="M15" si="10">SUM(M12:M14)</f>
        <v>476285</v>
      </c>
      <c r="N15" s="831">
        <f t="shared" ref="N15" si="11">SUM(N12:N14)</f>
        <v>412520</v>
      </c>
      <c r="O15" s="831">
        <f t="shared" ref="O15" si="12">SUM(O12:O14)</f>
        <v>406424</v>
      </c>
      <c r="P15" s="831">
        <f t="shared" ref="P15" si="13">SUM(P12:P14)</f>
        <v>416454</v>
      </c>
      <c r="Q15" s="831">
        <f t="shared" ref="Q15" si="14">SUM(Q12:Q14)</f>
        <v>418021</v>
      </c>
      <c r="R15" s="831">
        <f t="shared" ref="R15" si="15">SUM(R12:R14)</f>
        <v>393687</v>
      </c>
      <c r="S15" s="831">
        <f t="shared" ref="S15" si="16">SUM(S12:S14)</f>
        <v>382867</v>
      </c>
      <c r="T15" s="831">
        <f t="shared" ref="T15" si="17">SUM(T12:T14)</f>
        <v>378920</v>
      </c>
      <c r="U15" s="831">
        <f t="shared" ref="U15" si="18">SUM(U12:U14)</f>
        <v>379093</v>
      </c>
      <c r="V15" s="831">
        <f t="shared" ref="V15" si="19">SUM(V12:V14)</f>
        <v>378418</v>
      </c>
      <c r="W15" s="831">
        <f t="shared" ref="W15" si="20">SUM(W12:W14)</f>
        <v>376111</v>
      </c>
      <c r="X15" s="831">
        <f t="shared" ref="X15" si="21">SUM(X12:X14)</f>
        <v>367240</v>
      </c>
      <c r="Y15" s="831">
        <v>338309</v>
      </c>
      <c r="Z15" s="780">
        <f>SUM(Z12:Z14)</f>
        <v>325674</v>
      </c>
      <c r="AA15" s="780">
        <f>SUM(AA12:AA14)</f>
        <v>321325</v>
      </c>
      <c r="AB15" s="780">
        <f>SUM(AB12:AB14)</f>
        <v>333206</v>
      </c>
    </row>
    <row r="16" spans="1:28">
      <c r="A16" s="1118" t="s">
        <v>56</v>
      </c>
      <c r="B16" s="802" t="s">
        <v>275</v>
      </c>
      <c r="C16" s="1168"/>
      <c r="D16" s="1168"/>
      <c r="E16" s="1168"/>
      <c r="F16" s="1168"/>
      <c r="G16" s="1168"/>
      <c r="H16" s="1168"/>
      <c r="I16" s="1168"/>
      <c r="J16" s="803">
        <v>109172</v>
      </c>
      <c r="K16" s="803">
        <v>129559</v>
      </c>
      <c r="L16" s="803">
        <v>152831</v>
      </c>
      <c r="M16" s="803">
        <v>161402</v>
      </c>
      <c r="N16" s="803">
        <v>155243</v>
      </c>
      <c r="O16" s="803">
        <v>162153</v>
      </c>
      <c r="P16" s="803">
        <v>170634</v>
      </c>
      <c r="Q16" s="803">
        <v>183451</v>
      </c>
      <c r="R16" s="803">
        <v>200599</v>
      </c>
      <c r="S16" s="803">
        <v>205900</v>
      </c>
      <c r="T16" s="803">
        <v>211241</v>
      </c>
      <c r="U16" s="803">
        <v>205135</v>
      </c>
      <c r="V16" s="803">
        <v>197540</v>
      </c>
      <c r="W16" s="803">
        <v>200230</v>
      </c>
      <c r="X16" s="803">
        <v>211631</v>
      </c>
      <c r="Y16" s="803">
        <v>222272</v>
      </c>
      <c r="Z16" s="551">
        <v>227049</v>
      </c>
      <c r="AA16" s="548">
        <v>229133</v>
      </c>
      <c r="AB16" s="548">
        <v>242807</v>
      </c>
    </row>
    <row r="17" spans="1:28">
      <c r="A17" s="1118"/>
      <c r="B17" s="791" t="s">
        <v>276</v>
      </c>
      <c r="C17" s="1169"/>
      <c r="D17" s="1169"/>
      <c r="E17" s="1169"/>
      <c r="F17" s="1169"/>
      <c r="G17" s="1169"/>
      <c r="H17" s="1169"/>
      <c r="I17" s="1169"/>
      <c r="J17" s="792">
        <v>1473</v>
      </c>
      <c r="K17" s="792">
        <v>2176</v>
      </c>
      <c r="L17" s="792">
        <v>2984</v>
      </c>
      <c r="M17" s="792">
        <v>3374</v>
      </c>
      <c r="N17" s="792">
        <v>2184</v>
      </c>
      <c r="O17" s="792">
        <v>2675</v>
      </c>
      <c r="P17" s="792">
        <v>2807</v>
      </c>
      <c r="Q17" s="792">
        <v>2954</v>
      </c>
      <c r="R17" s="792">
        <v>3626</v>
      </c>
      <c r="S17" s="792">
        <v>3413</v>
      </c>
      <c r="T17" s="792">
        <v>3568</v>
      </c>
      <c r="U17" s="792">
        <v>3238</v>
      </c>
      <c r="V17" s="792">
        <v>2806</v>
      </c>
      <c r="W17" s="792">
        <v>2748</v>
      </c>
      <c r="X17" s="792">
        <v>3316</v>
      </c>
      <c r="Y17" s="792">
        <v>3700</v>
      </c>
      <c r="Z17" s="548">
        <v>3541</v>
      </c>
      <c r="AA17" s="548">
        <v>3631</v>
      </c>
      <c r="AB17" s="548">
        <v>4086</v>
      </c>
    </row>
    <row r="18" spans="1:28">
      <c r="A18" s="1118"/>
      <c r="B18" s="791" t="s">
        <v>277</v>
      </c>
      <c r="C18" s="1169"/>
      <c r="D18" s="1169"/>
      <c r="E18" s="1169"/>
      <c r="F18" s="1169"/>
      <c r="G18" s="1169"/>
      <c r="H18" s="1169"/>
      <c r="I18" s="1169"/>
      <c r="J18" s="792">
        <v>2949</v>
      </c>
      <c r="K18" s="792">
        <v>3558</v>
      </c>
      <c r="L18" s="792">
        <v>4689</v>
      </c>
      <c r="M18" s="792">
        <v>5946</v>
      </c>
      <c r="N18" s="792">
        <v>8035</v>
      </c>
      <c r="O18" s="792">
        <v>9669</v>
      </c>
      <c r="P18" s="792">
        <v>10447</v>
      </c>
      <c r="Q18" s="792">
        <v>11787</v>
      </c>
      <c r="R18" s="792">
        <v>12383</v>
      </c>
      <c r="S18" s="792">
        <v>13118</v>
      </c>
      <c r="T18" s="792">
        <v>14565</v>
      </c>
      <c r="U18" s="792">
        <v>15555</v>
      </c>
      <c r="V18" s="792">
        <v>15751</v>
      </c>
      <c r="W18" s="792">
        <v>16918</v>
      </c>
      <c r="X18" s="792">
        <v>19074</v>
      </c>
      <c r="Y18" s="792">
        <v>20044</v>
      </c>
      <c r="Z18" s="548">
        <v>22024</v>
      </c>
      <c r="AA18" s="548">
        <v>22286</v>
      </c>
      <c r="AB18" s="548">
        <v>23850</v>
      </c>
    </row>
    <row r="19" spans="1:28">
      <c r="A19" s="809"/>
      <c r="B19" s="830" t="s">
        <v>128</v>
      </c>
      <c r="C19" s="1170"/>
      <c r="D19" s="1170"/>
      <c r="E19" s="1170"/>
      <c r="F19" s="1170"/>
      <c r="G19" s="1170"/>
      <c r="H19" s="1170"/>
      <c r="I19" s="1170"/>
      <c r="J19" s="831">
        <f t="shared" ref="J19" si="22">SUM(J16:J18)</f>
        <v>113594</v>
      </c>
      <c r="K19" s="831">
        <f t="shared" ref="K19" si="23">SUM(K16:K18)</f>
        <v>135293</v>
      </c>
      <c r="L19" s="831">
        <f t="shared" ref="L19" si="24">SUM(L16:L18)</f>
        <v>160504</v>
      </c>
      <c r="M19" s="831">
        <f t="shared" ref="M19" si="25">SUM(M16:M18)</f>
        <v>170722</v>
      </c>
      <c r="N19" s="831">
        <f t="shared" ref="N19" si="26">SUM(N16:N18)</f>
        <v>165462</v>
      </c>
      <c r="O19" s="831">
        <f t="shared" ref="O19" si="27">SUM(O16:O18)</f>
        <v>174497</v>
      </c>
      <c r="P19" s="831">
        <f t="shared" ref="P19" si="28">SUM(P16:P18)</f>
        <v>183888</v>
      </c>
      <c r="Q19" s="831">
        <f t="shared" ref="Q19" si="29">SUM(Q16:Q18)</f>
        <v>198192</v>
      </c>
      <c r="R19" s="831">
        <f t="shared" ref="R19" si="30">SUM(R16:R18)</f>
        <v>216608</v>
      </c>
      <c r="S19" s="831">
        <f t="shared" ref="S19" si="31">SUM(S16:S18)</f>
        <v>222431</v>
      </c>
      <c r="T19" s="831">
        <f t="shared" ref="T19" si="32">SUM(T16:T18)</f>
        <v>229374</v>
      </c>
      <c r="U19" s="831">
        <f t="shared" ref="U19" si="33">SUM(U16:U18)</f>
        <v>223928</v>
      </c>
      <c r="V19" s="831">
        <f t="shared" ref="V19" si="34">SUM(V16:V18)</f>
        <v>216097</v>
      </c>
      <c r="W19" s="831">
        <f t="shared" ref="W19" si="35">SUM(W16:W18)</f>
        <v>219896</v>
      </c>
      <c r="X19" s="831">
        <f t="shared" ref="X19" si="36">SUM(X16:X18)</f>
        <v>234021</v>
      </c>
      <c r="Y19" s="831">
        <v>246016</v>
      </c>
      <c r="Z19" s="780">
        <f>SUM(Z16:Z18)</f>
        <v>252614</v>
      </c>
      <c r="AA19" s="780">
        <f>SUM(AA16:AA18)</f>
        <v>255050</v>
      </c>
      <c r="AB19" s="780">
        <f>SUM(AB16:AB18)</f>
        <v>270743</v>
      </c>
    </row>
    <row r="20" spans="1:28">
      <c r="A20" s="1118" t="s">
        <v>57</v>
      </c>
      <c r="B20" s="802" t="s">
        <v>275</v>
      </c>
      <c r="C20" s="1168"/>
      <c r="D20" s="1168"/>
      <c r="E20" s="1168"/>
      <c r="F20" s="1168"/>
      <c r="G20" s="1168"/>
      <c r="H20" s="1168"/>
      <c r="I20" s="1168"/>
      <c r="J20" s="1168"/>
      <c r="K20" s="1168"/>
      <c r="L20" s="1168"/>
      <c r="M20" s="803">
        <v>126243</v>
      </c>
      <c r="N20" s="803">
        <v>235708</v>
      </c>
      <c r="O20" s="803">
        <v>299743</v>
      </c>
      <c r="P20" s="803">
        <v>422348</v>
      </c>
      <c r="Q20" s="803">
        <v>543464</v>
      </c>
      <c r="R20" s="803">
        <v>714309</v>
      </c>
      <c r="S20" s="803">
        <v>812614</v>
      </c>
      <c r="T20" s="803">
        <v>980963</v>
      </c>
      <c r="U20" s="803">
        <v>1220648</v>
      </c>
      <c r="V20" s="803">
        <v>1267639</v>
      </c>
      <c r="W20" s="803">
        <v>1420896</v>
      </c>
      <c r="X20" s="803">
        <v>1274751</v>
      </c>
      <c r="Y20" s="803">
        <v>1385321</v>
      </c>
      <c r="Z20" s="551">
        <v>1472050</v>
      </c>
      <c r="AA20" s="548">
        <v>1512471</v>
      </c>
      <c r="AB20" s="548">
        <v>1573294</v>
      </c>
    </row>
    <row r="21" spans="1:28">
      <c r="A21" s="1118"/>
      <c r="B21" s="791" t="s">
        <v>276</v>
      </c>
      <c r="C21" s="1169"/>
      <c r="D21" s="1169"/>
      <c r="E21" s="1169"/>
      <c r="F21" s="1169"/>
      <c r="G21" s="1169"/>
      <c r="H21" s="1169"/>
      <c r="I21" s="1169"/>
      <c r="J21" s="1169"/>
      <c r="K21" s="1169"/>
      <c r="L21" s="1169"/>
      <c r="M21" s="792">
        <v>284</v>
      </c>
      <c r="N21" s="792">
        <v>385</v>
      </c>
      <c r="O21" s="792">
        <v>468</v>
      </c>
      <c r="P21" s="792">
        <v>543</v>
      </c>
      <c r="Q21" s="792">
        <v>583</v>
      </c>
      <c r="R21" s="792">
        <v>886</v>
      </c>
      <c r="S21" s="792">
        <v>971</v>
      </c>
      <c r="T21" s="792">
        <v>1081</v>
      </c>
      <c r="U21" s="792">
        <v>1697</v>
      </c>
      <c r="V21" s="792">
        <v>2014</v>
      </c>
      <c r="W21" s="792">
        <v>2369</v>
      </c>
      <c r="X21" s="792">
        <v>2701</v>
      </c>
      <c r="Y21" s="792">
        <v>2740</v>
      </c>
      <c r="Z21" s="548">
        <v>3480</v>
      </c>
      <c r="AA21" s="548">
        <v>3353</v>
      </c>
      <c r="AB21" s="548">
        <v>3532</v>
      </c>
    </row>
    <row r="22" spans="1:28">
      <c r="A22" s="1118"/>
      <c r="B22" s="791" t="s">
        <v>277</v>
      </c>
      <c r="C22" s="1169"/>
      <c r="D22" s="1169"/>
      <c r="E22" s="1169"/>
      <c r="F22" s="1169"/>
      <c r="G22" s="1169"/>
      <c r="H22" s="1169"/>
      <c r="I22" s="1169"/>
      <c r="J22" s="1169"/>
      <c r="K22" s="1169"/>
      <c r="L22" s="1169"/>
      <c r="M22" s="792">
        <v>3927</v>
      </c>
      <c r="N22" s="792">
        <v>7900</v>
      </c>
      <c r="O22" s="792">
        <v>12296</v>
      </c>
      <c r="P22" s="792">
        <v>16402</v>
      </c>
      <c r="Q22" s="792">
        <v>18620</v>
      </c>
      <c r="R22" s="792">
        <v>21449</v>
      </c>
      <c r="S22" s="792">
        <v>25537</v>
      </c>
      <c r="T22" s="792">
        <v>29810</v>
      </c>
      <c r="U22" s="792">
        <v>43091</v>
      </c>
      <c r="V22" s="792">
        <v>48903</v>
      </c>
      <c r="W22" s="792">
        <v>53360</v>
      </c>
      <c r="X22" s="792">
        <v>59174</v>
      </c>
      <c r="Y22" s="792">
        <v>68926</v>
      </c>
      <c r="Z22" s="548">
        <v>69997</v>
      </c>
      <c r="AA22" s="548">
        <v>69708</v>
      </c>
      <c r="AB22" s="548">
        <v>70140</v>
      </c>
    </row>
    <row r="23" spans="1:28">
      <c r="A23" s="809"/>
      <c r="B23" s="830" t="s">
        <v>128</v>
      </c>
      <c r="C23" s="1170"/>
      <c r="D23" s="1170"/>
      <c r="E23" s="1170"/>
      <c r="F23" s="1170"/>
      <c r="G23" s="1170"/>
      <c r="H23" s="1170"/>
      <c r="I23" s="1170"/>
      <c r="J23" s="1170"/>
      <c r="K23" s="1170"/>
      <c r="L23" s="1170"/>
      <c r="M23" s="831">
        <f t="shared" ref="M23" si="37">SUM(M20:M22)</f>
        <v>130454</v>
      </c>
      <c r="N23" s="831">
        <f t="shared" ref="N23" si="38">SUM(N20:N22)</f>
        <v>243993</v>
      </c>
      <c r="O23" s="831">
        <f t="shared" ref="O23" si="39">SUM(O20:O22)</f>
        <v>312507</v>
      </c>
      <c r="P23" s="831">
        <f t="shared" ref="P23" si="40">SUM(P20:P22)</f>
        <v>439293</v>
      </c>
      <c r="Q23" s="831">
        <f t="shared" ref="Q23" si="41">SUM(Q20:Q22)</f>
        <v>562667</v>
      </c>
      <c r="R23" s="831">
        <f t="shared" ref="R23" si="42">SUM(R20:R22)</f>
        <v>736644</v>
      </c>
      <c r="S23" s="831">
        <f t="shared" ref="S23" si="43">SUM(S20:S22)</f>
        <v>839122</v>
      </c>
      <c r="T23" s="831">
        <f t="shared" ref="T23" si="44">SUM(T20:T22)</f>
        <v>1011854</v>
      </c>
      <c r="U23" s="831">
        <f t="shared" ref="U23" si="45">SUM(U20:U22)</f>
        <v>1265436</v>
      </c>
      <c r="V23" s="831">
        <f t="shared" ref="V23" si="46">SUM(V20:V22)</f>
        <v>1318556</v>
      </c>
      <c r="W23" s="831">
        <f t="shared" ref="W23" si="47">SUM(W20:W22)</f>
        <v>1476625</v>
      </c>
      <c r="X23" s="831">
        <f t="shared" ref="X23" si="48">SUM(X20:X22)</f>
        <v>1336626</v>
      </c>
      <c r="Y23" s="831">
        <v>1456987</v>
      </c>
      <c r="Z23" s="780">
        <f>SUM(Z20:Z22)</f>
        <v>1545527</v>
      </c>
      <c r="AA23" s="780">
        <f>SUM(AA20:AA22)</f>
        <v>1585532</v>
      </c>
      <c r="AB23" s="780">
        <f>SUM(AB20:AB22)</f>
        <v>1646966</v>
      </c>
    </row>
    <row r="24" spans="1:28">
      <c r="A24" s="1118" t="s">
        <v>58</v>
      </c>
      <c r="B24" s="802" t="s">
        <v>275</v>
      </c>
      <c r="C24" s="803">
        <v>153381</v>
      </c>
      <c r="D24" s="803">
        <v>160820</v>
      </c>
      <c r="E24" s="803">
        <v>191642</v>
      </c>
      <c r="F24" s="803">
        <v>204651</v>
      </c>
      <c r="G24" s="803">
        <v>224593</v>
      </c>
      <c r="H24" s="803">
        <v>219578</v>
      </c>
      <c r="I24" s="803">
        <v>217922</v>
      </c>
      <c r="J24" s="803">
        <v>226360</v>
      </c>
      <c r="K24" s="803">
        <v>218093</v>
      </c>
      <c r="L24" s="803">
        <v>244769</v>
      </c>
      <c r="M24" s="803">
        <v>255357</v>
      </c>
      <c r="N24" s="803">
        <v>247532</v>
      </c>
      <c r="O24" s="803">
        <v>266278</v>
      </c>
      <c r="P24" s="803">
        <v>279253</v>
      </c>
      <c r="Q24" s="803">
        <v>302888</v>
      </c>
      <c r="R24" s="803">
        <v>319524</v>
      </c>
      <c r="S24" s="803">
        <v>315553</v>
      </c>
      <c r="T24" s="803">
        <v>315819</v>
      </c>
      <c r="U24" s="803">
        <v>324960</v>
      </c>
      <c r="V24" s="803">
        <v>316227</v>
      </c>
      <c r="W24" s="803">
        <v>305802</v>
      </c>
      <c r="X24" s="803">
        <v>303655</v>
      </c>
      <c r="Y24" s="803">
        <v>284789</v>
      </c>
      <c r="Z24" s="551">
        <v>282583</v>
      </c>
      <c r="AA24" s="548">
        <v>276112</v>
      </c>
      <c r="AB24" s="548">
        <v>311069</v>
      </c>
    </row>
    <row r="25" spans="1:28">
      <c r="A25" s="1118"/>
      <c r="B25" s="791" t="s">
        <v>276</v>
      </c>
      <c r="C25" s="792">
        <v>9350</v>
      </c>
      <c r="D25" s="792">
        <v>9584</v>
      </c>
      <c r="E25" s="792">
        <v>10542</v>
      </c>
      <c r="F25" s="792">
        <v>10232</v>
      </c>
      <c r="G25" s="792">
        <v>10757</v>
      </c>
      <c r="H25" s="792">
        <v>10683</v>
      </c>
      <c r="I25" s="792">
        <v>9673</v>
      </c>
      <c r="J25" s="792">
        <v>10466</v>
      </c>
      <c r="K25" s="792">
        <v>10155</v>
      </c>
      <c r="L25" s="792">
        <v>10465</v>
      </c>
      <c r="M25" s="792">
        <v>9756</v>
      </c>
      <c r="N25" s="792">
        <v>8358</v>
      </c>
      <c r="O25" s="792">
        <v>15861</v>
      </c>
      <c r="P25" s="792">
        <v>11130</v>
      </c>
      <c r="Q25" s="792">
        <v>12676</v>
      </c>
      <c r="R25" s="792">
        <v>10832</v>
      </c>
      <c r="S25" s="792">
        <v>10437</v>
      </c>
      <c r="T25" s="792">
        <v>10600</v>
      </c>
      <c r="U25" s="792">
        <v>12793</v>
      </c>
      <c r="V25" s="792">
        <v>13863</v>
      </c>
      <c r="W25" s="792">
        <v>15549</v>
      </c>
      <c r="X25" s="792">
        <v>17319</v>
      </c>
      <c r="Y25" s="792">
        <v>15584</v>
      </c>
      <c r="Z25" s="548">
        <v>14543</v>
      </c>
      <c r="AA25" s="548">
        <v>13858</v>
      </c>
      <c r="AB25" s="548">
        <v>15175</v>
      </c>
    </row>
    <row r="26" spans="1:28">
      <c r="A26" s="1118"/>
      <c r="B26" s="791" t="s">
        <v>277</v>
      </c>
      <c r="C26" s="792">
        <v>20828</v>
      </c>
      <c r="D26" s="792">
        <v>22736</v>
      </c>
      <c r="E26" s="792">
        <v>28356</v>
      </c>
      <c r="F26" s="792">
        <v>31255</v>
      </c>
      <c r="G26" s="792">
        <v>38007</v>
      </c>
      <c r="H26" s="792">
        <v>43214</v>
      </c>
      <c r="I26" s="792">
        <v>41296</v>
      </c>
      <c r="J26" s="792">
        <v>41033</v>
      </c>
      <c r="K26" s="792">
        <v>43352</v>
      </c>
      <c r="L26" s="792">
        <v>46830</v>
      </c>
      <c r="M26" s="792">
        <v>51248</v>
      </c>
      <c r="N26" s="792">
        <v>45620</v>
      </c>
      <c r="O26" s="792">
        <v>45030</v>
      </c>
      <c r="P26" s="792">
        <v>49105</v>
      </c>
      <c r="Q26" s="792">
        <v>51854</v>
      </c>
      <c r="R26" s="792">
        <v>56835</v>
      </c>
      <c r="S26" s="792">
        <v>61297</v>
      </c>
      <c r="T26" s="792">
        <v>56929</v>
      </c>
      <c r="U26" s="792">
        <v>56592</v>
      </c>
      <c r="V26" s="792">
        <v>56683</v>
      </c>
      <c r="W26" s="792">
        <v>56249</v>
      </c>
      <c r="X26" s="792">
        <v>57471</v>
      </c>
      <c r="Y26" s="792">
        <v>58468</v>
      </c>
      <c r="Z26" s="548">
        <v>58701</v>
      </c>
      <c r="AA26" s="548">
        <v>55316</v>
      </c>
      <c r="AB26" s="548">
        <v>53786</v>
      </c>
    </row>
    <row r="27" spans="1:28">
      <c r="A27" s="809"/>
      <c r="B27" s="830" t="s">
        <v>128</v>
      </c>
      <c r="C27" s="831">
        <f>SUM(C24:C26)</f>
        <v>183559</v>
      </c>
      <c r="D27" s="831">
        <f t="shared" ref="D27" si="49">SUM(D24:D26)</f>
        <v>193140</v>
      </c>
      <c r="E27" s="831">
        <f t="shared" ref="E27" si="50">SUM(E24:E26)</f>
        <v>230540</v>
      </c>
      <c r="F27" s="831">
        <f t="shared" ref="F27" si="51">SUM(F24:F26)</f>
        <v>246138</v>
      </c>
      <c r="G27" s="831">
        <f t="shared" ref="G27" si="52">SUM(G24:G26)</f>
        <v>273357</v>
      </c>
      <c r="H27" s="831">
        <f t="shared" ref="H27" si="53">SUM(H24:H26)</f>
        <v>273475</v>
      </c>
      <c r="I27" s="831">
        <f t="shared" ref="I27" si="54">SUM(I24:I26)</f>
        <v>268891</v>
      </c>
      <c r="J27" s="831">
        <f t="shared" ref="J27" si="55">SUM(J24:J26)</f>
        <v>277859</v>
      </c>
      <c r="K27" s="831">
        <f t="shared" ref="K27" si="56">SUM(K24:K26)</f>
        <v>271600</v>
      </c>
      <c r="L27" s="831">
        <f t="shared" ref="L27" si="57">SUM(L24:L26)</f>
        <v>302064</v>
      </c>
      <c r="M27" s="831">
        <f t="shared" ref="M27" si="58">SUM(M24:M26)</f>
        <v>316361</v>
      </c>
      <c r="N27" s="831">
        <f t="shared" ref="N27" si="59">SUM(N24:N26)</f>
        <v>301510</v>
      </c>
      <c r="O27" s="831">
        <f t="shared" ref="O27" si="60">SUM(O24:O26)</f>
        <v>327169</v>
      </c>
      <c r="P27" s="831">
        <f t="shared" ref="P27" si="61">SUM(P24:P26)</f>
        <v>339488</v>
      </c>
      <c r="Q27" s="831">
        <f t="shared" ref="Q27" si="62">SUM(Q24:Q26)</f>
        <v>367418</v>
      </c>
      <c r="R27" s="831">
        <f t="shared" ref="R27" si="63">SUM(R24:R26)</f>
        <v>387191</v>
      </c>
      <c r="S27" s="831">
        <f t="shared" ref="S27" si="64">SUM(S24:S26)</f>
        <v>387287</v>
      </c>
      <c r="T27" s="831">
        <f t="shared" ref="T27" si="65">SUM(T24:T26)</f>
        <v>383348</v>
      </c>
      <c r="U27" s="831">
        <f t="shared" ref="U27" si="66">SUM(U24:U26)</f>
        <v>394345</v>
      </c>
      <c r="V27" s="831">
        <f t="shared" ref="V27" si="67">SUM(V24:V26)</f>
        <v>386773</v>
      </c>
      <c r="W27" s="831">
        <f t="shared" ref="W27" si="68">SUM(W24:W26)</f>
        <v>377600</v>
      </c>
      <c r="X27" s="831">
        <f t="shared" ref="X27" si="69">SUM(X24:X26)</f>
        <v>378445</v>
      </c>
      <c r="Y27" s="831">
        <v>358841</v>
      </c>
      <c r="Z27" s="780">
        <f>SUM(Z24:Z26)</f>
        <v>355827</v>
      </c>
      <c r="AA27" s="780">
        <f>SUM(AA24:AA26)</f>
        <v>345286</v>
      </c>
      <c r="AB27" s="780">
        <f>SUM(AB24:AB26)</f>
        <v>380030</v>
      </c>
    </row>
    <row r="28" spans="1:28">
      <c r="A28" s="1118" t="s">
        <v>59</v>
      </c>
      <c r="B28" s="802" t="s">
        <v>275</v>
      </c>
      <c r="C28" s="803">
        <v>169128</v>
      </c>
      <c r="D28" s="803">
        <v>164961</v>
      </c>
      <c r="E28" s="803">
        <v>158162</v>
      </c>
      <c r="F28" s="803">
        <v>165906</v>
      </c>
      <c r="G28" s="803">
        <v>200961</v>
      </c>
      <c r="H28" s="803">
        <v>228152</v>
      </c>
      <c r="I28" s="803">
        <v>229745</v>
      </c>
      <c r="J28" s="803">
        <v>160715</v>
      </c>
      <c r="K28" s="803">
        <v>171205</v>
      </c>
      <c r="L28" s="803">
        <v>198335</v>
      </c>
      <c r="M28" s="803">
        <v>114473</v>
      </c>
      <c r="N28" s="803">
        <v>136717</v>
      </c>
      <c r="O28" s="803">
        <v>126034</v>
      </c>
      <c r="P28" s="803">
        <v>123044</v>
      </c>
      <c r="Q28" s="803">
        <v>135972</v>
      </c>
      <c r="R28" s="803">
        <v>146925</v>
      </c>
      <c r="S28" s="803">
        <v>142661</v>
      </c>
      <c r="T28" s="803">
        <v>158859</v>
      </c>
      <c r="U28" s="803">
        <v>153894</v>
      </c>
      <c r="V28" s="803">
        <v>151252</v>
      </c>
      <c r="W28" s="803">
        <v>156299</v>
      </c>
      <c r="X28" s="803">
        <v>172430</v>
      </c>
      <c r="Y28" s="803">
        <v>179282</v>
      </c>
      <c r="Z28" s="551">
        <v>165321</v>
      </c>
      <c r="AA28" s="548">
        <v>178913</v>
      </c>
      <c r="AB28" s="548">
        <v>185854</v>
      </c>
    </row>
    <row r="29" spans="1:28">
      <c r="A29" s="1118"/>
      <c r="B29" s="791" t="s">
        <v>276</v>
      </c>
      <c r="C29" s="792">
        <v>1058</v>
      </c>
      <c r="D29" s="792">
        <v>1388</v>
      </c>
      <c r="E29" s="792">
        <v>1651</v>
      </c>
      <c r="F29" s="792">
        <v>1753</v>
      </c>
      <c r="G29" s="792">
        <v>2094</v>
      </c>
      <c r="H29" s="792">
        <v>2268</v>
      </c>
      <c r="I29" s="792">
        <v>1962</v>
      </c>
      <c r="J29" s="792">
        <v>2557</v>
      </c>
      <c r="K29" s="792">
        <v>2213</v>
      </c>
      <c r="L29" s="792">
        <v>2519</v>
      </c>
      <c r="M29" s="792">
        <v>2631</v>
      </c>
      <c r="N29" s="792">
        <v>2987</v>
      </c>
      <c r="O29" s="792">
        <v>4285</v>
      </c>
      <c r="P29" s="792">
        <v>3801</v>
      </c>
      <c r="Q29" s="792">
        <v>5624</v>
      </c>
      <c r="R29" s="792">
        <v>3812</v>
      </c>
      <c r="S29" s="792">
        <v>3455</v>
      </c>
      <c r="T29" s="792">
        <v>3644</v>
      </c>
      <c r="U29" s="792">
        <v>4144</v>
      </c>
      <c r="V29" s="792">
        <v>4569</v>
      </c>
      <c r="W29" s="792">
        <v>5624</v>
      </c>
      <c r="X29" s="792">
        <v>5480</v>
      </c>
      <c r="Y29" s="792">
        <v>5596</v>
      </c>
      <c r="Z29" s="548">
        <v>5060</v>
      </c>
      <c r="AA29" s="548">
        <v>4738</v>
      </c>
      <c r="AB29" s="548">
        <v>5732</v>
      </c>
    </row>
    <row r="30" spans="1:28">
      <c r="A30" s="1118"/>
      <c r="B30" s="791" t="s">
        <v>277</v>
      </c>
      <c r="C30" s="792">
        <v>3608</v>
      </c>
      <c r="D30" s="792">
        <v>4360</v>
      </c>
      <c r="E30" s="792">
        <v>5374</v>
      </c>
      <c r="F30" s="792">
        <v>7073</v>
      </c>
      <c r="G30" s="792">
        <v>9660</v>
      </c>
      <c r="H30" s="792">
        <v>14196</v>
      </c>
      <c r="I30" s="792">
        <v>12521</v>
      </c>
      <c r="J30" s="792">
        <v>9921</v>
      </c>
      <c r="K30" s="792">
        <v>10828</v>
      </c>
      <c r="L30" s="792">
        <v>12330</v>
      </c>
      <c r="M30" s="792">
        <v>10670</v>
      </c>
      <c r="N30" s="792">
        <v>10528</v>
      </c>
      <c r="O30" s="792">
        <v>11254</v>
      </c>
      <c r="P30" s="792">
        <v>11940</v>
      </c>
      <c r="Q30" s="792">
        <v>12047</v>
      </c>
      <c r="R30" s="792">
        <v>12461</v>
      </c>
      <c r="S30" s="792">
        <v>13315</v>
      </c>
      <c r="T30" s="792">
        <v>12847</v>
      </c>
      <c r="U30" s="792">
        <v>12876</v>
      </c>
      <c r="V30" s="792">
        <v>13285</v>
      </c>
      <c r="W30" s="792">
        <v>14502</v>
      </c>
      <c r="X30" s="792">
        <v>14973</v>
      </c>
      <c r="Y30" s="792">
        <v>15058</v>
      </c>
      <c r="Z30" s="548">
        <v>15100</v>
      </c>
      <c r="AA30" s="548">
        <v>15505</v>
      </c>
      <c r="AB30" s="548">
        <v>16554</v>
      </c>
    </row>
    <row r="31" spans="1:28">
      <c r="A31" s="809"/>
      <c r="B31" s="830" t="s">
        <v>128</v>
      </c>
      <c r="C31" s="831">
        <f>SUM(C28:C30)</f>
        <v>173794</v>
      </c>
      <c r="D31" s="831">
        <f t="shared" ref="D31" si="70">SUM(D28:D30)</f>
        <v>170709</v>
      </c>
      <c r="E31" s="831">
        <f t="shared" ref="E31" si="71">SUM(E28:E30)</f>
        <v>165187</v>
      </c>
      <c r="F31" s="831">
        <f t="shared" ref="F31" si="72">SUM(F28:F30)</f>
        <v>174732</v>
      </c>
      <c r="G31" s="831">
        <f t="shared" ref="G31" si="73">SUM(G28:G30)</f>
        <v>212715</v>
      </c>
      <c r="H31" s="831">
        <f t="shared" ref="H31" si="74">SUM(H28:H30)</f>
        <v>244616</v>
      </c>
      <c r="I31" s="831">
        <f t="shared" ref="I31" si="75">SUM(I28:I30)</f>
        <v>244228</v>
      </c>
      <c r="J31" s="831">
        <f t="shared" ref="J31" si="76">SUM(J28:J30)</f>
        <v>173193</v>
      </c>
      <c r="K31" s="831">
        <f t="shared" ref="K31" si="77">SUM(K28:K30)</f>
        <v>184246</v>
      </c>
      <c r="L31" s="831">
        <f t="shared" ref="L31" si="78">SUM(L28:L30)</f>
        <v>213184</v>
      </c>
      <c r="M31" s="831">
        <f t="shared" ref="M31" si="79">SUM(M28:M30)</f>
        <v>127774</v>
      </c>
      <c r="N31" s="831">
        <f t="shared" ref="N31" si="80">SUM(N28:N30)</f>
        <v>150232</v>
      </c>
      <c r="O31" s="831">
        <f t="shared" ref="O31" si="81">SUM(O28:O30)</f>
        <v>141573</v>
      </c>
      <c r="P31" s="831">
        <f t="shared" ref="P31" si="82">SUM(P28:P30)</f>
        <v>138785</v>
      </c>
      <c r="Q31" s="831">
        <f t="shared" ref="Q31" si="83">SUM(Q28:Q30)</f>
        <v>153643</v>
      </c>
      <c r="R31" s="831">
        <f t="shared" ref="R31" si="84">SUM(R28:R30)</f>
        <v>163198</v>
      </c>
      <c r="S31" s="831">
        <f t="shared" ref="S31" si="85">SUM(S28:S30)</f>
        <v>159431</v>
      </c>
      <c r="T31" s="831">
        <f t="shared" ref="T31" si="86">SUM(T28:T30)</f>
        <v>175350</v>
      </c>
      <c r="U31" s="831">
        <f t="shared" ref="U31" si="87">SUM(U28:U30)</f>
        <v>170914</v>
      </c>
      <c r="V31" s="831">
        <f t="shared" ref="V31" si="88">SUM(V28:V30)</f>
        <v>169106</v>
      </c>
      <c r="W31" s="831">
        <f t="shared" ref="W31" si="89">SUM(W28:W30)</f>
        <v>176425</v>
      </c>
      <c r="X31" s="831">
        <f t="shared" ref="X31" si="90">SUM(X28:X30)</f>
        <v>192883</v>
      </c>
      <c r="Y31" s="831">
        <v>199936</v>
      </c>
      <c r="Z31" s="780">
        <f>SUM(Z28:Z30)</f>
        <v>185481</v>
      </c>
      <c r="AA31" s="780">
        <f>SUM(AA28:AA30)</f>
        <v>199156</v>
      </c>
      <c r="AB31" s="780">
        <f>SUM(AB28:AB30)</f>
        <v>208140</v>
      </c>
    </row>
    <row r="32" spans="1:28">
      <c r="Z32" s="571"/>
      <c r="AA32" s="571"/>
      <c r="AB32" s="571"/>
    </row>
    <row r="33" spans="2:28">
      <c r="B33" t="s">
        <v>278</v>
      </c>
      <c r="Z33" s="571"/>
      <c r="AA33" s="571"/>
      <c r="AB33" s="571"/>
    </row>
    <row r="34" spans="2:28">
      <c r="B34" s="553" t="s">
        <v>274</v>
      </c>
      <c r="C34" s="553">
        <v>1996</v>
      </c>
      <c r="D34" s="553">
        <v>1997</v>
      </c>
      <c r="E34" s="553">
        <v>1998</v>
      </c>
      <c r="F34" s="553">
        <v>1999</v>
      </c>
      <c r="G34" s="553">
        <v>2000</v>
      </c>
      <c r="H34" s="553">
        <v>2001</v>
      </c>
      <c r="I34" s="553">
        <v>2002</v>
      </c>
      <c r="J34" s="553">
        <v>2003</v>
      </c>
      <c r="K34" s="553">
        <v>2004</v>
      </c>
      <c r="L34" s="553">
        <v>2005</v>
      </c>
      <c r="M34" s="553">
        <v>2006</v>
      </c>
      <c r="N34" s="553">
        <v>2009</v>
      </c>
      <c r="O34" s="553">
        <v>2010</v>
      </c>
      <c r="P34" s="553">
        <v>2011</v>
      </c>
      <c r="Q34" s="553">
        <v>2012</v>
      </c>
      <c r="R34" s="553">
        <v>2013</v>
      </c>
      <c r="S34" s="553">
        <v>2014</v>
      </c>
      <c r="T34" s="553">
        <v>2015</v>
      </c>
      <c r="U34" s="553">
        <v>2016</v>
      </c>
      <c r="V34" s="553">
        <v>2017</v>
      </c>
      <c r="W34" s="553">
        <v>2018</v>
      </c>
      <c r="X34" s="553">
        <v>2019</v>
      </c>
      <c r="Y34" s="530">
        <v>2020</v>
      </c>
      <c r="Z34" s="552">
        <v>2021</v>
      </c>
      <c r="AA34" s="553">
        <v>2022</v>
      </c>
      <c r="AB34" s="553">
        <v>2023</v>
      </c>
    </row>
    <row r="35" spans="2:28">
      <c r="B35" s="802" t="s">
        <v>279</v>
      </c>
      <c r="C35" s="802">
        <f t="shared" ref="C35:X37" si="91">C8+C12+C16+C20+C24+C28</f>
        <v>907686</v>
      </c>
      <c r="D35" s="802">
        <f t="shared" si="91"/>
        <v>905406</v>
      </c>
      <c r="E35" s="802">
        <f t="shared" si="91"/>
        <v>974456</v>
      </c>
      <c r="F35" s="802">
        <f t="shared" si="91"/>
        <v>1003732</v>
      </c>
      <c r="G35" s="802">
        <f t="shared" si="91"/>
        <v>1104657</v>
      </c>
      <c r="H35" s="802">
        <f t="shared" si="91"/>
        <v>1103560</v>
      </c>
      <c r="I35" s="802">
        <f t="shared" si="91"/>
        <v>1080582</v>
      </c>
      <c r="J35" s="802">
        <f t="shared" si="91"/>
        <v>1127238</v>
      </c>
      <c r="K35" s="802">
        <f t="shared" si="91"/>
        <v>1149981</v>
      </c>
      <c r="L35" s="802">
        <f t="shared" si="91"/>
        <v>1237028</v>
      </c>
      <c r="M35" s="803">
        <f t="shared" si="91"/>
        <v>1282384</v>
      </c>
      <c r="N35" s="803">
        <f t="shared" si="91"/>
        <v>1331777</v>
      </c>
      <c r="O35" s="803">
        <f t="shared" si="91"/>
        <v>1389232</v>
      </c>
      <c r="P35" s="803">
        <f t="shared" si="91"/>
        <v>1555711</v>
      </c>
      <c r="Q35" s="803">
        <f t="shared" si="91"/>
        <v>1728578</v>
      </c>
      <c r="R35" s="803">
        <f t="shared" si="91"/>
        <v>1921441</v>
      </c>
      <c r="S35" s="803">
        <f t="shared" si="91"/>
        <v>2008933</v>
      </c>
      <c r="T35" s="803">
        <f t="shared" si="91"/>
        <v>2188932</v>
      </c>
      <c r="U35" s="803">
        <f>U8+U12+U16+U20+U24+U28</f>
        <v>2436257</v>
      </c>
      <c r="V35" s="803">
        <f t="shared" si="91"/>
        <v>2456411</v>
      </c>
      <c r="W35" s="803">
        <f t="shared" si="91"/>
        <v>2600036</v>
      </c>
      <c r="X35" s="803">
        <f t="shared" si="91"/>
        <v>2465543</v>
      </c>
      <c r="Y35" s="803">
        <v>2538782</v>
      </c>
      <c r="Z35" s="548">
        <v>2598438</v>
      </c>
      <c r="AA35" s="551">
        <v>2642997</v>
      </c>
      <c r="AB35" s="551">
        <f>AB8+AB12+AB16+AB20+AB24+AB28</f>
        <v>2783286</v>
      </c>
    </row>
    <row r="36" spans="2:28">
      <c r="B36" s="791" t="s">
        <v>280</v>
      </c>
      <c r="C36" s="791">
        <f t="shared" si="91"/>
        <v>41258</v>
      </c>
      <c r="D36" s="791">
        <f t="shared" si="91"/>
        <v>45627</v>
      </c>
      <c r="E36" s="791">
        <f t="shared" si="91"/>
        <v>49385</v>
      </c>
      <c r="F36" s="791">
        <f t="shared" si="91"/>
        <v>50450</v>
      </c>
      <c r="G36" s="791">
        <f t="shared" si="91"/>
        <v>54843</v>
      </c>
      <c r="H36" s="791">
        <f t="shared" si="91"/>
        <v>57098</v>
      </c>
      <c r="I36" s="791">
        <f t="shared" si="91"/>
        <v>53268</v>
      </c>
      <c r="J36" s="791">
        <f t="shared" si="91"/>
        <v>56049</v>
      </c>
      <c r="K36" s="791">
        <f t="shared" si="91"/>
        <v>58784</v>
      </c>
      <c r="L36" s="791">
        <f t="shared" si="91"/>
        <v>61203</v>
      </c>
      <c r="M36" s="792">
        <f t="shared" si="91"/>
        <v>61434</v>
      </c>
      <c r="N36" s="792">
        <f t="shared" si="91"/>
        <v>56448</v>
      </c>
      <c r="O36" s="792">
        <f t="shared" si="91"/>
        <v>71945</v>
      </c>
      <c r="P36" s="792">
        <f t="shared" si="91"/>
        <v>63183</v>
      </c>
      <c r="Q36" s="792">
        <f t="shared" si="91"/>
        <v>68097</v>
      </c>
      <c r="R36" s="792">
        <f t="shared" si="91"/>
        <v>64431</v>
      </c>
      <c r="S36" s="792">
        <f t="shared" si="91"/>
        <v>63733</v>
      </c>
      <c r="T36" s="792">
        <f t="shared" si="91"/>
        <v>64548</v>
      </c>
      <c r="U36" s="792">
        <f t="shared" si="91"/>
        <v>67559</v>
      </c>
      <c r="V36" s="792">
        <f t="shared" si="91"/>
        <v>70944</v>
      </c>
      <c r="W36" s="792">
        <f t="shared" si="91"/>
        <v>75478</v>
      </c>
      <c r="X36" s="792">
        <f t="shared" si="91"/>
        <v>79019</v>
      </c>
      <c r="Y36" s="792">
        <v>76930</v>
      </c>
      <c r="Z36" s="548">
        <v>75129</v>
      </c>
      <c r="AA36" s="548">
        <v>74049</v>
      </c>
      <c r="AB36" s="548">
        <f>AB9+AB13+AB17+AB21+AB25+AB29</f>
        <v>79677</v>
      </c>
    </row>
    <row r="37" spans="2:28">
      <c r="B37" s="830" t="s">
        <v>281</v>
      </c>
      <c r="C37" s="830">
        <f t="shared" si="91"/>
        <v>47291</v>
      </c>
      <c r="D37" s="830">
        <f t="shared" si="91"/>
        <v>54422</v>
      </c>
      <c r="E37" s="830">
        <f t="shared" si="91"/>
        <v>67007</v>
      </c>
      <c r="F37" s="830">
        <f t="shared" si="91"/>
        <v>76358</v>
      </c>
      <c r="G37" s="830">
        <f t="shared" si="91"/>
        <v>93237</v>
      </c>
      <c r="H37" s="830">
        <f t="shared" si="91"/>
        <v>108230</v>
      </c>
      <c r="I37" s="830">
        <f t="shared" si="91"/>
        <v>110392</v>
      </c>
      <c r="J37" s="830">
        <f t="shared" si="91"/>
        <v>115204</v>
      </c>
      <c r="K37" s="830">
        <f t="shared" si="91"/>
        <v>122633</v>
      </c>
      <c r="L37" s="830">
        <f t="shared" si="91"/>
        <v>136752</v>
      </c>
      <c r="M37" s="831">
        <f t="shared" si="91"/>
        <v>149663</v>
      </c>
      <c r="N37" s="831">
        <f t="shared" si="91"/>
        <v>155400</v>
      </c>
      <c r="O37" s="831">
        <f t="shared" si="91"/>
        <v>164339</v>
      </c>
      <c r="P37" s="831">
        <f t="shared" si="91"/>
        <v>182425</v>
      </c>
      <c r="Q37" s="831">
        <f t="shared" si="91"/>
        <v>195331</v>
      </c>
      <c r="R37" s="831">
        <f t="shared" si="91"/>
        <v>204442</v>
      </c>
      <c r="S37" s="831">
        <f t="shared" si="91"/>
        <v>214063</v>
      </c>
      <c r="T37" s="831">
        <f t="shared" si="91"/>
        <v>216855</v>
      </c>
      <c r="U37" s="831">
        <f t="shared" si="91"/>
        <v>232912</v>
      </c>
      <c r="V37" s="831">
        <f t="shared" si="91"/>
        <v>243519</v>
      </c>
      <c r="W37" s="831">
        <f t="shared" si="91"/>
        <v>252779</v>
      </c>
      <c r="X37" s="831">
        <f t="shared" si="91"/>
        <v>265381</v>
      </c>
      <c r="Y37" s="831">
        <v>274891</v>
      </c>
      <c r="Z37" s="780">
        <v>277409</v>
      </c>
      <c r="AA37" s="780">
        <v>272123</v>
      </c>
      <c r="AB37" s="780">
        <f>AB10+AB14+AB18+AB22+AB26+AB30</f>
        <v>273363</v>
      </c>
    </row>
    <row r="38" spans="2:28">
      <c r="B38" s="553" t="s">
        <v>62</v>
      </c>
      <c r="C38" s="831">
        <f t="shared" ref="C38" si="92">SUM(C35:C37)</f>
        <v>996235</v>
      </c>
      <c r="D38" s="831">
        <f t="shared" ref="D38" si="93">SUM(D35:D37)</f>
        <v>1005455</v>
      </c>
      <c r="E38" s="831">
        <f t="shared" ref="E38" si="94">SUM(E35:E37)</f>
        <v>1090848</v>
      </c>
      <c r="F38" s="831">
        <f t="shared" ref="F38" si="95">SUM(F35:F37)</f>
        <v>1130540</v>
      </c>
      <c r="G38" s="831">
        <f t="shared" ref="G38" si="96">SUM(G35:G37)</f>
        <v>1252737</v>
      </c>
      <c r="H38" s="831">
        <f t="shared" ref="H38" si="97">SUM(H35:H37)</f>
        <v>1268888</v>
      </c>
      <c r="I38" s="831">
        <f t="shared" ref="I38" si="98">SUM(I35:I37)</f>
        <v>1244242</v>
      </c>
      <c r="J38" s="831">
        <f t="shared" ref="J38" si="99">SUM(J35:J37)</f>
        <v>1298491</v>
      </c>
      <c r="K38" s="831">
        <f t="shared" ref="K38" si="100">SUM(K35:K37)</f>
        <v>1331398</v>
      </c>
      <c r="L38" s="831">
        <f t="shared" ref="L38" si="101">SUM(L35:L37)</f>
        <v>1434983</v>
      </c>
      <c r="M38" s="831">
        <f t="shared" ref="M38" si="102">SUM(M35:M37)</f>
        <v>1493481</v>
      </c>
      <c r="N38" s="831">
        <f t="shared" ref="N38" si="103">SUM(N35:N37)</f>
        <v>1543625</v>
      </c>
      <c r="O38" s="831">
        <f t="shared" ref="O38" si="104">SUM(O35:O37)</f>
        <v>1625516</v>
      </c>
      <c r="P38" s="831">
        <f t="shared" ref="P38" si="105">SUM(P35:P37)</f>
        <v>1801319</v>
      </c>
      <c r="Q38" s="831">
        <f t="shared" ref="Q38" si="106">SUM(Q35:Q37)</f>
        <v>1992006</v>
      </c>
      <c r="R38" s="831">
        <f t="shared" ref="R38" si="107">SUM(R35:R37)</f>
        <v>2190314</v>
      </c>
      <c r="S38" s="831">
        <f t="shared" ref="S38" si="108">SUM(S35:S37)</f>
        <v>2286729</v>
      </c>
      <c r="T38" s="831">
        <f t="shared" ref="T38" si="109">SUM(T35:T37)</f>
        <v>2470335</v>
      </c>
      <c r="U38" s="831">
        <f t="shared" ref="U38" si="110">SUM(U35:U37)</f>
        <v>2736728</v>
      </c>
      <c r="V38" s="831">
        <f t="shared" ref="V38" si="111">SUM(V35:V37)</f>
        <v>2770874</v>
      </c>
      <c r="W38" s="831">
        <f t="shared" ref="W38" si="112">SUM(W35:W37)</f>
        <v>2928293</v>
      </c>
      <c r="X38" s="831">
        <f t="shared" ref="X38" si="113">SUM(X35:X37)</f>
        <v>2809943</v>
      </c>
      <c r="Y38" s="831">
        <v>2890603</v>
      </c>
      <c r="Z38" s="125">
        <f>SUM(Z35:Z37)</f>
        <v>2950976</v>
      </c>
      <c r="AA38" s="125">
        <f>SUM(AA35:AA37)</f>
        <v>2989169</v>
      </c>
      <c r="AB38" s="125">
        <f>SUM(AB35:AB37)</f>
        <v>3136326</v>
      </c>
    </row>
    <row r="39" spans="2:28">
      <c r="C39" s="543">
        <f>C38/1000</f>
        <v>996.23500000000001</v>
      </c>
      <c r="D39" s="543">
        <f t="shared" ref="D39:X39" si="114">D38/1000</f>
        <v>1005.455</v>
      </c>
      <c r="E39" s="543">
        <f t="shared" si="114"/>
        <v>1090.848</v>
      </c>
      <c r="F39" s="543">
        <f t="shared" si="114"/>
        <v>1130.54</v>
      </c>
      <c r="G39" s="543">
        <f t="shared" si="114"/>
        <v>1252.7370000000001</v>
      </c>
      <c r="H39" s="543">
        <f t="shared" si="114"/>
        <v>1268.8879999999999</v>
      </c>
      <c r="I39" s="543">
        <f t="shared" si="114"/>
        <v>1244.242</v>
      </c>
      <c r="J39" s="543">
        <f t="shared" si="114"/>
        <v>1298.491</v>
      </c>
      <c r="K39" s="543">
        <f t="shared" si="114"/>
        <v>1331.3979999999999</v>
      </c>
      <c r="L39" s="543">
        <f t="shared" si="114"/>
        <v>1434.9829999999999</v>
      </c>
      <c r="M39" s="543">
        <f t="shared" si="114"/>
        <v>1493.481</v>
      </c>
      <c r="N39" s="543">
        <f t="shared" si="114"/>
        <v>1543.625</v>
      </c>
      <c r="O39" s="543">
        <f t="shared" si="114"/>
        <v>1625.5160000000001</v>
      </c>
      <c r="P39" s="543">
        <f t="shared" si="114"/>
        <v>1801.319</v>
      </c>
      <c r="Q39" s="543">
        <f t="shared" si="114"/>
        <v>1992.0060000000001</v>
      </c>
      <c r="R39" s="543">
        <f t="shared" si="114"/>
        <v>2190.3139999999999</v>
      </c>
      <c r="S39" s="543">
        <f t="shared" si="114"/>
        <v>2286.7289999999998</v>
      </c>
      <c r="T39" s="543">
        <f t="shared" si="114"/>
        <v>2470.335</v>
      </c>
      <c r="U39" s="543">
        <f t="shared" si="114"/>
        <v>2736.7280000000001</v>
      </c>
      <c r="V39" s="543">
        <f t="shared" si="114"/>
        <v>2770.8739999999998</v>
      </c>
      <c r="W39" s="543">
        <f t="shared" si="114"/>
        <v>2928.2930000000001</v>
      </c>
      <c r="X39" s="543">
        <f t="shared" si="114"/>
        <v>2809.9430000000002</v>
      </c>
      <c r="Y39" s="543">
        <v>2890.6030000000001</v>
      </c>
      <c r="Z39" s="123">
        <v>2951</v>
      </c>
      <c r="AA39" s="123">
        <v>2989</v>
      </c>
      <c r="AB39" s="543">
        <f>AB38/1000</f>
        <v>3136.326</v>
      </c>
    </row>
    <row r="40" spans="2:28">
      <c r="Z40" s="123"/>
      <c r="AA40" s="1180"/>
      <c r="AB40" s="1180"/>
    </row>
    <row r="41" spans="2:28">
      <c r="B41" t="s">
        <v>282</v>
      </c>
      <c r="Z41" s="123"/>
      <c r="AA41" s="123"/>
      <c r="AB41" s="123"/>
    </row>
    <row r="42" spans="2:28">
      <c r="B42" s="530" t="s">
        <v>283</v>
      </c>
      <c r="C42" s="553">
        <v>1996</v>
      </c>
      <c r="D42" s="553">
        <v>1997</v>
      </c>
      <c r="E42" s="553">
        <v>1998</v>
      </c>
      <c r="F42" s="553">
        <v>1999</v>
      </c>
      <c r="G42" s="553">
        <v>2000</v>
      </c>
      <c r="H42" s="553">
        <v>2001</v>
      </c>
      <c r="I42" s="553">
        <v>2002</v>
      </c>
      <c r="J42" s="553">
        <v>2003</v>
      </c>
      <c r="K42" s="553">
        <v>2004</v>
      </c>
      <c r="L42" s="553">
        <v>2005</v>
      </c>
      <c r="M42" s="530">
        <v>2006</v>
      </c>
      <c r="N42" s="530">
        <v>2009</v>
      </c>
      <c r="O42" s="530">
        <v>2010</v>
      </c>
      <c r="P42" s="530">
        <v>2011</v>
      </c>
      <c r="Q42" s="530">
        <v>2012</v>
      </c>
      <c r="R42" s="530">
        <v>2013</v>
      </c>
      <c r="S42" s="530">
        <v>2014</v>
      </c>
      <c r="T42" s="530">
        <v>2015</v>
      </c>
      <c r="U42" s="530">
        <v>2016</v>
      </c>
      <c r="V42" s="530">
        <v>2017</v>
      </c>
      <c r="W42" s="530">
        <v>2018</v>
      </c>
      <c r="X42" s="530">
        <v>2019</v>
      </c>
      <c r="Y42" s="530">
        <v>2020</v>
      </c>
      <c r="Z42" s="552">
        <v>2021</v>
      </c>
      <c r="AA42" s="553">
        <v>2022</v>
      </c>
      <c r="AB42" s="553">
        <v>2023</v>
      </c>
    </row>
    <row r="43" spans="2:28">
      <c r="B43" s="802" t="s">
        <v>66</v>
      </c>
      <c r="C43" s="803">
        <f t="shared" ref="C43:L43" si="115">C11</f>
        <v>221697</v>
      </c>
      <c r="D43" s="803">
        <f t="shared" si="115"/>
        <v>218592</v>
      </c>
      <c r="E43" s="803">
        <f t="shared" si="115"/>
        <v>246978</v>
      </c>
      <c r="F43" s="803">
        <f t="shared" si="115"/>
        <v>263212</v>
      </c>
      <c r="G43" s="803">
        <f t="shared" si="115"/>
        <v>279604</v>
      </c>
      <c r="H43" s="803">
        <f t="shared" si="115"/>
        <v>256693</v>
      </c>
      <c r="I43" s="803">
        <f t="shared" si="115"/>
        <v>258968</v>
      </c>
      <c r="J43" s="803">
        <f t="shared" si="115"/>
        <v>259599</v>
      </c>
      <c r="K43" s="803">
        <f t="shared" si="115"/>
        <v>255089</v>
      </c>
      <c r="L43" s="803">
        <f t="shared" si="115"/>
        <v>263152</v>
      </c>
      <c r="M43" s="803">
        <v>271885</v>
      </c>
      <c r="N43" s="803">
        <v>269943</v>
      </c>
      <c r="O43" s="803">
        <v>263346</v>
      </c>
      <c r="P43" s="803">
        <v>283411</v>
      </c>
      <c r="Q43" s="803">
        <v>292065</v>
      </c>
      <c r="R43" s="803">
        <v>292986</v>
      </c>
      <c r="S43" s="803">
        <v>295591</v>
      </c>
      <c r="T43" s="803">
        <v>291489</v>
      </c>
      <c r="U43" s="803">
        <v>303012</v>
      </c>
      <c r="V43" s="803">
        <v>301978</v>
      </c>
      <c r="W43" s="803">
        <v>301656</v>
      </c>
      <c r="X43" s="803">
        <v>300728</v>
      </c>
      <c r="Y43" s="803">
        <v>290514</v>
      </c>
      <c r="Z43" s="548">
        <v>285853</v>
      </c>
      <c r="AA43" s="551">
        <v>282820</v>
      </c>
      <c r="AB43" s="551">
        <v>297241</v>
      </c>
    </row>
    <row r="44" spans="2:28">
      <c r="B44" s="791" t="s">
        <v>55</v>
      </c>
      <c r="C44" s="792">
        <f t="shared" ref="C44:L44" si="116">C15</f>
        <v>417185</v>
      </c>
      <c r="D44" s="792">
        <f t="shared" si="116"/>
        <v>423014</v>
      </c>
      <c r="E44" s="792">
        <f t="shared" si="116"/>
        <v>448143</v>
      </c>
      <c r="F44" s="792">
        <f t="shared" si="116"/>
        <v>446458</v>
      </c>
      <c r="G44" s="792">
        <f t="shared" si="116"/>
        <v>487061</v>
      </c>
      <c r="H44" s="792">
        <f t="shared" si="116"/>
        <v>494104</v>
      </c>
      <c r="I44" s="792">
        <f t="shared" si="116"/>
        <v>472155</v>
      </c>
      <c r="J44" s="792">
        <f t="shared" si="116"/>
        <v>474246</v>
      </c>
      <c r="K44" s="792">
        <f t="shared" si="116"/>
        <v>485170</v>
      </c>
      <c r="L44" s="792">
        <f t="shared" si="116"/>
        <v>496079</v>
      </c>
      <c r="M44" s="792">
        <v>476285</v>
      </c>
      <c r="N44" s="792">
        <v>412520</v>
      </c>
      <c r="O44" s="792">
        <v>406424</v>
      </c>
      <c r="P44" s="792">
        <v>416454</v>
      </c>
      <c r="Q44" s="792">
        <v>418021</v>
      </c>
      <c r="R44" s="792">
        <v>393687</v>
      </c>
      <c r="S44" s="792">
        <v>382867</v>
      </c>
      <c r="T44" s="792">
        <v>378920</v>
      </c>
      <c r="U44" s="792">
        <v>379093</v>
      </c>
      <c r="V44" s="792">
        <v>378418</v>
      </c>
      <c r="W44" s="792">
        <v>376113</v>
      </c>
      <c r="X44" s="792">
        <v>367240</v>
      </c>
      <c r="Y44" s="792">
        <v>338309</v>
      </c>
      <c r="Z44" s="548">
        <v>325674</v>
      </c>
      <c r="AA44" s="548">
        <v>321325</v>
      </c>
      <c r="AB44" s="548">
        <v>333206</v>
      </c>
    </row>
    <row r="45" spans="2:28">
      <c r="B45" s="791" t="s">
        <v>56</v>
      </c>
      <c r="C45" s="1169"/>
      <c r="D45" s="1169"/>
      <c r="E45" s="1169"/>
      <c r="F45" s="1169"/>
      <c r="G45" s="1169"/>
      <c r="H45" s="1169"/>
      <c r="I45" s="1169"/>
      <c r="J45" s="792">
        <f t="shared" ref="J45:L45" si="117">J19</f>
        <v>113594</v>
      </c>
      <c r="K45" s="792">
        <f t="shared" si="117"/>
        <v>135293</v>
      </c>
      <c r="L45" s="792">
        <f t="shared" si="117"/>
        <v>160504</v>
      </c>
      <c r="M45" s="792">
        <v>170722</v>
      </c>
      <c r="N45" s="792">
        <v>165462</v>
      </c>
      <c r="O45" s="792">
        <v>174497</v>
      </c>
      <c r="P45" s="792">
        <v>183888</v>
      </c>
      <c r="Q45" s="792">
        <v>198192</v>
      </c>
      <c r="R45" s="792">
        <v>216608</v>
      </c>
      <c r="S45" s="792">
        <v>222431</v>
      </c>
      <c r="T45" s="792">
        <v>229374</v>
      </c>
      <c r="U45" s="792">
        <v>223928</v>
      </c>
      <c r="V45" s="792">
        <v>216097</v>
      </c>
      <c r="W45" s="792">
        <v>219897</v>
      </c>
      <c r="X45" s="792">
        <v>234021</v>
      </c>
      <c r="Y45" s="792">
        <v>246016</v>
      </c>
      <c r="Z45" s="548">
        <v>252614</v>
      </c>
      <c r="AA45" s="548">
        <v>255050</v>
      </c>
      <c r="AB45" s="548">
        <v>270743</v>
      </c>
    </row>
    <row r="46" spans="2:28">
      <c r="B46" s="791" t="s">
        <v>57</v>
      </c>
      <c r="C46" s="1169"/>
      <c r="D46" s="1169"/>
      <c r="E46" s="1169"/>
      <c r="F46" s="1169"/>
      <c r="G46" s="1169"/>
      <c r="H46" s="1169"/>
      <c r="I46" s="1169"/>
      <c r="J46" s="1169"/>
      <c r="K46" s="1169"/>
      <c r="L46" s="1169"/>
      <c r="M46" s="792">
        <v>130454</v>
      </c>
      <c r="N46" s="792">
        <v>243993</v>
      </c>
      <c r="O46" s="792">
        <v>312507</v>
      </c>
      <c r="P46" s="792">
        <v>439293</v>
      </c>
      <c r="Q46" s="792">
        <v>562667</v>
      </c>
      <c r="R46" s="792">
        <v>736644</v>
      </c>
      <c r="S46" s="792">
        <v>839122</v>
      </c>
      <c r="T46" s="792">
        <v>1011854</v>
      </c>
      <c r="U46" s="792">
        <v>1265436</v>
      </c>
      <c r="V46" s="792">
        <v>1318556</v>
      </c>
      <c r="W46" s="792">
        <v>1476665</v>
      </c>
      <c r="X46" s="792">
        <v>1336626</v>
      </c>
      <c r="Y46" s="792">
        <v>1456987</v>
      </c>
      <c r="Z46" s="548">
        <v>1545527</v>
      </c>
      <c r="AA46" s="548">
        <v>1585532</v>
      </c>
      <c r="AB46" s="548">
        <v>1646966</v>
      </c>
    </row>
    <row r="47" spans="2:28">
      <c r="B47" s="791" t="s">
        <v>58</v>
      </c>
      <c r="C47" s="792">
        <f t="shared" ref="C47:L47" si="118">C27</f>
        <v>183559</v>
      </c>
      <c r="D47" s="792">
        <f t="shared" si="118"/>
        <v>193140</v>
      </c>
      <c r="E47" s="792">
        <f t="shared" si="118"/>
        <v>230540</v>
      </c>
      <c r="F47" s="792">
        <f t="shared" si="118"/>
        <v>246138</v>
      </c>
      <c r="G47" s="792">
        <f t="shared" si="118"/>
        <v>273357</v>
      </c>
      <c r="H47" s="792">
        <f t="shared" si="118"/>
        <v>273475</v>
      </c>
      <c r="I47" s="792">
        <f t="shared" si="118"/>
        <v>268891</v>
      </c>
      <c r="J47" s="792">
        <f t="shared" si="118"/>
        <v>277859</v>
      </c>
      <c r="K47" s="792">
        <f t="shared" si="118"/>
        <v>271600</v>
      </c>
      <c r="L47" s="792">
        <f t="shared" si="118"/>
        <v>302064</v>
      </c>
      <c r="M47" s="792">
        <v>316361</v>
      </c>
      <c r="N47" s="792">
        <v>301518</v>
      </c>
      <c r="O47" s="792">
        <v>327169</v>
      </c>
      <c r="P47" s="792">
        <v>339488</v>
      </c>
      <c r="Q47" s="792">
        <v>367418</v>
      </c>
      <c r="R47" s="792">
        <v>387191</v>
      </c>
      <c r="S47" s="792">
        <v>387287</v>
      </c>
      <c r="T47" s="792">
        <v>383348</v>
      </c>
      <c r="U47" s="792">
        <v>394345</v>
      </c>
      <c r="V47" s="792">
        <v>386773</v>
      </c>
      <c r="W47" s="792">
        <v>377569</v>
      </c>
      <c r="X47" s="792">
        <v>378445</v>
      </c>
      <c r="Y47" s="792">
        <v>358841</v>
      </c>
      <c r="Z47" s="548">
        <v>355827</v>
      </c>
      <c r="AA47" s="548">
        <v>345286</v>
      </c>
      <c r="AB47" s="548">
        <v>380030</v>
      </c>
    </row>
    <row r="48" spans="2:28">
      <c r="B48" s="830" t="s">
        <v>59</v>
      </c>
      <c r="C48" s="831">
        <f t="shared" ref="C48:L48" si="119">C31</f>
        <v>173794</v>
      </c>
      <c r="D48" s="831">
        <f t="shared" si="119"/>
        <v>170709</v>
      </c>
      <c r="E48" s="831">
        <f t="shared" si="119"/>
        <v>165187</v>
      </c>
      <c r="F48" s="831">
        <f t="shared" si="119"/>
        <v>174732</v>
      </c>
      <c r="G48" s="831">
        <f t="shared" si="119"/>
        <v>212715</v>
      </c>
      <c r="H48" s="831">
        <f t="shared" si="119"/>
        <v>244616</v>
      </c>
      <c r="I48" s="831">
        <f t="shared" si="119"/>
        <v>244228</v>
      </c>
      <c r="J48" s="831">
        <f t="shared" si="119"/>
        <v>173193</v>
      </c>
      <c r="K48" s="831">
        <f t="shared" si="119"/>
        <v>184246</v>
      </c>
      <c r="L48" s="831">
        <f t="shared" si="119"/>
        <v>213184</v>
      </c>
      <c r="M48" s="831">
        <v>127774</v>
      </c>
      <c r="N48" s="831">
        <v>150195</v>
      </c>
      <c r="O48" s="831">
        <v>141573</v>
      </c>
      <c r="P48" s="831">
        <v>138785</v>
      </c>
      <c r="Q48" s="831">
        <v>153643</v>
      </c>
      <c r="R48" s="831">
        <v>163198</v>
      </c>
      <c r="S48" s="831">
        <v>159431</v>
      </c>
      <c r="T48" s="831">
        <v>175350</v>
      </c>
      <c r="U48" s="831">
        <v>170914</v>
      </c>
      <c r="V48" s="831">
        <v>169052</v>
      </c>
      <c r="W48" s="831">
        <v>176393</v>
      </c>
      <c r="X48" s="831">
        <v>192883</v>
      </c>
      <c r="Y48" s="831">
        <v>199936</v>
      </c>
      <c r="Z48" s="780">
        <v>185481</v>
      </c>
      <c r="AA48" s="780">
        <v>199156</v>
      </c>
      <c r="AB48" s="780">
        <v>208140</v>
      </c>
    </row>
    <row r="49" spans="2:54">
      <c r="B49" s="538" t="s">
        <v>62</v>
      </c>
      <c r="C49" s="539">
        <f t="shared" ref="C49:M49" si="120">SUM(C43:C48)</f>
        <v>996235</v>
      </c>
      <c r="D49" s="539">
        <f t="shared" si="120"/>
        <v>1005455</v>
      </c>
      <c r="E49" s="539">
        <f t="shared" si="120"/>
        <v>1090848</v>
      </c>
      <c r="F49" s="539">
        <f t="shared" si="120"/>
        <v>1130540</v>
      </c>
      <c r="G49" s="539">
        <f t="shared" si="120"/>
        <v>1252737</v>
      </c>
      <c r="H49" s="539">
        <f t="shared" si="120"/>
        <v>1268888</v>
      </c>
      <c r="I49" s="539">
        <f t="shared" si="120"/>
        <v>1244242</v>
      </c>
      <c r="J49" s="539">
        <f t="shared" si="120"/>
        <v>1298491</v>
      </c>
      <c r="K49" s="539">
        <f t="shared" si="120"/>
        <v>1331398</v>
      </c>
      <c r="L49" s="539">
        <f t="shared" si="120"/>
        <v>1434983</v>
      </c>
      <c r="M49" s="539">
        <f t="shared" si="120"/>
        <v>1493481</v>
      </c>
      <c r="N49" s="539">
        <f t="shared" ref="N49:X49" si="121">SUM(N43:N48)</f>
        <v>1543631</v>
      </c>
      <c r="O49" s="539">
        <f t="shared" si="121"/>
        <v>1625516</v>
      </c>
      <c r="P49" s="539">
        <f t="shared" si="121"/>
        <v>1801319</v>
      </c>
      <c r="Q49" s="539">
        <f t="shared" si="121"/>
        <v>1992006</v>
      </c>
      <c r="R49" s="539">
        <f t="shared" si="121"/>
        <v>2190314</v>
      </c>
      <c r="S49" s="539">
        <f t="shared" si="121"/>
        <v>2286729</v>
      </c>
      <c r="T49" s="539">
        <f t="shared" si="121"/>
        <v>2470335</v>
      </c>
      <c r="U49" s="539">
        <f t="shared" si="121"/>
        <v>2736728</v>
      </c>
      <c r="V49" s="539">
        <f t="shared" si="121"/>
        <v>2770874</v>
      </c>
      <c r="W49" s="539">
        <f t="shared" si="121"/>
        <v>2928293</v>
      </c>
      <c r="X49" s="539">
        <f t="shared" si="121"/>
        <v>2809943</v>
      </c>
      <c r="Y49" s="539">
        <v>2890603</v>
      </c>
      <c r="Z49" s="125">
        <f>SUM(Z43:Z48)</f>
        <v>2950976</v>
      </c>
      <c r="AA49" s="780">
        <f>SUM(AA43:AA48)</f>
        <v>2989169</v>
      </c>
      <c r="AB49" s="780">
        <f>SUM(AB43:AB48)</f>
        <v>3136326</v>
      </c>
    </row>
    <row r="50" spans="2:54">
      <c r="Z50" s="571"/>
      <c r="AA50" s="571"/>
      <c r="AB50" s="571"/>
    </row>
    <row r="51" spans="2:54">
      <c r="Z51" s="571"/>
      <c r="AA51" s="571"/>
      <c r="AB51" s="571"/>
    </row>
    <row r="52" spans="2:54">
      <c r="B52" t="s">
        <v>284</v>
      </c>
      <c r="Z52" s="571"/>
      <c r="AA52" s="571"/>
      <c r="AB52" s="571"/>
    </row>
    <row r="53" spans="2:54">
      <c r="B53" s="530" t="s">
        <v>283</v>
      </c>
      <c r="C53" s="553">
        <v>1996</v>
      </c>
      <c r="D53" s="553">
        <v>1997</v>
      </c>
      <c r="E53" s="553">
        <v>1998</v>
      </c>
      <c r="F53" s="553">
        <v>1999</v>
      </c>
      <c r="G53" s="553">
        <v>2000</v>
      </c>
      <c r="H53" s="553">
        <v>2001</v>
      </c>
      <c r="I53" s="553">
        <v>2002</v>
      </c>
      <c r="J53" s="553">
        <v>2003</v>
      </c>
      <c r="K53" s="553">
        <v>2004</v>
      </c>
      <c r="L53" s="553">
        <v>2005</v>
      </c>
      <c r="M53" s="530">
        <v>2006</v>
      </c>
      <c r="N53" s="530">
        <v>2009</v>
      </c>
      <c r="O53" s="530">
        <v>2010</v>
      </c>
      <c r="P53" s="530">
        <v>2011</v>
      </c>
      <c r="Q53" s="530">
        <v>2012</v>
      </c>
      <c r="R53" s="530">
        <v>2013</v>
      </c>
      <c r="S53" s="530">
        <v>2014</v>
      </c>
      <c r="T53" s="530">
        <v>2015</v>
      </c>
      <c r="U53" s="530">
        <v>2016</v>
      </c>
      <c r="V53" s="530">
        <v>2017</v>
      </c>
      <c r="W53" s="530">
        <v>2018</v>
      </c>
      <c r="X53" s="530">
        <v>2019</v>
      </c>
      <c r="Y53" s="530">
        <v>2020</v>
      </c>
      <c r="Z53" s="552">
        <v>2021</v>
      </c>
      <c r="AA53" s="530">
        <v>2022</v>
      </c>
      <c r="AB53" s="530">
        <v>2023</v>
      </c>
    </row>
    <row r="54" spans="2:54">
      <c r="B54" s="802" t="s">
        <v>66</v>
      </c>
      <c r="C54" s="1171"/>
      <c r="D54" s="1171"/>
      <c r="E54" s="1171"/>
      <c r="F54" s="1171"/>
      <c r="G54" s="1171"/>
      <c r="H54" s="1171"/>
      <c r="I54" s="1171"/>
      <c r="J54" s="1171"/>
      <c r="K54" s="1171"/>
      <c r="L54" s="1171"/>
      <c r="M54" s="803">
        <v>157075</v>
      </c>
      <c r="N54" s="803">
        <v>155905</v>
      </c>
      <c r="O54" s="803">
        <v>146415</v>
      </c>
      <c r="P54" s="803">
        <v>158897</v>
      </c>
      <c r="Q54" s="803">
        <v>160034</v>
      </c>
      <c r="R54" s="803">
        <v>159040</v>
      </c>
      <c r="S54" s="803">
        <v>160767</v>
      </c>
      <c r="T54" s="803">
        <v>152609</v>
      </c>
      <c r="U54" s="803">
        <v>161929</v>
      </c>
      <c r="V54" s="803">
        <v>162876</v>
      </c>
      <c r="W54" s="803">
        <v>160497</v>
      </c>
      <c r="X54" s="803">
        <v>160816</v>
      </c>
      <c r="Y54" s="803">
        <v>155317</v>
      </c>
      <c r="Z54" s="548">
        <v>152120</v>
      </c>
      <c r="AA54" s="551">
        <v>147446</v>
      </c>
      <c r="AB54" s="551">
        <v>153114</v>
      </c>
    </row>
    <row r="55" spans="2:54" ht="18">
      <c r="B55" s="791" t="s">
        <v>55</v>
      </c>
      <c r="C55" s="1172"/>
      <c r="D55" s="1172"/>
      <c r="E55" s="1172"/>
      <c r="F55" s="1172"/>
      <c r="G55" s="1172"/>
      <c r="H55" s="1172"/>
      <c r="I55" s="1172"/>
      <c r="J55" s="1172"/>
      <c r="K55" s="1172"/>
      <c r="L55" s="1172"/>
      <c r="M55" s="792">
        <v>336013</v>
      </c>
      <c r="N55" s="792">
        <v>282359</v>
      </c>
      <c r="O55" s="792">
        <v>276156</v>
      </c>
      <c r="P55" s="792">
        <v>271683</v>
      </c>
      <c r="Q55" s="792">
        <v>269132</v>
      </c>
      <c r="R55" s="792">
        <v>252391</v>
      </c>
      <c r="S55" s="792">
        <v>245343</v>
      </c>
      <c r="T55" s="792">
        <v>237574</v>
      </c>
      <c r="U55" s="792">
        <v>238167</v>
      </c>
      <c r="V55" s="792">
        <v>236216</v>
      </c>
      <c r="W55" s="792">
        <v>228705</v>
      </c>
      <c r="X55" s="792">
        <v>219138</v>
      </c>
      <c r="Y55" s="792">
        <v>200385</v>
      </c>
      <c r="Z55" s="548">
        <v>194630</v>
      </c>
      <c r="AA55" s="548">
        <v>190549</v>
      </c>
      <c r="AB55" s="548">
        <v>199872</v>
      </c>
      <c r="AE55" s="1181" t="s">
        <v>285</v>
      </c>
      <c r="AF55" s="1182"/>
      <c r="AG55" s="1182"/>
      <c r="AH55" s="1182"/>
      <c r="AI55" s="1182"/>
      <c r="AJ55" s="1182"/>
      <c r="AK55" s="1182"/>
      <c r="AL55" s="1182"/>
      <c r="AM55" s="1182"/>
      <c r="AN55" s="1182"/>
      <c r="AO55" s="1182"/>
      <c r="AP55" s="1182"/>
      <c r="AQ55" s="1182"/>
      <c r="AR55" s="1182"/>
      <c r="AS55" s="1182"/>
      <c r="AT55" s="1182"/>
      <c r="AU55" s="1182"/>
      <c r="AV55" s="1182"/>
      <c r="AW55" s="1182"/>
      <c r="AX55" s="1182"/>
      <c r="AY55" s="1182"/>
      <c r="AZ55" s="1182"/>
      <c r="BA55" s="1182"/>
      <c r="BB55" s="1189"/>
    </row>
    <row r="56" spans="2:54" ht="18">
      <c r="B56" s="791" t="s">
        <v>56</v>
      </c>
      <c r="C56" s="1172"/>
      <c r="D56" s="1172"/>
      <c r="E56" s="1172"/>
      <c r="F56" s="1172"/>
      <c r="G56" s="1172"/>
      <c r="H56" s="1172"/>
      <c r="I56" s="1172"/>
      <c r="J56" s="1172"/>
      <c r="K56" s="1172"/>
      <c r="L56" s="1172"/>
      <c r="M56" s="792">
        <v>125249</v>
      </c>
      <c r="N56" s="792">
        <v>126988</v>
      </c>
      <c r="O56" s="792">
        <v>131461</v>
      </c>
      <c r="P56" s="792">
        <v>137671</v>
      </c>
      <c r="Q56" s="792">
        <v>147694</v>
      </c>
      <c r="R56" s="792">
        <v>159248</v>
      </c>
      <c r="S56" s="792">
        <v>163185</v>
      </c>
      <c r="T56" s="792">
        <v>166376</v>
      </c>
      <c r="U56" s="792">
        <v>162297</v>
      </c>
      <c r="V56" s="792">
        <v>158190</v>
      </c>
      <c r="W56" s="792">
        <v>161646</v>
      </c>
      <c r="X56" s="792">
        <v>170377</v>
      </c>
      <c r="Y56" s="792">
        <v>179500</v>
      </c>
      <c r="Z56" s="548">
        <v>184746</v>
      </c>
      <c r="AA56" s="548">
        <v>181505</v>
      </c>
      <c r="AB56" s="548">
        <v>189158</v>
      </c>
      <c r="AE56" s="1183"/>
      <c r="AF56" s="1184"/>
      <c r="AG56" s="1184"/>
      <c r="AH56" s="1184"/>
      <c r="AI56" s="1184"/>
      <c r="AJ56" s="1184"/>
      <c r="AK56" s="1184"/>
      <c r="AL56" s="1184"/>
      <c r="AM56" s="1184"/>
      <c r="AN56" s="1184"/>
      <c r="AO56" s="1184"/>
      <c r="AP56" s="1184"/>
      <c r="AQ56" s="1184"/>
      <c r="AR56" s="1184"/>
      <c r="AS56" s="1184"/>
      <c r="AT56" s="1184"/>
      <c r="AU56" s="1184"/>
      <c r="AV56" s="1184"/>
      <c r="AW56" s="1184"/>
      <c r="AX56" s="1184"/>
      <c r="AY56" s="1184"/>
      <c r="AZ56" s="1184"/>
      <c r="BA56" s="1184"/>
      <c r="BB56" s="1190"/>
    </row>
    <row r="57" spans="2:54">
      <c r="B57" s="791" t="s">
        <v>57</v>
      </c>
      <c r="C57" s="1172"/>
      <c r="D57" s="1172"/>
      <c r="E57" s="1172"/>
      <c r="F57" s="1172"/>
      <c r="G57" s="1172"/>
      <c r="H57" s="1172"/>
      <c r="I57" s="1172"/>
      <c r="J57" s="1172"/>
      <c r="K57" s="1172"/>
      <c r="L57" s="1172"/>
      <c r="M57" s="792">
        <v>121968</v>
      </c>
      <c r="N57" s="792">
        <v>228456</v>
      </c>
      <c r="O57" s="792">
        <v>291960</v>
      </c>
      <c r="P57" s="792">
        <v>413540</v>
      </c>
      <c r="Q57" s="792">
        <v>533245</v>
      </c>
      <c r="R57" s="792">
        <v>702013</v>
      </c>
      <c r="S57" s="792">
        <v>798074</v>
      </c>
      <c r="T57" s="792">
        <v>965137</v>
      </c>
      <c r="U57" s="792">
        <v>1200383</v>
      </c>
      <c r="V57" s="792">
        <v>1245128</v>
      </c>
      <c r="W57" s="792">
        <v>1393195</v>
      </c>
      <c r="X57" s="792">
        <v>1242826</v>
      </c>
      <c r="Y57" s="792">
        <v>1344166</v>
      </c>
      <c r="Z57" s="548">
        <v>1425749</v>
      </c>
      <c r="AA57" s="548">
        <v>1463796</v>
      </c>
      <c r="AB57" s="548">
        <v>1521441</v>
      </c>
      <c r="AE57" s="1185"/>
      <c r="AF57" s="1186"/>
      <c r="AG57" s="1186"/>
      <c r="AH57" s="1186"/>
      <c r="AI57" s="1186"/>
      <c r="AJ57" s="1186"/>
      <c r="AK57" s="1186"/>
      <c r="AL57" s="1186"/>
      <c r="AM57" s="1186"/>
      <c r="AN57" s="1186"/>
      <c r="AO57" s="1186"/>
      <c r="AP57" s="1186"/>
      <c r="AQ57" s="1186"/>
      <c r="AR57" s="1186"/>
      <c r="AS57" s="1186"/>
      <c r="AT57" s="1186"/>
      <c r="AU57" s="1186"/>
      <c r="AV57" s="1186"/>
      <c r="AW57" s="1186"/>
      <c r="AX57" s="1186"/>
      <c r="AY57" s="1186"/>
      <c r="AZ57" s="1186"/>
      <c r="BA57" s="1186"/>
      <c r="BB57" s="1191"/>
    </row>
    <row r="58" spans="2:54">
      <c r="B58" s="791" t="s">
        <v>58</v>
      </c>
      <c r="C58" s="1172"/>
      <c r="D58" s="1172"/>
      <c r="E58" s="1172"/>
      <c r="F58" s="1172"/>
      <c r="G58" s="1172"/>
      <c r="H58" s="1172"/>
      <c r="I58" s="1172"/>
      <c r="J58" s="1172"/>
      <c r="K58" s="1172"/>
      <c r="L58" s="1172"/>
      <c r="M58" s="792">
        <v>215904</v>
      </c>
      <c r="N58" s="792">
        <v>213093</v>
      </c>
      <c r="O58" s="792">
        <v>227907</v>
      </c>
      <c r="P58" s="792">
        <v>231630</v>
      </c>
      <c r="Q58" s="792">
        <v>250617</v>
      </c>
      <c r="R58" s="792">
        <v>264923</v>
      </c>
      <c r="S58" s="792">
        <v>260984</v>
      </c>
      <c r="T58" s="792">
        <v>260274</v>
      </c>
      <c r="U58" s="792">
        <v>264685</v>
      </c>
      <c r="V58" s="792">
        <v>260824</v>
      </c>
      <c r="W58" s="792">
        <v>250372</v>
      </c>
      <c r="X58" s="792">
        <v>248498</v>
      </c>
      <c r="Y58" s="792">
        <v>232914</v>
      </c>
      <c r="Z58" s="548">
        <v>224805</v>
      </c>
      <c r="AA58" s="548">
        <v>214461</v>
      </c>
      <c r="AB58" s="548">
        <v>249472</v>
      </c>
      <c r="AE58" s="1185"/>
      <c r="AF58" s="1186"/>
      <c r="AG58" s="1186"/>
      <c r="AH58" s="1186"/>
      <c r="AI58" s="1186"/>
      <c r="AJ58" s="1186"/>
      <c r="AK58" s="1186"/>
      <c r="AL58" s="1186"/>
      <c r="AM58" s="1186"/>
      <c r="AN58" s="1186"/>
      <c r="AO58" s="1186"/>
      <c r="AP58" s="1186"/>
      <c r="AQ58" s="1186"/>
      <c r="AR58" s="1186"/>
      <c r="AS58" s="1186"/>
      <c r="AT58" s="1186"/>
      <c r="AU58" s="1186"/>
      <c r="AV58" s="1186"/>
      <c r="AW58" s="1186"/>
      <c r="AX58" s="1186"/>
      <c r="AY58" s="1186"/>
      <c r="AZ58" s="1186"/>
      <c r="BA58" s="1186"/>
      <c r="BB58" s="1191"/>
    </row>
    <row r="59" spans="2:54">
      <c r="B59" s="830" t="s">
        <v>59</v>
      </c>
      <c r="C59" s="1173"/>
      <c r="D59" s="1173"/>
      <c r="E59" s="1173"/>
      <c r="F59" s="1173"/>
      <c r="G59" s="1173"/>
      <c r="H59" s="1173"/>
      <c r="I59" s="1173"/>
      <c r="J59" s="1173"/>
      <c r="K59" s="1173"/>
      <c r="L59" s="1173"/>
      <c r="M59" s="831">
        <v>67267</v>
      </c>
      <c r="N59" s="831">
        <v>90967</v>
      </c>
      <c r="O59" s="831">
        <v>75974</v>
      </c>
      <c r="P59" s="831">
        <v>72293</v>
      </c>
      <c r="Q59" s="831">
        <v>82521</v>
      </c>
      <c r="R59" s="831">
        <v>89590</v>
      </c>
      <c r="S59" s="831">
        <v>85346</v>
      </c>
      <c r="T59" s="831">
        <v>89665</v>
      </c>
      <c r="U59" s="831">
        <v>92794</v>
      </c>
      <c r="V59" s="831">
        <v>90142</v>
      </c>
      <c r="W59" s="831">
        <v>91937</v>
      </c>
      <c r="X59" s="831">
        <v>91527</v>
      </c>
      <c r="Y59" s="831">
        <v>102268</v>
      </c>
      <c r="Z59" s="780">
        <v>90711</v>
      </c>
      <c r="AA59" s="780">
        <v>107895</v>
      </c>
      <c r="AB59" s="780">
        <v>122353</v>
      </c>
      <c r="AE59" s="1185"/>
      <c r="AF59" s="1186"/>
      <c r="AG59" s="1186"/>
      <c r="AH59" s="1186"/>
      <c r="AI59" s="1186"/>
      <c r="AJ59" s="1186"/>
      <c r="AK59" s="1186"/>
      <c r="AL59" s="1186"/>
      <c r="AM59" s="1186"/>
      <c r="AN59" s="1186"/>
      <c r="AO59" s="1186"/>
      <c r="AP59" s="1186"/>
      <c r="AQ59" s="1186"/>
      <c r="AR59" s="1186"/>
      <c r="AS59" s="1186"/>
      <c r="AT59" s="1186"/>
      <c r="AU59" s="1186"/>
      <c r="AV59" s="1186"/>
      <c r="AW59" s="1186"/>
      <c r="AX59" s="1186"/>
      <c r="AY59" s="1186"/>
      <c r="AZ59" s="1186"/>
      <c r="BA59" s="1186"/>
      <c r="BB59" s="1191"/>
    </row>
    <row r="60" spans="2:54">
      <c r="B60" s="538" t="s">
        <v>62</v>
      </c>
      <c r="C60" s="1174"/>
      <c r="D60" s="1174"/>
      <c r="E60" s="1174"/>
      <c r="F60" s="1174"/>
      <c r="G60" s="1174"/>
      <c r="H60" s="1174"/>
      <c r="I60" s="1174"/>
      <c r="J60" s="1174"/>
      <c r="K60" s="1174"/>
      <c r="L60" s="1174"/>
      <c r="M60" s="539">
        <f>SUM(M54:M59)</f>
        <v>1023476</v>
      </c>
      <c r="N60" s="539">
        <f t="shared" ref="N60" si="122">SUM(N54:N59)</f>
        <v>1097768</v>
      </c>
      <c r="O60" s="539">
        <f t="shared" ref="O60" si="123">SUM(O54:O59)</f>
        <v>1149873</v>
      </c>
      <c r="P60" s="539">
        <f t="shared" ref="P60" si="124">SUM(P54:P59)</f>
        <v>1285714</v>
      </c>
      <c r="Q60" s="539">
        <f t="shared" ref="Q60" si="125">SUM(Q54:Q59)</f>
        <v>1443243</v>
      </c>
      <c r="R60" s="539">
        <f t="shared" ref="R60" si="126">SUM(R54:R59)</f>
        <v>1627205</v>
      </c>
      <c r="S60" s="539">
        <f t="shared" ref="S60" si="127">SUM(S54:S59)</f>
        <v>1713699</v>
      </c>
      <c r="T60" s="539">
        <f t="shared" ref="T60" si="128">SUM(T54:T59)</f>
        <v>1871635</v>
      </c>
      <c r="U60" s="539">
        <f t="shared" ref="U60" si="129">SUM(U54:U59)</f>
        <v>2120255</v>
      </c>
      <c r="V60" s="539">
        <f t="shared" ref="V60" si="130">SUM(V54:V59)</f>
        <v>2153376</v>
      </c>
      <c r="W60" s="539">
        <f t="shared" ref="W60" si="131">SUM(W54:W59)</f>
        <v>2286352</v>
      </c>
      <c r="X60" s="539">
        <f t="shared" ref="X60" si="132">SUM(X54:X59)</f>
        <v>2133182</v>
      </c>
      <c r="Y60" s="539">
        <v>2214550</v>
      </c>
      <c r="Z60" s="125">
        <f>SUM(Z54:Z59)</f>
        <v>2272761</v>
      </c>
      <c r="AA60" s="125">
        <f>SUM(AA54:AA59)</f>
        <v>2305652</v>
      </c>
      <c r="AB60" s="125">
        <f>SUM(AB54:AB59)</f>
        <v>2435410</v>
      </c>
      <c r="AE60" s="1185"/>
      <c r="AF60" s="1186"/>
      <c r="AG60" s="1186"/>
      <c r="AH60" s="1186"/>
      <c r="AI60" s="1186"/>
      <c r="AJ60" s="1186"/>
      <c r="AK60" s="1186"/>
      <c r="AL60" s="1186"/>
      <c r="AM60" s="1186"/>
      <c r="AN60" s="1186"/>
      <c r="AO60" s="1186"/>
      <c r="AP60" s="1186"/>
      <c r="AQ60" s="1186"/>
      <c r="AR60" s="1186"/>
      <c r="AS60" s="1186"/>
      <c r="AT60" s="1186"/>
      <c r="AU60" s="1186"/>
      <c r="AV60" s="1186"/>
      <c r="AW60" s="1186"/>
      <c r="AX60" s="1186"/>
      <c r="AY60" s="1186"/>
      <c r="AZ60" s="1186"/>
      <c r="BA60" s="1186"/>
      <c r="BB60" s="1191"/>
    </row>
    <row r="61" spans="2:54">
      <c r="Z61" s="571"/>
      <c r="AA61" s="571"/>
      <c r="AB61" s="571"/>
      <c r="AE61" s="1185"/>
      <c r="AF61" s="1186"/>
      <c r="AG61" s="1186"/>
      <c r="AH61" s="1186"/>
      <c r="AI61" s="1186"/>
      <c r="AJ61" s="1186"/>
      <c r="AK61" s="1186"/>
      <c r="AL61" s="1186"/>
      <c r="AM61" s="1186"/>
      <c r="AN61" s="1186"/>
      <c r="AO61" s="1186"/>
      <c r="AP61" s="1186"/>
      <c r="AQ61" s="1186"/>
      <c r="AR61" s="1186"/>
      <c r="AS61" s="1186"/>
      <c r="AT61" s="1186"/>
      <c r="AU61" s="1186"/>
      <c r="AV61" s="1186"/>
      <c r="AW61" s="1186"/>
      <c r="AX61" s="1186"/>
      <c r="AY61" s="1186"/>
      <c r="AZ61" s="1186"/>
      <c r="BA61" s="1186"/>
      <c r="BB61" s="1191"/>
    </row>
    <row r="62" spans="2:54">
      <c r="B62" s="1109" t="s">
        <v>283</v>
      </c>
      <c r="C62" s="553">
        <v>1996</v>
      </c>
      <c r="D62" s="553">
        <v>1997</v>
      </c>
      <c r="E62" s="553">
        <v>1998</v>
      </c>
      <c r="F62" s="553">
        <v>1999</v>
      </c>
      <c r="G62" s="553">
        <v>2000</v>
      </c>
      <c r="H62" s="553">
        <v>2001</v>
      </c>
      <c r="I62" s="553">
        <v>2002</v>
      </c>
      <c r="J62" s="553">
        <v>2003</v>
      </c>
      <c r="K62" s="553">
        <v>2004</v>
      </c>
      <c r="L62" s="553">
        <v>2005</v>
      </c>
      <c r="M62" s="530">
        <v>2006</v>
      </c>
      <c r="N62" s="530">
        <v>2009</v>
      </c>
      <c r="O62" s="530">
        <v>2010</v>
      </c>
      <c r="P62" s="530">
        <v>2011</v>
      </c>
      <c r="Q62" s="530">
        <v>2012</v>
      </c>
      <c r="R62" s="530">
        <v>2013</v>
      </c>
      <c r="S62" s="530">
        <v>2014</v>
      </c>
      <c r="T62" s="530">
        <v>2015</v>
      </c>
      <c r="U62" s="530">
        <v>2016</v>
      </c>
      <c r="V62" s="530">
        <v>2017</v>
      </c>
      <c r="W62" s="530">
        <v>2018</v>
      </c>
      <c r="X62" s="530">
        <v>2019</v>
      </c>
      <c r="Y62" s="813">
        <v>2020</v>
      </c>
      <c r="Z62" s="552">
        <v>2021</v>
      </c>
      <c r="AA62" s="813">
        <v>2022</v>
      </c>
      <c r="AB62" s="813">
        <v>2023</v>
      </c>
      <c r="AE62" s="1185"/>
      <c r="AF62" s="1186"/>
      <c r="AG62" s="1186"/>
      <c r="AH62" s="1186"/>
      <c r="AI62" s="1186"/>
      <c r="AJ62" s="1186"/>
      <c r="AK62" s="1186"/>
      <c r="AL62" s="1186"/>
      <c r="AM62" s="1186"/>
      <c r="AN62" s="1186"/>
      <c r="AO62" s="1186"/>
      <c r="AP62" s="1186"/>
      <c r="AQ62" s="1186"/>
      <c r="AR62" s="1186"/>
      <c r="AS62" s="1186"/>
      <c r="AT62" s="1186"/>
      <c r="AU62" s="1186"/>
      <c r="AV62" s="1186"/>
      <c r="AW62" s="1186"/>
      <c r="AX62" s="1186"/>
      <c r="AY62" s="1186"/>
      <c r="AZ62" s="1186"/>
      <c r="BA62" s="1186"/>
      <c r="BB62" s="1191"/>
    </row>
    <row r="63" spans="2:54">
      <c r="B63" s="1175" t="s">
        <v>66</v>
      </c>
      <c r="C63" s="1176"/>
      <c r="D63" s="1176"/>
      <c r="E63" s="1176"/>
      <c r="F63" s="1176"/>
      <c r="G63" s="1176"/>
      <c r="H63" s="1176"/>
      <c r="I63" s="1176"/>
      <c r="J63" s="1176"/>
      <c r="K63" s="1176"/>
      <c r="L63" s="1176"/>
      <c r="M63" s="1179">
        <f t="shared" ref="M63:X63" si="133">M54/M43</f>
        <v>0.57772587674936104</v>
      </c>
      <c r="N63" s="1179">
        <f t="shared" si="133"/>
        <v>0.577547852694828</v>
      </c>
      <c r="O63" s="1179">
        <f t="shared" si="133"/>
        <v>0.55597958579207596</v>
      </c>
      <c r="P63" s="1179">
        <f t="shared" si="133"/>
        <v>0.56065925458080301</v>
      </c>
      <c r="Q63" s="1179">
        <f t="shared" si="133"/>
        <v>0.54793967096365503</v>
      </c>
      <c r="R63" s="1179">
        <f t="shared" si="133"/>
        <v>0.54282457182254396</v>
      </c>
      <c r="S63" s="1179">
        <f t="shared" si="133"/>
        <v>0.543883271141544</v>
      </c>
      <c r="T63" s="1179">
        <f t="shared" si="133"/>
        <v>0.52354977374789402</v>
      </c>
      <c r="U63" s="1179">
        <f t="shared" si="133"/>
        <v>0.53439797763784902</v>
      </c>
      <c r="V63" s="1179">
        <f t="shared" si="133"/>
        <v>0.53936379471352203</v>
      </c>
      <c r="W63" s="1179">
        <f t="shared" si="133"/>
        <v>0.53205306706977495</v>
      </c>
      <c r="X63" s="1179">
        <f t="shared" si="133"/>
        <v>0.53475565959937199</v>
      </c>
      <c r="Y63" s="1187">
        <v>0.53462827953213998</v>
      </c>
      <c r="Z63" s="786">
        <v>0.53</v>
      </c>
      <c r="AA63" s="785">
        <v>0.52134219645003899</v>
      </c>
      <c r="AB63" s="785">
        <f t="shared" ref="AB63:AB68" si="134">AB54/AB43</f>
        <v>0.51511736267876895</v>
      </c>
      <c r="AE63" s="1185"/>
      <c r="AF63" s="1186"/>
      <c r="AG63" s="1186"/>
      <c r="AH63" s="1186"/>
      <c r="AI63" s="1186"/>
      <c r="AJ63" s="1186"/>
      <c r="AK63" s="1186"/>
      <c r="AL63" s="1186"/>
      <c r="AM63" s="1186"/>
      <c r="AN63" s="1186"/>
      <c r="AO63" s="1186"/>
      <c r="AP63" s="1186"/>
      <c r="AQ63" s="1186"/>
      <c r="AR63" s="1186"/>
      <c r="AS63" s="1186"/>
      <c r="AT63" s="1186"/>
      <c r="AU63" s="1186"/>
      <c r="AV63" s="1186"/>
      <c r="AW63" s="1186"/>
      <c r="AX63" s="1186"/>
      <c r="AY63" s="1186"/>
      <c r="AZ63" s="1186"/>
      <c r="BA63" s="1186"/>
      <c r="BB63" s="1191"/>
    </row>
    <row r="64" spans="2:54">
      <c r="B64" s="1177" t="s">
        <v>55</v>
      </c>
      <c r="C64" s="1178"/>
      <c r="D64" s="1178"/>
      <c r="E64" s="1178"/>
      <c r="F64" s="1178"/>
      <c r="G64" s="1178"/>
      <c r="H64" s="1178"/>
      <c r="I64" s="1178"/>
      <c r="J64" s="1178"/>
      <c r="K64" s="1178"/>
      <c r="L64" s="1178"/>
      <c r="M64" s="545">
        <f t="shared" ref="M64:X64" si="135">M55/M44</f>
        <v>0.70548726077873503</v>
      </c>
      <c r="N64" s="545">
        <f t="shared" si="135"/>
        <v>0.68447348007369302</v>
      </c>
      <c r="O64" s="545">
        <f t="shared" si="135"/>
        <v>0.67947758990610796</v>
      </c>
      <c r="P64" s="545">
        <f t="shared" si="135"/>
        <v>0.652372170755954</v>
      </c>
      <c r="Q64" s="545">
        <f t="shared" si="135"/>
        <v>0.643824114099531</v>
      </c>
      <c r="R64" s="545">
        <f t="shared" si="135"/>
        <v>0.64109559116760295</v>
      </c>
      <c r="S64" s="545">
        <f t="shared" si="135"/>
        <v>0.64080477032494298</v>
      </c>
      <c r="T64" s="545">
        <f t="shared" si="135"/>
        <v>0.62697667053731698</v>
      </c>
      <c r="U64" s="545">
        <f t="shared" si="135"/>
        <v>0.62825480818690904</v>
      </c>
      <c r="V64" s="545">
        <f t="shared" si="135"/>
        <v>0.62421977812894702</v>
      </c>
      <c r="W64" s="545">
        <f t="shared" si="135"/>
        <v>0.60807523270931896</v>
      </c>
      <c r="X64" s="545">
        <f t="shared" si="135"/>
        <v>0.59671604400392098</v>
      </c>
      <c r="Y64" s="1188">
        <v>0.59231353585036195</v>
      </c>
      <c r="Z64" s="786">
        <v>0.6</v>
      </c>
      <c r="AA64" s="786">
        <v>0.59301019217303397</v>
      </c>
      <c r="AB64" s="786">
        <f t="shared" si="134"/>
        <v>0.59984514084380203</v>
      </c>
      <c r="AE64" s="1185"/>
      <c r="AF64" s="1186"/>
      <c r="AG64" s="1186"/>
      <c r="AH64" s="1186"/>
      <c r="AI64" s="1186"/>
      <c r="AJ64" s="1186"/>
      <c r="AK64" s="1186"/>
      <c r="AL64" s="1186"/>
      <c r="AM64" s="1186"/>
      <c r="AN64" s="1186"/>
      <c r="AO64" s="1186"/>
      <c r="AP64" s="1186"/>
      <c r="AQ64" s="1186"/>
      <c r="AR64" s="1186"/>
      <c r="AS64" s="1186"/>
      <c r="AT64" s="1186"/>
      <c r="AU64" s="1186"/>
      <c r="AV64" s="1186"/>
      <c r="AW64" s="1186"/>
      <c r="AX64" s="1186"/>
      <c r="AY64" s="1186"/>
      <c r="AZ64" s="1186"/>
      <c r="BA64" s="1186"/>
      <c r="BB64" s="1191"/>
    </row>
    <row r="65" spans="2:54">
      <c r="B65" s="1177" t="s">
        <v>56</v>
      </c>
      <c r="C65" s="1178"/>
      <c r="D65" s="1178"/>
      <c r="E65" s="1178"/>
      <c r="F65" s="1178"/>
      <c r="G65" s="1178"/>
      <c r="H65" s="1178"/>
      <c r="I65" s="1178"/>
      <c r="J65" s="1178"/>
      <c r="K65" s="1178"/>
      <c r="L65" s="1178"/>
      <c r="M65" s="545">
        <f t="shared" ref="M65:X65" si="136">M56/M45</f>
        <v>0.73364299855906101</v>
      </c>
      <c r="N65" s="545">
        <f t="shared" si="136"/>
        <v>0.76747531155189697</v>
      </c>
      <c r="O65" s="545">
        <f t="shared" si="136"/>
        <v>0.75337111812810498</v>
      </c>
      <c r="P65" s="545">
        <f t="shared" si="136"/>
        <v>0.74866766727573297</v>
      </c>
      <c r="Q65" s="545">
        <f t="shared" si="136"/>
        <v>0.74520666828126303</v>
      </c>
      <c r="R65" s="545">
        <f t="shared" si="136"/>
        <v>0.73518983601713706</v>
      </c>
      <c r="S65" s="545">
        <f t="shared" si="136"/>
        <v>0.73364324217397803</v>
      </c>
      <c r="T65" s="545">
        <f t="shared" si="136"/>
        <v>0.72534812140870397</v>
      </c>
      <c r="U65" s="545">
        <f t="shared" si="136"/>
        <v>0.72477314136686799</v>
      </c>
      <c r="V65" s="545">
        <f t="shared" si="136"/>
        <v>0.73203237435040702</v>
      </c>
      <c r="W65" s="545">
        <f t="shared" si="136"/>
        <v>0.73509870530293697</v>
      </c>
      <c r="X65" s="545">
        <f t="shared" si="136"/>
        <v>0.728041500549096</v>
      </c>
      <c r="Y65" s="1188">
        <v>0.72962734131113405</v>
      </c>
      <c r="Z65" s="786">
        <v>0.73133713887591301</v>
      </c>
      <c r="AA65" s="786">
        <v>0.71164477553420902</v>
      </c>
      <c r="AB65" s="786">
        <f t="shared" si="134"/>
        <v>0.69866256930003701</v>
      </c>
      <c r="AE65" s="1185"/>
      <c r="AF65" s="1186"/>
      <c r="AG65" s="1186"/>
      <c r="AH65" s="1186"/>
      <c r="AI65" s="1186"/>
      <c r="AJ65" s="1186"/>
      <c r="AK65" s="1186"/>
      <c r="AL65" s="1186"/>
      <c r="AM65" s="1186"/>
      <c r="AN65" s="1186"/>
      <c r="AO65" s="1186"/>
      <c r="AP65" s="1186"/>
      <c r="AQ65" s="1186"/>
      <c r="AR65" s="1186"/>
      <c r="AS65" s="1186"/>
      <c r="AT65" s="1186"/>
      <c r="AU65" s="1186"/>
      <c r="AV65" s="1186"/>
      <c r="AW65" s="1186"/>
      <c r="AX65" s="1186"/>
      <c r="AY65" s="1186"/>
      <c r="AZ65" s="1186"/>
      <c r="BA65" s="1186"/>
      <c r="BB65" s="1191"/>
    </row>
    <row r="66" spans="2:54">
      <c r="B66" s="1177" t="s">
        <v>57</v>
      </c>
      <c r="C66" s="1178"/>
      <c r="D66" s="1178"/>
      <c r="E66" s="1178"/>
      <c r="F66" s="1178"/>
      <c r="G66" s="1178"/>
      <c r="H66" s="1178"/>
      <c r="I66" s="1178"/>
      <c r="J66" s="1178"/>
      <c r="K66" s="1178"/>
      <c r="L66" s="1178"/>
      <c r="M66" s="545">
        <f t="shared" ref="M66:X66" si="137">M57/M46</f>
        <v>0.93495025066306903</v>
      </c>
      <c r="N66" s="545">
        <f t="shared" si="137"/>
        <v>0.93632194366231802</v>
      </c>
      <c r="O66" s="545">
        <f t="shared" si="137"/>
        <v>0.93425107277596997</v>
      </c>
      <c r="P66" s="545">
        <f t="shared" si="137"/>
        <v>0.941376256849073</v>
      </c>
      <c r="Q66" s="545">
        <f t="shared" si="137"/>
        <v>0.947709746617449</v>
      </c>
      <c r="R66" s="545">
        <f t="shared" si="137"/>
        <v>0.952988146241604</v>
      </c>
      <c r="S66" s="545">
        <f t="shared" si="137"/>
        <v>0.95108220258794296</v>
      </c>
      <c r="T66" s="545">
        <f t="shared" si="137"/>
        <v>0.95383029567506805</v>
      </c>
      <c r="U66" s="545">
        <f t="shared" si="137"/>
        <v>0.94859242190043602</v>
      </c>
      <c r="V66" s="545">
        <f t="shared" si="137"/>
        <v>0.94431180776546497</v>
      </c>
      <c r="W66" s="545">
        <f t="shared" si="137"/>
        <v>0.94347397683293099</v>
      </c>
      <c r="X66" s="545">
        <f t="shared" si="137"/>
        <v>0.92982330135729796</v>
      </c>
      <c r="Y66" s="1188">
        <v>0.92256554107895306</v>
      </c>
      <c r="Z66" s="786">
        <v>0.92</v>
      </c>
      <c r="AA66" s="786">
        <v>0.92322072339126504</v>
      </c>
      <c r="AB66" s="786">
        <f t="shared" si="134"/>
        <v>0.92378409754664004</v>
      </c>
      <c r="AE66" s="1185"/>
      <c r="AF66" s="1186"/>
      <c r="AG66" s="1186"/>
      <c r="AH66" s="1186"/>
      <c r="AI66" s="1186"/>
      <c r="AJ66" s="1186"/>
      <c r="AK66" s="1186"/>
      <c r="AL66" s="1186"/>
      <c r="AM66" s="1186"/>
      <c r="AN66" s="1186"/>
      <c r="AO66" s="1186"/>
      <c r="AP66" s="1186"/>
      <c r="AQ66" s="1186"/>
      <c r="AR66" s="1186"/>
      <c r="AS66" s="1186"/>
      <c r="AT66" s="1186"/>
      <c r="AU66" s="1186"/>
      <c r="AV66" s="1186"/>
      <c r="AW66" s="1186"/>
      <c r="AX66" s="1186"/>
      <c r="AY66" s="1186"/>
      <c r="AZ66" s="1186"/>
      <c r="BA66" s="1186"/>
      <c r="BB66" s="1191"/>
    </row>
    <row r="67" spans="2:54">
      <c r="B67" s="1177" t="s">
        <v>58</v>
      </c>
      <c r="C67" s="1178"/>
      <c r="D67" s="1178"/>
      <c r="E67" s="1178"/>
      <c r="F67" s="1178"/>
      <c r="G67" s="1178"/>
      <c r="H67" s="1178"/>
      <c r="I67" s="1178"/>
      <c r="J67" s="1178"/>
      <c r="K67" s="1178"/>
      <c r="L67" s="1178"/>
      <c r="M67" s="545">
        <f t="shared" ref="M67:X67" si="138">M58/M47</f>
        <v>0.68246085958762304</v>
      </c>
      <c r="N67" s="545">
        <f t="shared" si="138"/>
        <v>0.706733926332756</v>
      </c>
      <c r="O67" s="545">
        <f t="shared" si="138"/>
        <v>0.69660328454101705</v>
      </c>
      <c r="P67" s="545">
        <f t="shared" si="138"/>
        <v>0.68229215760203599</v>
      </c>
      <c r="Q67" s="545">
        <f t="shared" si="138"/>
        <v>0.68210321758868597</v>
      </c>
      <c r="R67" s="545">
        <f t="shared" si="138"/>
        <v>0.68421786663429696</v>
      </c>
      <c r="S67" s="545">
        <f t="shared" si="138"/>
        <v>0.67387751202596502</v>
      </c>
      <c r="T67" s="545">
        <f t="shared" si="138"/>
        <v>0.67894967496895797</v>
      </c>
      <c r="U67" s="545">
        <f t="shared" si="138"/>
        <v>0.67120161280097401</v>
      </c>
      <c r="V67" s="545">
        <f t="shared" si="138"/>
        <v>0.67435937875704899</v>
      </c>
      <c r="W67" s="545">
        <f t="shared" si="138"/>
        <v>0.66311588080589201</v>
      </c>
      <c r="X67" s="545">
        <f t="shared" si="138"/>
        <v>0.65662910066191904</v>
      </c>
      <c r="Y67" s="1188">
        <v>0.64907298775780897</v>
      </c>
      <c r="Z67" s="786">
        <v>0.63</v>
      </c>
      <c r="AA67" s="786">
        <v>0.62111119477766297</v>
      </c>
      <c r="AB67" s="786">
        <f t="shared" si="134"/>
        <v>0.65645343788648303</v>
      </c>
      <c r="AE67" s="1185"/>
      <c r="AF67" s="1186"/>
      <c r="AG67" s="1186"/>
      <c r="AH67" s="1186"/>
      <c r="AI67" s="1186"/>
      <c r="AJ67" s="1186"/>
      <c r="AK67" s="1186"/>
      <c r="AL67" s="1186"/>
      <c r="AM67" s="1186"/>
      <c r="AN67" s="1186"/>
      <c r="AO67" s="1186"/>
      <c r="AP67" s="1186"/>
      <c r="AQ67" s="1186"/>
      <c r="AR67" s="1186"/>
      <c r="AS67" s="1186"/>
      <c r="AT67" s="1186"/>
      <c r="AU67" s="1186"/>
      <c r="AV67" s="1186"/>
      <c r="AW67" s="1186"/>
      <c r="AX67" s="1186"/>
      <c r="AY67" s="1186"/>
      <c r="AZ67" s="1186"/>
      <c r="BA67" s="1186"/>
      <c r="BB67" s="1191"/>
    </row>
    <row r="68" spans="2:54">
      <c r="B68" s="809" t="s">
        <v>59</v>
      </c>
      <c r="C68" s="1174"/>
      <c r="D68" s="1174"/>
      <c r="E68" s="1174"/>
      <c r="F68" s="1174"/>
      <c r="G68" s="1174"/>
      <c r="H68" s="1174"/>
      <c r="I68" s="1174"/>
      <c r="J68" s="1174"/>
      <c r="K68" s="1174"/>
      <c r="L68" s="1174"/>
      <c r="M68" s="569">
        <f t="shared" ref="M68:X68" si="139">M59/M48</f>
        <v>0.52645295600043795</v>
      </c>
      <c r="N68" s="569">
        <f t="shared" si="139"/>
        <v>0.60565930956423297</v>
      </c>
      <c r="O68" s="569">
        <f t="shared" si="139"/>
        <v>0.53664187380362105</v>
      </c>
      <c r="P68" s="569">
        <f t="shared" si="139"/>
        <v>0.52089923262600402</v>
      </c>
      <c r="Q68" s="569">
        <f t="shared" si="139"/>
        <v>0.53709573491795903</v>
      </c>
      <c r="R68" s="569">
        <f t="shared" si="139"/>
        <v>0.54896506084633401</v>
      </c>
      <c r="S68" s="569">
        <f t="shared" si="139"/>
        <v>0.53531621830133402</v>
      </c>
      <c r="T68" s="569">
        <f t="shared" si="139"/>
        <v>0.51134873110920998</v>
      </c>
      <c r="U68" s="569">
        <f t="shared" si="139"/>
        <v>0.54292802228021098</v>
      </c>
      <c r="V68" s="569">
        <f t="shared" si="139"/>
        <v>0.53322054752383896</v>
      </c>
      <c r="W68" s="569">
        <f t="shared" si="139"/>
        <v>0.52120549001377603</v>
      </c>
      <c r="X68" s="569">
        <f t="shared" si="139"/>
        <v>0.474520823504404</v>
      </c>
      <c r="Y68" s="1192">
        <v>0.51150368117797695</v>
      </c>
      <c r="Z68" s="787">
        <v>0.48905817846571897</v>
      </c>
      <c r="AA68" s="787">
        <v>0.54176123240073104</v>
      </c>
      <c r="AB68" s="787">
        <f t="shared" si="134"/>
        <v>0.58783991544153003</v>
      </c>
      <c r="AE68" s="1185"/>
      <c r="AF68" s="1186"/>
      <c r="AG68" s="1186"/>
      <c r="AH68" s="1186"/>
      <c r="AI68" s="1186"/>
      <c r="AJ68" s="1186"/>
      <c r="AK68" s="1186"/>
      <c r="AL68" s="1186"/>
      <c r="AM68" s="1186"/>
      <c r="AN68" s="1186"/>
      <c r="AO68" s="1186"/>
      <c r="AP68" s="1186"/>
      <c r="AQ68" s="1186"/>
      <c r="AR68" s="1186"/>
      <c r="AS68" s="1186"/>
      <c r="AT68" s="1186"/>
      <c r="AU68" s="1186"/>
      <c r="AV68" s="1186"/>
      <c r="AW68" s="1186"/>
      <c r="AX68" s="1186"/>
      <c r="AY68" s="1186"/>
      <c r="AZ68" s="1186"/>
      <c r="BA68" s="1186"/>
      <c r="BB68" s="1191"/>
    </row>
    <row r="69" spans="2:54">
      <c r="AE69" s="1185"/>
      <c r="AF69" s="1186"/>
      <c r="AG69" s="1186"/>
      <c r="AH69" s="1186"/>
      <c r="AI69" s="1186"/>
      <c r="AJ69" s="1186"/>
      <c r="AK69" s="1186"/>
      <c r="AL69" s="1186"/>
      <c r="AM69" s="1186"/>
      <c r="AN69" s="1186"/>
      <c r="AO69" s="1186"/>
      <c r="AP69" s="1186"/>
      <c r="AQ69" s="1186"/>
      <c r="AR69" s="1186"/>
      <c r="AS69" s="1186"/>
      <c r="AT69" s="1186"/>
      <c r="AU69" s="1186"/>
      <c r="AV69" s="1186"/>
      <c r="AW69" s="1186"/>
      <c r="AX69" s="1186"/>
      <c r="AY69" s="1186"/>
      <c r="AZ69" s="1186"/>
      <c r="BA69" s="1186"/>
      <c r="BB69" s="1191"/>
    </row>
    <row r="70" spans="2:54">
      <c r="AE70" s="1185"/>
      <c r="AF70" s="1186"/>
      <c r="AG70" s="1186"/>
      <c r="AH70" s="1186"/>
      <c r="AI70" s="1186"/>
      <c r="AJ70" s="1186"/>
      <c r="AK70" s="1186"/>
      <c r="AL70" s="1186"/>
      <c r="AM70" s="1186"/>
      <c r="AN70" s="1186"/>
      <c r="AO70" s="1186"/>
      <c r="AP70" s="1186"/>
      <c r="AQ70" s="1186"/>
      <c r="AR70" s="1186"/>
      <c r="AS70" s="1186"/>
      <c r="AT70" s="1186"/>
      <c r="AU70" s="1186"/>
      <c r="AV70" s="1186"/>
      <c r="AW70" s="1186"/>
      <c r="AX70" s="1186"/>
      <c r="AY70" s="1186"/>
      <c r="AZ70" s="1186"/>
      <c r="BA70" s="1186"/>
      <c r="BB70" s="1191"/>
    </row>
    <row r="71" spans="2:54">
      <c r="AE71" s="1185"/>
      <c r="AF71" s="1186"/>
      <c r="AG71" s="1186"/>
      <c r="AH71" s="1186"/>
      <c r="AI71" s="1186"/>
      <c r="AJ71" s="1186"/>
      <c r="AK71" s="1186"/>
      <c r="AL71" s="1186"/>
      <c r="AM71" s="1186"/>
      <c r="AN71" s="1186"/>
      <c r="AO71" s="1186"/>
      <c r="AP71" s="1186"/>
      <c r="AQ71" s="1186"/>
      <c r="AR71" s="1186"/>
      <c r="AS71" s="1186"/>
      <c r="AT71" s="1186"/>
      <c r="AU71" s="1186"/>
      <c r="AV71" s="1186"/>
      <c r="AW71" s="1186"/>
      <c r="AX71" s="1186"/>
      <c r="AY71" s="1186"/>
      <c r="AZ71" s="1186"/>
      <c r="BA71" s="1186"/>
      <c r="BB71" s="1191"/>
    </row>
    <row r="72" spans="2:54">
      <c r="AE72" s="1185"/>
      <c r="AF72" s="1186"/>
      <c r="AG72" s="1186"/>
      <c r="AH72" s="1186"/>
      <c r="AI72" s="1186"/>
      <c r="AJ72" s="1186"/>
      <c r="AK72" s="1186"/>
      <c r="AL72" s="1186"/>
      <c r="AM72" s="1186"/>
      <c r="AN72" s="1186"/>
      <c r="AO72" s="1186"/>
      <c r="AP72" s="1186"/>
      <c r="AQ72" s="1186"/>
      <c r="AR72" s="1186"/>
      <c r="AS72" s="1186"/>
      <c r="AT72" s="1186"/>
      <c r="AU72" s="1186"/>
      <c r="AV72" s="1186"/>
      <c r="AW72" s="1186"/>
      <c r="AX72" s="1186"/>
      <c r="AY72" s="1186"/>
      <c r="AZ72" s="1186"/>
      <c r="BA72" s="1186"/>
      <c r="BB72" s="1191"/>
    </row>
    <row r="73" spans="2:54">
      <c r="AE73" s="1185"/>
      <c r="AF73" s="1186"/>
      <c r="AG73" s="1186"/>
      <c r="AH73" s="1186"/>
      <c r="AI73" s="1186"/>
      <c r="AJ73" s="1186"/>
      <c r="AK73" s="1186"/>
      <c r="AL73" s="1186"/>
      <c r="AM73" s="1186"/>
      <c r="AN73" s="1186"/>
      <c r="AO73" s="1186"/>
      <c r="AP73" s="1186"/>
      <c r="AQ73" s="1186"/>
      <c r="AR73" s="1186"/>
      <c r="AS73" s="1186"/>
      <c r="AT73" s="1186"/>
      <c r="AU73" s="1186"/>
      <c r="AV73" s="1186"/>
      <c r="AW73" s="1186"/>
      <c r="AX73" s="1186"/>
      <c r="AY73" s="1186"/>
      <c r="AZ73" s="1186"/>
      <c r="BA73" s="1186"/>
      <c r="BB73" s="1191"/>
    </row>
    <row r="74" spans="2:54">
      <c r="AE74" s="1185"/>
      <c r="AF74" s="1186"/>
      <c r="AG74" s="1186"/>
      <c r="AH74" s="1186"/>
      <c r="AI74" s="1186"/>
      <c r="AJ74" s="1186"/>
      <c r="AK74" s="1186"/>
      <c r="AL74" s="1186"/>
      <c r="AM74" s="1186"/>
      <c r="AN74" s="1186"/>
      <c r="AO74" s="1186"/>
      <c r="AP74" s="1186"/>
      <c r="AQ74" s="1186"/>
      <c r="AR74" s="1186"/>
      <c r="AS74" s="1186"/>
      <c r="AT74" s="1186"/>
      <c r="AU74" s="1186"/>
      <c r="AV74" s="1186"/>
      <c r="AW74" s="1186"/>
      <c r="AX74" s="1186"/>
      <c r="AY74" s="1186"/>
      <c r="AZ74" s="1186"/>
      <c r="BA74" s="1186"/>
      <c r="BB74" s="1191"/>
    </row>
    <row r="75" spans="2:54">
      <c r="AE75" s="1185"/>
      <c r="AF75" s="1186"/>
      <c r="AG75" s="1186"/>
      <c r="AH75" s="1186"/>
      <c r="AI75" s="1186"/>
      <c r="AJ75" s="1186"/>
      <c r="AK75" s="1186"/>
      <c r="AL75" s="1186"/>
      <c r="AM75" s="1186"/>
      <c r="AN75" s="1186"/>
      <c r="AO75" s="1186"/>
      <c r="AP75" s="1186"/>
      <c r="AQ75" s="1186"/>
      <c r="AR75" s="1186"/>
      <c r="AS75" s="1186"/>
      <c r="AT75" s="1186"/>
      <c r="AU75" s="1186"/>
      <c r="AV75" s="1186"/>
      <c r="AW75" s="1186"/>
      <c r="AX75" s="1186"/>
      <c r="AY75" s="1186"/>
      <c r="AZ75" s="1186"/>
      <c r="BA75" s="1186"/>
      <c r="BB75" s="1191"/>
    </row>
    <row r="76" spans="2:54">
      <c r="AE76" s="1185"/>
      <c r="AF76" s="1186"/>
      <c r="AG76" s="1186"/>
      <c r="AH76" s="1186"/>
      <c r="AI76" s="1186"/>
      <c r="AJ76" s="1186"/>
      <c r="AK76" s="1186"/>
      <c r="AL76" s="1186"/>
      <c r="AM76" s="1186"/>
      <c r="AN76" s="1186"/>
      <c r="AO76" s="1186"/>
      <c r="AP76" s="1186"/>
      <c r="AQ76" s="1186"/>
      <c r="AR76" s="1186"/>
      <c r="AS76" s="1186"/>
      <c r="AT76" s="1186"/>
      <c r="AU76" s="1186"/>
      <c r="AV76" s="1186"/>
      <c r="AW76" s="1186"/>
      <c r="AX76" s="1186"/>
      <c r="AY76" s="1186"/>
      <c r="AZ76" s="1186"/>
      <c r="BA76" s="1186"/>
      <c r="BB76" s="1191"/>
    </row>
    <row r="77" spans="2:54">
      <c r="AE77" s="1185"/>
      <c r="AF77" s="1186"/>
      <c r="AG77" s="1186"/>
      <c r="AH77" s="1186"/>
      <c r="AI77" s="1186"/>
      <c r="AJ77" s="1186"/>
      <c r="AK77" s="1186"/>
      <c r="AL77" s="1186"/>
      <c r="AM77" s="1186"/>
      <c r="AN77" s="1186"/>
      <c r="AO77" s="1186"/>
      <c r="AP77" s="1186"/>
      <c r="AQ77" s="1186"/>
      <c r="AR77" s="1186"/>
      <c r="AS77" s="1186"/>
      <c r="AT77" s="1186"/>
      <c r="AU77" s="1186"/>
      <c r="AV77" s="1186"/>
      <c r="AW77" s="1186"/>
      <c r="AX77" s="1186"/>
      <c r="AY77" s="1186"/>
      <c r="AZ77" s="1186"/>
      <c r="BA77" s="1186"/>
      <c r="BB77" s="1191"/>
    </row>
    <row r="78" spans="2:54">
      <c r="AE78" s="1185"/>
      <c r="AF78" s="1186"/>
      <c r="AG78" s="1186"/>
      <c r="AH78" s="1186"/>
      <c r="AI78" s="1186"/>
      <c r="AJ78" s="1186"/>
      <c r="AK78" s="1186"/>
      <c r="AL78" s="1186"/>
      <c r="AM78" s="1186"/>
      <c r="AN78" s="1186"/>
      <c r="AO78" s="1186"/>
      <c r="AP78" s="1186"/>
      <c r="AQ78" s="1186"/>
      <c r="AR78" s="1186"/>
      <c r="AS78" s="1186"/>
      <c r="AT78" s="1186"/>
      <c r="AU78" s="1186"/>
      <c r="AV78" s="1186"/>
      <c r="AW78" s="1186"/>
      <c r="AX78" s="1186"/>
      <c r="AY78" s="1186"/>
      <c r="AZ78" s="1186"/>
      <c r="BA78" s="1186"/>
      <c r="BB78" s="1191"/>
    </row>
    <row r="79" spans="2:54">
      <c r="AE79" s="1185"/>
      <c r="AF79" s="1186"/>
      <c r="AG79" s="1186"/>
      <c r="AH79" s="1186"/>
      <c r="AI79" s="1186"/>
      <c r="AJ79" s="1186"/>
      <c r="AK79" s="1186"/>
      <c r="AL79" s="1186"/>
      <c r="AM79" s="1186"/>
      <c r="AN79" s="1186"/>
      <c r="AO79" s="1186"/>
      <c r="AP79" s="1186"/>
      <c r="AQ79" s="1186"/>
      <c r="AR79" s="1186"/>
      <c r="AS79" s="1186"/>
      <c r="AT79" s="1186"/>
      <c r="AU79" s="1186"/>
      <c r="AV79" s="1186"/>
      <c r="AW79" s="1186"/>
      <c r="AX79" s="1186"/>
      <c r="AY79" s="1186"/>
      <c r="AZ79" s="1186"/>
      <c r="BA79" s="1186"/>
      <c r="BB79" s="1191"/>
    </row>
    <row r="80" spans="2:54">
      <c r="AE80" s="1185"/>
      <c r="AF80" s="1186"/>
      <c r="AG80" s="1186"/>
      <c r="AH80" s="1186"/>
      <c r="AI80" s="1186"/>
      <c r="AJ80" s="1186"/>
      <c r="AK80" s="1186"/>
      <c r="AL80" s="1186"/>
      <c r="AM80" s="1186"/>
      <c r="AN80" s="1186"/>
      <c r="AO80" s="1186"/>
      <c r="AP80" s="1186"/>
      <c r="AQ80" s="1186"/>
      <c r="AR80" s="1186"/>
      <c r="AS80" s="1186"/>
      <c r="AT80" s="1186"/>
      <c r="AU80" s="1186"/>
      <c r="AV80" s="1186"/>
      <c r="AW80" s="1186"/>
      <c r="AX80" s="1186"/>
      <c r="AY80" s="1186"/>
      <c r="AZ80" s="1186"/>
      <c r="BA80" s="1186"/>
      <c r="BB80" s="1191"/>
    </row>
    <row r="81" spans="31:54">
      <c r="AE81" s="1185"/>
      <c r="AF81" s="1186"/>
      <c r="AG81" s="1186"/>
      <c r="AH81" s="1186"/>
      <c r="AI81" s="1186"/>
      <c r="AJ81" s="1186"/>
      <c r="AK81" s="1186"/>
      <c r="AL81" s="1186"/>
      <c r="AM81" s="1186"/>
      <c r="AN81" s="1186"/>
      <c r="AO81" s="1186"/>
      <c r="AP81" s="1186"/>
      <c r="AQ81" s="1186"/>
      <c r="AR81" s="1186"/>
      <c r="AS81" s="1186"/>
      <c r="AT81" s="1186"/>
      <c r="AU81" s="1186"/>
      <c r="AV81" s="1186"/>
      <c r="AW81" s="1186"/>
      <c r="AX81" s="1186"/>
      <c r="AY81" s="1186"/>
      <c r="AZ81" s="1186"/>
      <c r="BA81" s="1186"/>
      <c r="BB81" s="1191"/>
    </row>
    <row r="82" spans="31:54">
      <c r="AE82" s="1185"/>
      <c r="AF82" s="1186"/>
      <c r="AG82" s="1186"/>
      <c r="AH82" s="1186"/>
      <c r="AI82" s="1186"/>
      <c r="AJ82" s="1186"/>
      <c r="AK82" s="1186"/>
      <c r="AL82" s="1186"/>
      <c r="AM82" s="1186"/>
      <c r="AN82" s="1186"/>
      <c r="AO82" s="1186"/>
      <c r="AP82" s="1186"/>
      <c r="AQ82" s="1186"/>
      <c r="AR82" s="1186"/>
      <c r="AS82" s="1186"/>
      <c r="AT82" s="1186"/>
      <c r="AU82" s="1186"/>
      <c r="AV82" s="1186"/>
      <c r="AW82" s="1186"/>
      <c r="AX82" s="1186"/>
      <c r="AY82" s="1186"/>
      <c r="AZ82" s="1186"/>
      <c r="BA82" s="1186"/>
      <c r="BB82" s="1191"/>
    </row>
    <row r="83" spans="31:54">
      <c r="AE83" s="1185"/>
      <c r="AF83" s="1186"/>
      <c r="AG83" s="1186"/>
      <c r="AH83" s="1186"/>
      <c r="AI83" s="1186"/>
      <c r="AJ83" s="1186"/>
      <c r="AK83" s="1186"/>
      <c r="AL83" s="1186"/>
      <c r="AM83" s="1186"/>
      <c r="AN83" s="1186"/>
      <c r="AO83" s="1186"/>
      <c r="AP83" s="1186"/>
      <c r="AQ83" s="1186"/>
      <c r="AR83" s="1186"/>
      <c r="AS83" s="1186"/>
      <c r="AT83" s="1186"/>
      <c r="AU83" s="1186"/>
      <c r="AV83" s="1186"/>
      <c r="AW83" s="1186"/>
      <c r="AX83" s="1186"/>
      <c r="AY83" s="1186"/>
      <c r="AZ83" s="1186"/>
      <c r="BA83" s="1186"/>
      <c r="BB83" s="1191"/>
    </row>
    <row r="84" spans="31:54">
      <c r="AE84" s="1185"/>
      <c r="AF84" s="1186"/>
      <c r="AG84" s="1186"/>
      <c r="AH84" s="1186"/>
      <c r="AI84" s="1186"/>
      <c r="AJ84" s="1186"/>
      <c r="AK84" s="1186"/>
      <c r="AL84" s="1186"/>
      <c r="AM84" s="1186"/>
      <c r="AN84" s="1186"/>
      <c r="AO84" s="1186"/>
      <c r="AP84" s="1186"/>
      <c r="AQ84" s="1186"/>
      <c r="AR84" s="1186"/>
      <c r="AS84" s="1186"/>
      <c r="AT84" s="1186"/>
      <c r="AU84" s="1186"/>
      <c r="AV84" s="1186"/>
      <c r="AW84" s="1186"/>
      <c r="AX84" s="1186"/>
      <c r="AY84" s="1186"/>
      <c r="AZ84" s="1186"/>
      <c r="BA84" s="1186"/>
      <c r="BB84" s="1191"/>
    </row>
    <row r="85" spans="31:54">
      <c r="AE85" s="1185"/>
      <c r="AF85" s="1186"/>
      <c r="AG85" s="1186"/>
      <c r="AH85" s="1186"/>
      <c r="AI85" s="1186"/>
      <c r="AJ85" s="1186"/>
      <c r="AK85" s="1186"/>
      <c r="AL85" s="1186"/>
      <c r="AM85" s="1186"/>
      <c r="AN85" s="1186"/>
      <c r="AO85" s="1186"/>
      <c r="AP85" s="1186"/>
      <c r="AQ85" s="1186"/>
      <c r="AR85" s="1186"/>
      <c r="AS85" s="1186"/>
      <c r="AT85" s="1186"/>
      <c r="AU85" s="1186"/>
      <c r="AV85" s="1186"/>
      <c r="AW85" s="1186"/>
      <c r="AX85" s="1186"/>
      <c r="AY85" s="1186"/>
      <c r="AZ85" s="1186"/>
      <c r="BA85" s="1186"/>
      <c r="BB85" s="1191"/>
    </row>
    <row r="86" spans="31:54">
      <c r="AE86" s="1193"/>
      <c r="AF86" s="1194"/>
      <c r="AG86" s="1194"/>
      <c r="AH86" s="1194"/>
      <c r="AI86" s="1194"/>
      <c r="AJ86" s="1194"/>
      <c r="AK86" s="1194"/>
      <c r="AL86" s="1194"/>
      <c r="AM86" s="1194"/>
      <c r="AN86" s="1194"/>
      <c r="AO86" s="1194"/>
      <c r="AP86" s="1194"/>
      <c r="AQ86" s="1194"/>
      <c r="AR86" s="1194"/>
      <c r="AS86" s="1194"/>
      <c r="AT86" s="1194"/>
      <c r="AU86" s="1194"/>
      <c r="AV86" s="1194"/>
      <c r="AW86" s="1194"/>
      <c r="AX86" s="1194"/>
      <c r="AY86" s="1194"/>
      <c r="AZ86" s="1194"/>
      <c r="BA86" s="1194"/>
      <c r="BB86" s="1195"/>
    </row>
  </sheetData>
  <phoneticPr fontId="93" type="noConversion"/>
  <hyperlinks>
    <hyperlink ref="Z1" location="Content!A1" display="content" xr:uid="{00000000-0004-0000-0600-000000000000}"/>
  </hyperlinks>
  <pageMargins left="0.7" right="0.7" top="0.75" bottom="0.75" header="0.3" footer="0.3"/>
  <pageSetup orientation="portrait"/>
  <ignoredErrors>
    <ignoredError sqref="Z38"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U12"/>
  <sheetViews>
    <sheetView topLeftCell="A32" zoomScale="80" zoomScaleNormal="80" workbookViewId="0">
      <selection activeCell="R41" sqref="R41"/>
    </sheetView>
  </sheetViews>
  <sheetFormatPr defaultColWidth="9" defaultRowHeight="14.4"/>
  <cols>
    <col min="1" max="1" width="22.33203125" customWidth="1"/>
    <col min="2" max="18" width="9.77734375" customWidth="1"/>
    <col min="19" max="19" width="10.77734375" customWidth="1"/>
    <col min="20" max="20" width="11.5546875" customWidth="1"/>
    <col min="21" max="21" width="10.33203125"/>
  </cols>
  <sheetData>
    <row r="1" spans="1:21" ht="21">
      <c r="A1" s="528" t="s">
        <v>47</v>
      </c>
      <c r="S1" s="57" t="s">
        <v>48</v>
      </c>
    </row>
    <row r="2" spans="1:21" ht="18">
      <c r="A2" s="529" t="s">
        <v>271</v>
      </c>
    </row>
    <row r="3" spans="1:21" ht="18">
      <c r="A3" s="529" t="s">
        <v>286</v>
      </c>
    </row>
    <row r="4" spans="1:21">
      <c r="S4" s="123"/>
    </row>
    <row r="5" spans="1:21">
      <c r="A5" s="530" t="s">
        <v>61</v>
      </c>
      <c r="B5" s="530">
        <v>2004</v>
      </c>
      <c r="C5" s="530">
        <v>2005</v>
      </c>
      <c r="D5" s="530">
        <v>2006</v>
      </c>
      <c r="E5" s="530">
        <v>2007</v>
      </c>
      <c r="F5" s="530">
        <v>2008</v>
      </c>
      <c r="G5" s="530">
        <v>2009</v>
      </c>
      <c r="H5" s="530">
        <v>2010</v>
      </c>
      <c r="I5" s="530">
        <v>2011</v>
      </c>
      <c r="J5" s="530">
        <v>2012</v>
      </c>
      <c r="K5" s="530">
        <v>2013</v>
      </c>
      <c r="L5" s="530">
        <v>2014</v>
      </c>
      <c r="M5" s="530">
        <v>2015</v>
      </c>
      <c r="N5" s="530">
        <v>2016</v>
      </c>
      <c r="O5" s="530">
        <v>2017</v>
      </c>
      <c r="P5" s="530">
        <v>2018</v>
      </c>
      <c r="Q5" s="530">
        <v>2019</v>
      </c>
      <c r="R5" s="530">
        <v>2020</v>
      </c>
      <c r="S5" s="552">
        <v>2021</v>
      </c>
      <c r="T5" s="553">
        <v>2022</v>
      </c>
      <c r="U5" s="553">
        <v>2023</v>
      </c>
    </row>
    <row r="6" spans="1:21">
      <c r="A6" s="802" t="s">
        <v>66</v>
      </c>
      <c r="B6" s="803">
        <v>127112</v>
      </c>
      <c r="C6" s="803">
        <v>126652</v>
      </c>
      <c r="D6" s="803">
        <v>129229</v>
      </c>
      <c r="E6" s="803">
        <v>131364</v>
      </c>
      <c r="F6" s="803">
        <v>132401</v>
      </c>
      <c r="G6" s="803">
        <v>132568</v>
      </c>
      <c r="H6" s="803">
        <v>117916</v>
      </c>
      <c r="I6" s="803">
        <v>124435</v>
      </c>
      <c r="J6" s="803">
        <v>126222</v>
      </c>
      <c r="K6" s="803">
        <v>127188</v>
      </c>
      <c r="L6" s="803">
        <v>128438</v>
      </c>
      <c r="M6" s="803">
        <v>127357</v>
      </c>
      <c r="N6" s="803">
        <v>130034.25</v>
      </c>
      <c r="O6" s="803">
        <v>130216</v>
      </c>
      <c r="P6" s="803">
        <v>130840</v>
      </c>
      <c r="Q6" s="803">
        <v>134118</v>
      </c>
      <c r="R6" s="803">
        <v>129364</v>
      </c>
      <c r="S6" s="551">
        <v>126554</v>
      </c>
      <c r="T6" s="833">
        <v>121755</v>
      </c>
      <c r="U6" s="833">
        <v>125786</v>
      </c>
    </row>
    <row r="7" spans="1:21">
      <c r="A7" s="791" t="s">
        <v>55</v>
      </c>
      <c r="B7" s="792">
        <v>362342</v>
      </c>
      <c r="C7" s="792">
        <v>359382</v>
      </c>
      <c r="D7" s="792">
        <v>336013</v>
      </c>
      <c r="E7" s="792">
        <v>321375</v>
      </c>
      <c r="F7" s="792">
        <v>317528</v>
      </c>
      <c r="G7" s="792">
        <v>282359</v>
      </c>
      <c r="H7" s="792">
        <v>276156</v>
      </c>
      <c r="I7" s="792">
        <v>271683</v>
      </c>
      <c r="J7" s="792">
        <v>269132</v>
      </c>
      <c r="K7" s="792">
        <v>252391</v>
      </c>
      <c r="L7" s="792">
        <v>245343</v>
      </c>
      <c r="M7" s="792">
        <v>237574</v>
      </c>
      <c r="N7" s="792">
        <v>238167</v>
      </c>
      <c r="O7" s="792">
        <v>236216</v>
      </c>
      <c r="P7" s="792">
        <v>228705</v>
      </c>
      <c r="Q7" s="792">
        <v>219138</v>
      </c>
      <c r="R7" s="792">
        <v>200385</v>
      </c>
      <c r="S7" s="548">
        <v>194630</v>
      </c>
      <c r="T7" s="835">
        <v>190549</v>
      </c>
      <c r="U7" s="835">
        <v>199872</v>
      </c>
    </row>
    <row r="8" spans="1:21">
      <c r="A8" s="791" t="s">
        <v>56</v>
      </c>
      <c r="B8" s="792">
        <v>105027</v>
      </c>
      <c r="C8" s="792">
        <v>121942</v>
      </c>
      <c r="D8" s="792">
        <v>125249</v>
      </c>
      <c r="E8" s="792">
        <v>128438</v>
      </c>
      <c r="F8" s="792">
        <v>126691</v>
      </c>
      <c r="G8" s="792">
        <v>126988</v>
      </c>
      <c r="H8" s="792">
        <v>131461</v>
      </c>
      <c r="I8" s="792">
        <v>137671</v>
      </c>
      <c r="J8" s="792">
        <v>147694</v>
      </c>
      <c r="K8" s="792">
        <v>159248</v>
      </c>
      <c r="L8" s="792">
        <v>163185</v>
      </c>
      <c r="M8" s="792">
        <v>166376</v>
      </c>
      <c r="N8" s="792">
        <v>162297</v>
      </c>
      <c r="O8" s="792">
        <v>158190</v>
      </c>
      <c r="P8" s="792">
        <v>161646</v>
      </c>
      <c r="Q8" s="792">
        <v>170377</v>
      </c>
      <c r="R8" s="792">
        <v>179500</v>
      </c>
      <c r="S8" s="548">
        <v>184746</v>
      </c>
      <c r="T8" s="835">
        <v>181505</v>
      </c>
      <c r="U8" s="835">
        <v>189158</v>
      </c>
    </row>
    <row r="9" spans="1:21">
      <c r="A9" s="791" t="s">
        <v>57</v>
      </c>
      <c r="B9" s="792">
        <v>65586</v>
      </c>
      <c r="C9" s="792">
        <v>93172</v>
      </c>
      <c r="D9" s="792">
        <v>121968</v>
      </c>
      <c r="E9" s="792">
        <v>152299</v>
      </c>
      <c r="F9" s="792">
        <v>194005</v>
      </c>
      <c r="G9" s="792">
        <v>228456</v>
      </c>
      <c r="H9" s="792">
        <v>291960</v>
      </c>
      <c r="I9" s="792">
        <v>413540</v>
      </c>
      <c r="J9" s="792">
        <v>533245</v>
      </c>
      <c r="K9" s="792">
        <v>702013</v>
      </c>
      <c r="L9" s="792">
        <v>798074</v>
      </c>
      <c r="M9" s="792">
        <v>965137</v>
      </c>
      <c r="N9" s="792">
        <v>1200383</v>
      </c>
      <c r="O9" s="792">
        <v>1245128</v>
      </c>
      <c r="P9" s="792">
        <v>1393195</v>
      </c>
      <c r="Q9" s="792">
        <v>1242826</v>
      </c>
      <c r="R9" s="792">
        <v>1344166</v>
      </c>
      <c r="S9" s="548">
        <v>1425749</v>
      </c>
      <c r="T9" s="835">
        <v>1463796</v>
      </c>
      <c r="U9" s="835">
        <v>1521441</v>
      </c>
    </row>
    <row r="10" spans="1:21">
      <c r="A10" s="791" t="s">
        <v>58</v>
      </c>
      <c r="B10" s="792">
        <v>185008</v>
      </c>
      <c r="C10" s="792">
        <v>202776</v>
      </c>
      <c r="D10" s="792">
        <v>215904</v>
      </c>
      <c r="E10" s="792">
        <v>234043</v>
      </c>
      <c r="F10" s="792">
        <v>223045</v>
      </c>
      <c r="G10" s="792">
        <v>213093</v>
      </c>
      <c r="H10" s="792">
        <v>227907</v>
      </c>
      <c r="I10" s="792">
        <v>231630</v>
      </c>
      <c r="J10" s="792">
        <v>250617</v>
      </c>
      <c r="K10" s="792">
        <v>264923</v>
      </c>
      <c r="L10" s="792">
        <v>260984</v>
      </c>
      <c r="M10" s="792">
        <v>260274</v>
      </c>
      <c r="N10" s="792">
        <v>264685</v>
      </c>
      <c r="O10" s="792">
        <v>260824</v>
      </c>
      <c r="P10" s="792">
        <v>250372</v>
      </c>
      <c r="Q10" s="792">
        <v>248498</v>
      </c>
      <c r="R10" s="792">
        <v>232914</v>
      </c>
      <c r="S10" s="548">
        <v>224805</v>
      </c>
      <c r="T10" s="835">
        <v>214461</v>
      </c>
      <c r="U10" s="835">
        <v>249472</v>
      </c>
    </row>
    <row r="11" spans="1:21">
      <c r="A11" s="830" t="s">
        <v>59</v>
      </c>
      <c r="B11" s="831">
        <v>53106</v>
      </c>
      <c r="C11" s="831">
        <v>50285</v>
      </c>
      <c r="D11" s="831">
        <v>67018</v>
      </c>
      <c r="E11" s="831">
        <v>54347</v>
      </c>
      <c r="F11" s="831">
        <v>108544</v>
      </c>
      <c r="G11" s="831">
        <v>90607</v>
      </c>
      <c r="H11" s="831">
        <v>75585</v>
      </c>
      <c r="I11" s="831">
        <v>71808</v>
      </c>
      <c r="J11" s="831">
        <v>80343</v>
      </c>
      <c r="K11" s="831">
        <v>88645</v>
      </c>
      <c r="L11" s="831">
        <v>84315</v>
      </c>
      <c r="M11" s="831">
        <v>88691</v>
      </c>
      <c r="N11" s="831">
        <v>91795</v>
      </c>
      <c r="O11" s="831">
        <v>89036</v>
      </c>
      <c r="P11" s="831">
        <v>90428</v>
      </c>
      <c r="Q11" s="831">
        <v>90090</v>
      </c>
      <c r="R11" s="831">
        <v>94995</v>
      </c>
      <c r="S11" s="780">
        <v>83900</v>
      </c>
      <c r="T11" s="837">
        <v>107175</v>
      </c>
      <c r="U11" s="837">
        <v>120646</v>
      </c>
    </row>
    <row r="12" spans="1:21">
      <c r="A12" s="538" t="s">
        <v>62</v>
      </c>
      <c r="B12" s="539">
        <v>898181</v>
      </c>
      <c r="C12" s="539">
        <v>954209</v>
      </c>
      <c r="D12" s="539">
        <v>995381</v>
      </c>
      <c r="E12" s="539">
        <v>1021866</v>
      </c>
      <c r="F12" s="539">
        <v>1102214</v>
      </c>
      <c r="G12" s="539">
        <v>1074071</v>
      </c>
      <c r="H12" s="539">
        <v>1120985</v>
      </c>
      <c r="I12" s="539">
        <v>1250767</v>
      </c>
      <c r="J12" s="539">
        <v>1407253</v>
      </c>
      <c r="K12" s="539">
        <v>1594408</v>
      </c>
      <c r="L12" s="539">
        <v>1680339</v>
      </c>
      <c r="M12" s="539">
        <v>1845409</v>
      </c>
      <c r="N12" s="539">
        <v>2087361.25</v>
      </c>
      <c r="O12" s="539">
        <v>2119610</v>
      </c>
      <c r="P12" s="539">
        <v>2255186</v>
      </c>
      <c r="Q12" s="539">
        <v>2105047</v>
      </c>
      <c r="R12" s="539">
        <v>2181324</v>
      </c>
      <c r="S12" s="125">
        <f>SUM(S6:S11)</f>
        <v>2240384</v>
      </c>
      <c r="T12" s="780">
        <f>SUM(T6:T11)</f>
        <v>2279241</v>
      </c>
      <c r="U12" s="780">
        <f>SUM(U6:U11)</f>
        <v>2406375</v>
      </c>
    </row>
  </sheetData>
  <phoneticPr fontId="93" type="noConversion"/>
  <hyperlinks>
    <hyperlink ref="S1" location="Content!A1" display="content" xr:uid="{00000000-0004-0000-0700-000000000000}"/>
  </hyperlinks>
  <pageMargins left="0.7" right="0.7" top="0.75" bottom="0.75" header="0.3" footer="0.3"/>
  <pageSetup orientation="portrait"/>
  <ignoredErrors>
    <ignoredError sqref="S12" formulaRange="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A139"/>
  <sheetViews>
    <sheetView zoomScaleNormal="100" workbookViewId="0">
      <pane xSplit="3" ySplit="6" topLeftCell="AN78" activePane="bottomRight" state="frozenSplit"/>
      <selection pane="topRight"/>
      <selection pane="bottomLeft"/>
      <selection pane="bottomRight" activeCell="BC53" sqref="BC53"/>
    </sheetView>
  </sheetViews>
  <sheetFormatPr defaultColWidth="9" defaultRowHeight="14.4"/>
  <cols>
    <col min="1" max="1" width="10.21875" customWidth="1"/>
    <col min="2" max="2" width="13.21875" customWidth="1"/>
    <col min="3" max="3" width="13.33203125" customWidth="1"/>
    <col min="4" max="21" width="9.77734375" customWidth="1"/>
    <col min="22" max="23" width="11" customWidth="1"/>
  </cols>
  <sheetData>
    <row r="1" spans="1:23" ht="21">
      <c r="A1" s="528" t="s">
        <v>47</v>
      </c>
      <c r="U1" s="57" t="s">
        <v>48</v>
      </c>
    </row>
    <row r="2" spans="1:23" ht="18">
      <c r="A2" s="529" t="s">
        <v>271</v>
      </c>
    </row>
    <row r="3" spans="1:23" ht="18">
      <c r="A3" s="529" t="s">
        <v>287</v>
      </c>
    </row>
    <row r="4" spans="1:23" ht="18">
      <c r="A4" s="529" t="s">
        <v>288</v>
      </c>
    </row>
    <row r="6" spans="1:23">
      <c r="A6" s="1109" t="s">
        <v>61</v>
      </c>
      <c r="B6" s="1116" t="s">
        <v>68</v>
      </c>
      <c r="C6" s="1116" t="s">
        <v>289</v>
      </c>
      <c r="D6" s="1116">
        <v>2004</v>
      </c>
      <c r="E6" s="1116">
        <v>2005</v>
      </c>
      <c r="F6" s="1116">
        <v>2006</v>
      </c>
      <c r="G6" s="1116">
        <v>2007</v>
      </c>
      <c r="H6" s="1116">
        <v>2008</v>
      </c>
      <c r="I6" s="1116">
        <v>2009</v>
      </c>
      <c r="J6" s="1116">
        <v>2010</v>
      </c>
      <c r="K6" s="1116">
        <v>2011</v>
      </c>
      <c r="L6" s="1116">
        <v>2012</v>
      </c>
      <c r="M6" s="1116">
        <v>2013</v>
      </c>
      <c r="N6" s="1116">
        <v>2014</v>
      </c>
      <c r="O6" s="1116">
        <v>2015</v>
      </c>
      <c r="P6" s="1116">
        <v>2016</v>
      </c>
      <c r="Q6" s="1116">
        <v>2017</v>
      </c>
      <c r="R6" s="1116">
        <v>2018</v>
      </c>
      <c r="S6" s="1116">
        <v>2019</v>
      </c>
      <c r="T6" s="813">
        <v>2020</v>
      </c>
      <c r="U6" s="547">
        <v>2021</v>
      </c>
      <c r="V6" s="813">
        <v>2022</v>
      </c>
      <c r="W6" s="813">
        <v>2023</v>
      </c>
    </row>
    <row r="7" spans="1:23">
      <c r="A7" s="1109" t="s">
        <v>54</v>
      </c>
      <c r="B7" s="1116" t="s">
        <v>275</v>
      </c>
      <c r="C7" s="1116" t="s">
        <v>54</v>
      </c>
      <c r="D7" s="1117">
        <v>124556</v>
      </c>
      <c r="E7" s="1117">
        <v>121435</v>
      </c>
      <c r="F7" s="1117">
        <v>122736</v>
      </c>
      <c r="G7" s="1117">
        <v>123780</v>
      </c>
      <c r="H7" s="1117">
        <v>122431</v>
      </c>
      <c r="I7" s="1117">
        <v>121982</v>
      </c>
      <c r="J7" s="1117">
        <v>107632</v>
      </c>
      <c r="K7" s="1117">
        <v>122642</v>
      </c>
      <c r="L7" s="1117">
        <v>123570</v>
      </c>
      <c r="M7" s="1117">
        <v>122572</v>
      </c>
      <c r="N7" s="1117">
        <v>123283</v>
      </c>
      <c r="O7" s="1117">
        <v>114506</v>
      </c>
      <c r="P7" s="1117">
        <v>123809</v>
      </c>
      <c r="Q7" s="1117">
        <v>122813</v>
      </c>
      <c r="R7" s="1117">
        <v>119044</v>
      </c>
      <c r="S7" s="1117">
        <v>117969</v>
      </c>
      <c r="T7" s="1150">
        <v>112913</v>
      </c>
      <c r="U7" s="548">
        <v>109561</v>
      </c>
      <c r="V7" s="1101">
        <v>104890</v>
      </c>
      <c r="W7" s="1101">
        <v>108501</v>
      </c>
    </row>
    <row r="8" spans="1:23">
      <c r="A8" s="1118"/>
      <c r="C8" s="1119" t="s">
        <v>55</v>
      </c>
      <c r="D8" s="1120">
        <v>5694</v>
      </c>
      <c r="E8" s="1120">
        <v>5903</v>
      </c>
      <c r="F8" s="1120">
        <v>5623</v>
      </c>
      <c r="G8" s="1120">
        <v>5912</v>
      </c>
      <c r="H8" s="1120">
        <v>5464</v>
      </c>
      <c r="I8" s="1120">
        <v>5033</v>
      </c>
      <c r="J8" s="1120">
        <v>5224</v>
      </c>
      <c r="K8" s="1120">
        <v>5083</v>
      </c>
      <c r="L8" s="1120">
        <v>5477</v>
      </c>
      <c r="M8" s="1120">
        <v>5528</v>
      </c>
      <c r="N8" s="1120">
        <v>5557</v>
      </c>
      <c r="O8" s="1120">
        <v>5574</v>
      </c>
      <c r="P8" s="1120">
        <v>5364</v>
      </c>
      <c r="Q8" s="1120">
        <v>5380</v>
      </c>
      <c r="R8" s="1120">
        <v>5224</v>
      </c>
      <c r="S8" s="1120">
        <v>5179</v>
      </c>
      <c r="T8" s="1151">
        <v>4870</v>
      </c>
      <c r="U8" s="548">
        <v>5334</v>
      </c>
      <c r="V8" s="1103">
        <v>5687</v>
      </c>
      <c r="W8" s="1103">
        <v>6123</v>
      </c>
    </row>
    <row r="9" spans="1:23">
      <c r="A9" s="1118"/>
      <c r="C9" s="1119" t="s">
        <v>290</v>
      </c>
      <c r="D9" s="1120">
        <v>1523</v>
      </c>
      <c r="E9" s="1120">
        <v>1566</v>
      </c>
      <c r="F9" s="1120">
        <v>1654</v>
      </c>
      <c r="G9" s="1120">
        <v>1754</v>
      </c>
      <c r="H9" s="1120">
        <v>1398</v>
      </c>
      <c r="I9" s="1120">
        <v>1274</v>
      </c>
      <c r="J9" s="1120">
        <v>1200</v>
      </c>
      <c r="K9" s="1120">
        <v>1292</v>
      </c>
      <c r="L9" s="1120">
        <v>1380</v>
      </c>
      <c r="M9" s="1120">
        <v>1626</v>
      </c>
      <c r="N9" s="1120">
        <v>1602</v>
      </c>
      <c r="O9" s="1120">
        <v>1773</v>
      </c>
      <c r="P9" s="1120">
        <v>1675</v>
      </c>
      <c r="Q9" s="1120">
        <v>1566</v>
      </c>
      <c r="R9" s="1120">
        <v>1631</v>
      </c>
      <c r="S9" s="1120">
        <v>1627</v>
      </c>
      <c r="T9" s="1151">
        <v>1429</v>
      </c>
      <c r="U9" s="548">
        <v>1544</v>
      </c>
      <c r="V9" s="1103">
        <v>1613</v>
      </c>
      <c r="W9" s="1103">
        <v>1578</v>
      </c>
    </row>
    <row r="10" spans="1:23">
      <c r="A10" s="1118"/>
      <c r="C10" s="1119" t="s">
        <v>57</v>
      </c>
      <c r="D10" s="1120">
        <v>4107</v>
      </c>
      <c r="E10" s="1120">
        <v>5431</v>
      </c>
      <c r="F10" s="1120">
        <v>5421</v>
      </c>
      <c r="G10" s="1120">
        <v>6203</v>
      </c>
      <c r="H10" s="1120">
        <v>5217</v>
      </c>
      <c r="I10" s="1120">
        <v>5205</v>
      </c>
      <c r="J10" s="1120">
        <v>6042</v>
      </c>
      <c r="K10" s="1120">
        <v>8067</v>
      </c>
      <c r="L10" s="1120">
        <v>8683</v>
      </c>
      <c r="M10" s="1120">
        <v>9379</v>
      </c>
      <c r="N10" s="1120">
        <v>9709</v>
      </c>
      <c r="O10" s="1120">
        <v>10915</v>
      </c>
      <c r="P10" s="1120">
        <v>11157</v>
      </c>
      <c r="Q10" s="1120">
        <v>10970</v>
      </c>
      <c r="R10" s="1120">
        <v>12110</v>
      </c>
      <c r="S10" s="1120">
        <v>13181</v>
      </c>
      <c r="T10" s="1151">
        <v>13008</v>
      </c>
      <c r="U10" s="548">
        <v>13234</v>
      </c>
      <c r="V10" s="1103">
        <v>14178</v>
      </c>
      <c r="W10" s="1103">
        <v>14087</v>
      </c>
    </row>
    <row r="11" spans="1:23">
      <c r="A11" s="1118"/>
      <c r="C11" s="1119" t="s">
        <v>58</v>
      </c>
      <c r="D11" s="1120">
        <v>34203</v>
      </c>
      <c r="E11" s="1120">
        <v>36020</v>
      </c>
      <c r="F11" s="1120">
        <v>38352</v>
      </c>
      <c r="G11" s="1120">
        <v>41054</v>
      </c>
      <c r="H11" s="1120">
        <v>40739</v>
      </c>
      <c r="I11" s="1120">
        <v>38176</v>
      </c>
      <c r="J11" s="1120">
        <v>40266</v>
      </c>
      <c r="K11" s="1120">
        <v>40491</v>
      </c>
      <c r="L11" s="1120">
        <v>42727</v>
      </c>
      <c r="M11" s="1120">
        <v>43669</v>
      </c>
      <c r="N11" s="1120">
        <v>43554</v>
      </c>
      <c r="O11" s="1120">
        <v>43899</v>
      </c>
      <c r="P11" s="1120">
        <v>45149</v>
      </c>
      <c r="Q11" s="1120">
        <v>44765</v>
      </c>
      <c r="R11" s="1120">
        <v>43979</v>
      </c>
      <c r="S11" s="1120">
        <v>42558</v>
      </c>
      <c r="T11" s="1151">
        <v>39652</v>
      </c>
      <c r="U11" s="548">
        <v>38111</v>
      </c>
      <c r="V11" s="1103">
        <v>39772</v>
      </c>
      <c r="W11" s="1103">
        <v>45116</v>
      </c>
    </row>
    <row r="12" spans="1:23">
      <c r="A12" s="1118"/>
      <c r="C12" s="1121" t="s">
        <v>59</v>
      </c>
      <c r="D12" s="1122">
        <v>8137</v>
      </c>
      <c r="E12" s="1122">
        <v>11205</v>
      </c>
      <c r="F12" s="1122">
        <v>12813</v>
      </c>
      <c r="G12" s="1122">
        <v>10623</v>
      </c>
      <c r="H12" s="1122">
        <v>13265</v>
      </c>
      <c r="I12" s="1122">
        <v>10691</v>
      </c>
      <c r="J12" s="1122">
        <v>10129</v>
      </c>
      <c r="K12" s="1122">
        <v>13802</v>
      </c>
      <c r="L12" s="1122">
        <v>14999</v>
      </c>
      <c r="M12" s="1122">
        <v>14979</v>
      </c>
      <c r="N12" s="1122">
        <v>14791</v>
      </c>
      <c r="O12" s="1122">
        <v>17032</v>
      </c>
      <c r="P12" s="1122">
        <v>17133</v>
      </c>
      <c r="Q12" s="1122">
        <v>14818</v>
      </c>
      <c r="R12" s="1122">
        <v>15426</v>
      </c>
      <c r="S12" s="1122">
        <v>14731</v>
      </c>
      <c r="T12" s="1152">
        <v>13615</v>
      </c>
      <c r="U12" s="548">
        <v>14075</v>
      </c>
      <c r="V12" s="1103">
        <v>13634</v>
      </c>
      <c r="W12" s="1103">
        <v>16107</v>
      </c>
    </row>
    <row r="13" spans="1:23">
      <c r="A13" s="1118"/>
      <c r="C13" t="s">
        <v>62</v>
      </c>
      <c r="D13" s="812">
        <v>178220</v>
      </c>
      <c r="E13" s="812">
        <v>181560</v>
      </c>
      <c r="F13" s="812">
        <v>186599</v>
      </c>
      <c r="G13" s="812">
        <v>189326</v>
      </c>
      <c r="H13" s="812">
        <v>188514</v>
      </c>
      <c r="I13" s="812">
        <v>182361</v>
      </c>
      <c r="J13" s="812">
        <v>170493</v>
      </c>
      <c r="K13" s="812">
        <v>191377</v>
      </c>
      <c r="L13" s="812">
        <v>196836</v>
      </c>
      <c r="M13" s="812">
        <v>197753</v>
      </c>
      <c r="N13" s="812">
        <v>198496</v>
      </c>
      <c r="O13" s="812">
        <v>193699</v>
      </c>
      <c r="P13" s="812">
        <v>204287</v>
      </c>
      <c r="Q13" s="812">
        <v>200312</v>
      </c>
      <c r="R13" s="812">
        <v>197414</v>
      </c>
      <c r="S13" s="812">
        <v>195245</v>
      </c>
      <c r="T13" s="1153">
        <v>185487</v>
      </c>
      <c r="U13" s="550">
        <f>SUM(U7:U12)</f>
        <v>181859</v>
      </c>
      <c r="V13" s="781">
        <f>SUM(V7:V12)</f>
        <v>179774</v>
      </c>
      <c r="W13" s="781">
        <f>SUM(W7:W12)</f>
        <v>191512</v>
      </c>
    </row>
    <row r="14" spans="1:23">
      <c r="A14" s="1118"/>
      <c r="B14" s="1116" t="s">
        <v>276</v>
      </c>
      <c r="C14" s="1116" t="s">
        <v>54</v>
      </c>
      <c r="D14" s="1117">
        <v>32184</v>
      </c>
      <c r="E14" s="1117">
        <v>33485</v>
      </c>
      <c r="F14" s="1117">
        <v>34339</v>
      </c>
      <c r="G14" s="1117">
        <v>35698</v>
      </c>
      <c r="H14" s="1117">
        <v>36535</v>
      </c>
      <c r="I14" s="1117">
        <v>33923</v>
      </c>
      <c r="J14" s="1117">
        <v>38783</v>
      </c>
      <c r="K14" s="1117">
        <v>36255</v>
      </c>
      <c r="L14" s="1117">
        <v>36464</v>
      </c>
      <c r="M14" s="1117">
        <v>36468</v>
      </c>
      <c r="N14" s="1117">
        <v>37484</v>
      </c>
      <c r="O14" s="1117">
        <v>38103</v>
      </c>
      <c r="P14" s="1117">
        <v>38120</v>
      </c>
      <c r="Q14" s="1117">
        <v>40063</v>
      </c>
      <c r="R14" s="1117">
        <v>41453</v>
      </c>
      <c r="S14" s="1117">
        <v>42847</v>
      </c>
      <c r="T14" s="1150">
        <v>42404</v>
      </c>
      <c r="U14" s="551">
        <v>42559</v>
      </c>
      <c r="V14" s="1101">
        <v>42556</v>
      </c>
      <c r="W14" s="1101">
        <v>44613</v>
      </c>
    </row>
    <row r="15" spans="1:23">
      <c r="A15" s="1118"/>
      <c r="C15" s="1121" t="s">
        <v>59</v>
      </c>
      <c r="D15" s="1122">
        <v>54</v>
      </c>
      <c r="E15" s="1122">
        <v>72</v>
      </c>
      <c r="F15" s="1122">
        <v>99</v>
      </c>
      <c r="G15" s="1122">
        <v>91</v>
      </c>
      <c r="H15" s="1122">
        <v>117</v>
      </c>
      <c r="I15" s="1122">
        <v>109</v>
      </c>
      <c r="J15" s="1122">
        <v>130</v>
      </c>
      <c r="K15" s="1122">
        <v>123</v>
      </c>
      <c r="L15" s="1122">
        <v>1265</v>
      </c>
      <c r="M15" s="1122">
        <v>1362</v>
      </c>
      <c r="N15" s="1122">
        <v>1195</v>
      </c>
      <c r="O15" s="1122">
        <v>1034</v>
      </c>
      <c r="P15" s="1122">
        <v>1016</v>
      </c>
      <c r="Q15" s="1122">
        <v>858</v>
      </c>
      <c r="R15" s="1122">
        <v>723</v>
      </c>
      <c r="S15" s="1122">
        <v>649</v>
      </c>
      <c r="T15" s="1152">
        <v>809</v>
      </c>
      <c r="U15" s="548">
        <v>203</v>
      </c>
      <c r="V15" s="1103">
        <v>112</v>
      </c>
      <c r="W15" s="1103">
        <v>485</v>
      </c>
    </row>
    <row r="16" spans="1:23">
      <c r="A16" s="1118"/>
      <c r="B16" s="1123"/>
      <c r="C16" s="1123" t="s">
        <v>62</v>
      </c>
      <c r="D16" s="1124">
        <v>32238</v>
      </c>
      <c r="E16" s="1124">
        <v>33557</v>
      </c>
      <c r="F16" s="1124">
        <v>34438</v>
      </c>
      <c r="G16" s="1124">
        <v>35789</v>
      </c>
      <c r="H16" s="1124">
        <v>36652</v>
      </c>
      <c r="I16" s="1124">
        <v>34032</v>
      </c>
      <c r="J16" s="1124">
        <v>38913</v>
      </c>
      <c r="K16" s="1124">
        <v>36378</v>
      </c>
      <c r="L16" s="1124">
        <v>36583</v>
      </c>
      <c r="M16" s="1124">
        <v>37830</v>
      </c>
      <c r="N16" s="1124">
        <v>38679</v>
      </c>
      <c r="O16" s="1124">
        <v>39137</v>
      </c>
      <c r="P16" s="1124">
        <v>39136</v>
      </c>
      <c r="Q16" s="1124">
        <v>40921</v>
      </c>
      <c r="R16" s="1124">
        <v>42176</v>
      </c>
      <c r="S16" s="1124">
        <v>43496</v>
      </c>
      <c r="T16" s="1154">
        <v>43213</v>
      </c>
      <c r="U16" s="550">
        <f>SUM(U14:U15)</f>
        <v>42762</v>
      </c>
      <c r="V16" s="1155">
        <f>SUM(V14:V15)</f>
        <v>42668</v>
      </c>
      <c r="W16" s="1155">
        <f>SUM(W14:W15)</f>
        <v>45098</v>
      </c>
    </row>
    <row r="17" spans="1:23">
      <c r="A17" s="1118"/>
      <c r="B17" t="s">
        <v>291</v>
      </c>
      <c r="C17" t="s">
        <v>54</v>
      </c>
      <c r="D17" s="812">
        <v>37701</v>
      </c>
      <c r="E17" s="812">
        <v>37467</v>
      </c>
      <c r="F17" s="812">
        <v>35767</v>
      </c>
      <c r="G17" s="812">
        <v>41799</v>
      </c>
      <c r="H17" s="812">
        <v>39307</v>
      </c>
      <c r="I17" s="812">
        <v>39699</v>
      </c>
      <c r="J17" s="812">
        <v>38429</v>
      </c>
      <c r="K17" s="812">
        <v>37790</v>
      </c>
      <c r="L17" s="812">
        <v>39377</v>
      </c>
      <c r="M17" s="812">
        <v>40126</v>
      </c>
      <c r="N17" s="812">
        <v>40894</v>
      </c>
      <c r="O17" s="812">
        <v>40997</v>
      </c>
      <c r="P17" s="812">
        <v>41226</v>
      </c>
      <c r="Q17" s="812">
        <v>41669</v>
      </c>
      <c r="R17" s="812">
        <v>43033</v>
      </c>
      <c r="S17" s="812">
        <v>42666</v>
      </c>
      <c r="T17" s="1153">
        <v>42169</v>
      </c>
      <c r="U17" s="551">
        <v>44132</v>
      </c>
      <c r="V17" s="1101">
        <v>44195</v>
      </c>
      <c r="W17" s="1101">
        <v>44198</v>
      </c>
    </row>
    <row r="18" spans="1:23">
      <c r="A18" s="1118"/>
      <c r="B18" t="s">
        <v>292</v>
      </c>
      <c r="C18" s="1119" t="s">
        <v>55</v>
      </c>
      <c r="D18" s="1120">
        <v>15944</v>
      </c>
      <c r="E18" s="1120">
        <v>17798</v>
      </c>
      <c r="F18" s="1120">
        <v>18332</v>
      </c>
      <c r="G18" s="1120">
        <v>18903</v>
      </c>
      <c r="H18" s="1120">
        <v>19323</v>
      </c>
      <c r="I18" s="1120">
        <v>16218</v>
      </c>
      <c r="J18" s="1120">
        <v>15898</v>
      </c>
      <c r="K18" s="1120">
        <v>15940</v>
      </c>
      <c r="L18" s="1120">
        <v>15422</v>
      </c>
      <c r="M18" s="1120">
        <v>15076</v>
      </c>
      <c r="N18" s="1120">
        <v>15593</v>
      </c>
      <c r="O18" s="1120">
        <v>15210</v>
      </c>
      <c r="P18" s="1120">
        <v>15204</v>
      </c>
      <c r="Q18" s="1120">
        <v>15179</v>
      </c>
      <c r="R18" s="1120">
        <v>15660</v>
      </c>
      <c r="S18" s="1120">
        <v>15215</v>
      </c>
      <c r="T18" s="1151">
        <v>14402</v>
      </c>
      <c r="U18" s="548">
        <v>15590</v>
      </c>
      <c r="V18" s="1103">
        <v>15888</v>
      </c>
      <c r="W18" s="1103">
        <v>15659</v>
      </c>
    </row>
    <row r="19" spans="1:23">
      <c r="A19" s="1118"/>
      <c r="C19" s="1119" t="s">
        <v>290</v>
      </c>
      <c r="D19" s="1120">
        <v>7580</v>
      </c>
      <c r="E19" s="1120">
        <v>8511</v>
      </c>
      <c r="F19" s="1120">
        <v>9030</v>
      </c>
      <c r="G19" s="1120">
        <v>9412</v>
      </c>
      <c r="H19" s="1120">
        <v>9634</v>
      </c>
      <c r="I19" s="1120">
        <v>7998</v>
      </c>
      <c r="J19" s="1120">
        <v>8651</v>
      </c>
      <c r="K19" s="1120">
        <v>9277</v>
      </c>
      <c r="L19" s="1120">
        <v>8814</v>
      </c>
      <c r="M19" s="1120">
        <v>10112</v>
      </c>
      <c r="N19" s="1120">
        <v>10697</v>
      </c>
      <c r="O19" s="1120">
        <v>10254</v>
      </c>
      <c r="P19" s="1120">
        <v>10176</v>
      </c>
      <c r="Q19" s="1120">
        <v>10133</v>
      </c>
      <c r="R19" s="1120">
        <v>11071</v>
      </c>
      <c r="S19" s="1120">
        <v>10615</v>
      </c>
      <c r="T19" s="1151">
        <v>10021</v>
      </c>
      <c r="U19" s="548">
        <v>10909</v>
      </c>
      <c r="V19" s="1103">
        <v>11321</v>
      </c>
      <c r="W19" s="1103">
        <v>11433</v>
      </c>
    </row>
    <row r="20" spans="1:23">
      <c r="A20" s="1118"/>
      <c r="C20" s="1119" t="s">
        <v>57</v>
      </c>
      <c r="D20" s="1120">
        <v>12222</v>
      </c>
      <c r="E20" s="1120">
        <v>14847</v>
      </c>
      <c r="F20" s="1120">
        <v>17200</v>
      </c>
      <c r="G20" s="1120">
        <v>18452</v>
      </c>
      <c r="H20" s="1120">
        <v>20634</v>
      </c>
      <c r="I20" s="1120">
        <v>19042</v>
      </c>
      <c r="J20" s="1120">
        <v>21697</v>
      </c>
      <c r="K20" s="1120">
        <v>22132</v>
      </c>
      <c r="L20" s="1120">
        <v>23137</v>
      </c>
      <c r="M20" s="1120">
        <v>23908</v>
      </c>
      <c r="N20" s="1120">
        <v>25285</v>
      </c>
      <c r="O20" s="1120">
        <v>24738</v>
      </c>
      <c r="P20" s="1120">
        <v>25310</v>
      </c>
      <c r="Q20" s="1120">
        <v>25848</v>
      </c>
      <c r="R20" s="1120">
        <v>27700</v>
      </c>
      <c r="S20" s="1120">
        <v>28575</v>
      </c>
      <c r="T20" s="1151">
        <v>27513</v>
      </c>
      <c r="U20" s="548">
        <v>29314</v>
      </c>
      <c r="V20" s="1103">
        <v>27058</v>
      </c>
      <c r="W20" s="1103">
        <v>27701</v>
      </c>
    </row>
    <row r="21" spans="1:23">
      <c r="A21" s="1118"/>
      <c r="C21" s="1119" t="s">
        <v>58</v>
      </c>
      <c r="D21" s="1120">
        <v>18721</v>
      </c>
      <c r="E21" s="1120">
        <v>18554</v>
      </c>
      <c r="F21" s="1120">
        <v>21211</v>
      </c>
      <c r="G21" s="1120">
        <v>23679</v>
      </c>
      <c r="H21" s="1120">
        <v>28255</v>
      </c>
      <c r="I21" s="1120">
        <v>34041</v>
      </c>
      <c r="J21" s="1120">
        <v>38558</v>
      </c>
      <c r="K21" s="1120">
        <v>39823</v>
      </c>
      <c r="L21" s="1120">
        <v>42468</v>
      </c>
      <c r="M21" s="1120">
        <v>45235</v>
      </c>
      <c r="N21" s="1120">
        <v>48125</v>
      </c>
      <c r="O21" s="1120">
        <v>49304</v>
      </c>
      <c r="P21" s="1120">
        <v>52120</v>
      </c>
      <c r="Q21" s="1120">
        <v>52230</v>
      </c>
      <c r="R21" s="1120">
        <v>51720</v>
      </c>
      <c r="S21" s="1120">
        <v>52134</v>
      </c>
      <c r="T21" s="1151">
        <v>51247</v>
      </c>
      <c r="U21" s="548">
        <v>52002</v>
      </c>
      <c r="V21" s="1103">
        <v>51683</v>
      </c>
      <c r="W21" s="1103">
        <v>37137</v>
      </c>
    </row>
    <row r="22" spans="1:23">
      <c r="A22" s="1118"/>
      <c r="C22" s="1121" t="s">
        <v>59</v>
      </c>
      <c r="D22" s="1122">
        <v>23407</v>
      </c>
      <c r="E22" s="1122">
        <v>29995</v>
      </c>
      <c r="F22" s="1122">
        <v>39646</v>
      </c>
      <c r="G22" s="1122">
        <v>33210</v>
      </c>
      <c r="H22" s="1122">
        <v>38054</v>
      </c>
      <c r="I22" s="1122">
        <v>26814</v>
      </c>
      <c r="J22" s="1122">
        <v>49916</v>
      </c>
      <c r="K22" s="1122">
        <v>66301</v>
      </c>
      <c r="L22" s="1122">
        <v>68609</v>
      </c>
      <c r="M22" s="1122">
        <v>70320</v>
      </c>
      <c r="N22" s="1122">
        <v>69354</v>
      </c>
      <c r="O22" s="1122">
        <v>65658</v>
      </c>
      <c r="P22" s="1122">
        <v>64900</v>
      </c>
      <c r="Q22" s="1122">
        <v>65638</v>
      </c>
      <c r="R22" s="1122">
        <v>68570</v>
      </c>
      <c r="S22" s="1122">
        <v>63944</v>
      </c>
      <c r="T22" s="1152">
        <v>60353</v>
      </c>
      <c r="U22" s="1156">
        <v>66507</v>
      </c>
      <c r="V22" s="1157">
        <v>67190</v>
      </c>
      <c r="W22" s="1157">
        <v>64150</v>
      </c>
    </row>
    <row r="23" spans="1:23">
      <c r="A23" s="1118"/>
      <c r="C23" t="s">
        <v>62</v>
      </c>
      <c r="D23" s="812">
        <v>115575</v>
      </c>
      <c r="E23" s="812">
        <v>127172</v>
      </c>
      <c r="F23" s="812">
        <v>141186</v>
      </c>
      <c r="G23" s="812">
        <v>145455</v>
      </c>
      <c r="H23" s="812">
        <v>155207</v>
      </c>
      <c r="I23" s="812">
        <v>143812</v>
      </c>
      <c r="J23" s="812">
        <v>173149</v>
      </c>
      <c r="K23" s="812">
        <v>191263</v>
      </c>
      <c r="L23" s="812">
        <v>197827</v>
      </c>
      <c r="M23" s="812">
        <v>204777</v>
      </c>
      <c r="N23" s="812">
        <v>209948</v>
      </c>
      <c r="O23" s="812">
        <v>206161</v>
      </c>
      <c r="P23" s="812">
        <v>208936</v>
      </c>
      <c r="Q23" s="812">
        <v>210697</v>
      </c>
      <c r="R23" s="812">
        <v>217754</v>
      </c>
      <c r="S23" s="812">
        <v>213149</v>
      </c>
      <c r="T23" s="1153">
        <v>205705</v>
      </c>
      <c r="U23" s="1158">
        <v>218454</v>
      </c>
      <c r="V23" s="1155">
        <f>SUM(V17:V22)</f>
        <v>217335</v>
      </c>
      <c r="W23" s="1155">
        <f>SUM(W17:W22)</f>
        <v>200278</v>
      </c>
    </row>
    <row r="24" spans="1:23">
      <c r="A24" s="809"/>
      <c r="B24" s="1125" t="s">
        <v>62</v>
      </c>
      <c r="C24" s="1125"/>
      <c r="D24" s="1126">
        <v>326033</v>
      </c>
      <c r="E24" s="1126">
        <v>342289</v>
      </c>
      <c r="F24" s="1126">
        <v>362223</v>
      </c>
      <c r="G24" s="1126">
        <v>370570</v>
      </c>
      <c r="H24" s="1126">
        <v>380373</v>
      </c>
      <c r="I24" s="1126">
        <v>360205</v>
      </c>
      <c r="J24" s="1126">
        <v>382555</v>
      </c>
      <c r="K24" s="1126">
        <v>419018</v>
      </c>
      <c r="L24" s="1126">
        <v>431246</v>
      </c>
      <c r="M24" s="1126">
        <v>440360</v>
      </c>
      <c r="N24" s="1126">
        <v>447123</v>
      </c>
      <c r="O24" s="1126">
        <v>438997</v>
      </c>
      <c r="P24" s="1126">
        <v>452359</v>
      </c>
      <c r="Q24" s="1126">
        <v>451930</v>
      </c>
      <c r="R24" s="1126">
        <v>457344</v>
      </c>
      <c r="S24" s="1126">
        <v>451890</v>
      </c>
      <c r="T24" s="1159">
        <v>434405</v>
      </c>
      <c r="U24" s="1160">
        <v>443075</v>
      </c>
      <c r="V24" s="1161">
        <f>V13+V16+V23</f>
        <v>439777</v>
      </c>
      <c r="W24" s="1161">
        <f>W13+W16+W23</f>
        <v>436888</v>
      </c>
    </row>
    <row r="25" spans="1:23">
      <c r="A25" s="1109" t="s">
        <v>55</v>
      </c>
      <c r="B25" s="1116" t="s">
        <v>275</v>
      </c>
      <c r="C25" s="1116" t="s">
        <v>54</v>
      </c>
      <c r="D25" s="1117">
        <v>4757</v>
      </c>
      <c r="E25" s="1117">
        <v>4612</v>
      </c>
      <c r="F25" s="1117">
        <v>4141</v>
      </c>
      <c r="G25" s="1117">
        <v>4021</v>
      </c>
      <c r="H25" s="1117">
        <v>3438</v>
      </c>
      <c r="I25" s="1117">
        <v>2661</v>
      </c>
      <c r="J25" s="1117">
        <v>2282</v>
      </c>
      <c r="K25" s="1117">
        <v>2811</v>
      </c>
      <c r="L25" s="1117">
        <v>3057</v>
      </c>
      <c r="M25" s="1117">
        <v>3288</v>
      </c>
      <c r="N25" s="1117">
        <v>3542</v>
      </c>
      <c r="O25" s="1117">
        <v>4190</v>
      </c>
      <c r="P25" s="1117">
        <v>4583</v>
      </c>
      <c r="Q25" s="1117">
        <v>4992</v>
      </c>
      <c r="R25" s="1117">
        <v>5122</v>
      </c>
      <c r="S25" s="1117">
        <v>4828</v>
      </c>
      <c r="T25" s="1150">
        <v>4296</v>
      </c>
      <c r="U25" s="551">
        <v>3159</v>
      </c>
      <c r="V25" s="1103">
        <v>3373</v>
      </c>
      <c r="W25" s="1103">
        <v>3252</v>
      </c>
    </row>
    <row r="26" spans="1:23">
      <c r="A26" s="1118"/>
      <c r="C26" s="1119" t="s">
        <v>55</v>
      </c>
      <c r="D26" s="1120">
        <v>362342</v>
      </c>
      <c r="E26" s="1120">
        <v>359382</v>
      </c>
      <c r="F26" s="1120">
        <v>336013</v>
      </c>
      <c r="G26" s="1120">
        <v>321375</v>
      </c>
      <c r="H26" s="1120">
        <v>317528</v>
      </c>
      <c r="I26" s="1120">
        <v>282359</v>
      </c>
      <c r="J26" s="1120">
        <v>276156</v>
      </c>
      <c r="K26" s="1120">
        <v>271683</v>
      </c>
      <c r="L26" s="1120">
        <v>269132</v>
      </c>
      <c r="M26" s="1120">
        <v>252391</v>
      </c>
      <c r="N26" s="1120">
        <v>245343</v>
      </c>
      <c r="O26" s="1120">
        <v>237574</v>
      </c>
      <c r="P26" s="1120">
        <v>238167</v>
      </c>
      <c r="Q26" s="1120">
        <v>236216</v>
      </c>
      <c r="R26" s="1120">
        <v>228705</v>
      </c>
      <c r="S26" s="1120">
        <v>219138</v>
      </c>
      <c r="T26" s="1151">
        <v>200385</v>
      </c>
      <c r="U26" s="548">
        <v>194630</v>
      </c>
      <c r="V26" s="1103">
        <v>190549</v>
      </c>
      <c r="W26" s="1103">
        <v>199872</v>
      </c>
    </row>
    <row r="27" spans="1:23">
      <c r="A27" s="1118"/>
      <c r="C27" s="1119" t="s">
        <v>290</v>
      </c>
      <c r="D27" s="1120">
        <v>9017</v>
      </c>
      <c r="E27" s="1120">
        <v>9201</v>
      </c>
      <c r="F27" s="1120">
        <v>9222</v>
      </c>
      <c r="G27" s="1120">
        <v>8853</v>
      </c>
      <c r="H27" s="1120">
        <v>8039</v>
      </c>
      <c r="I27" s="1120">
        <v>5857</v>
      </c>
      <c r="J27" s="1120">
        <v>5471</v>
      </c>
      <c r="K27" s="1120">
        <v>6242</v>
      </c>
      <c r="L27" s="1120">
        <v>6203</v>
      </c>
      <c r="M27" s="1120">
        <v>5502</v>
      </c>
      <c r="N27" s="1120">
        <v>5101</v>
      </c>
      <c r="O27" s="1120">
        <v>5117</v>
      </c>
      <c r="P27" s="1120">
        <v>4654</v>
      </c>
      <c r="Q27" s="1120">
        <v>4699</v>
      </c>
      <c r="R27" s="1120">
        <v>5036</v>
      </c>
      <c r="S27" s="1120">
        <v>4399</v>
      </c>
      <c r="T27" s="1151">
        <v>4055</v>
      </c>
      <c r="U27" s="548">
        <v>3981</v>
      </c>
      <c r="V27" s="1103">
        <v>4086</v>
      </c>
      <c r="W27" s="1103">
        <v>3932</v>
      </c>
    </row>
    <row r="28" spans="1:23">
      <c r="A28" s="1118"/>
      <c r="C28" s="1119" t="s">
        <v>57</v>
      </c>
      <c r="D28" s="1120">
        <v>18026</v>
      </c>
      <c r="E28" s="1120">
        <v>20663</v>
      </c>
      <c r="F28" s="1120">
        <v>20471</v>
      </c>
      <c r="G28" s="1120">
        <v>20183</v>
      </c>
      <c r="H28" s="1120">
        <v>19498</v>
      </c>
      <c r="I28" s="1120">
        <v>16783</v>
      </c>
      <c r="J28" s="1120">
        <v>17691</v>
      </c>
      <c r="K28" s="1120">
        <v>22640</v>
      </c>
      <c r="L28" s="1120">
        <v>21792</v>
      </c>
      <c r="M28" s="1120">
        <v>19734</v>
      </c>
      <c r="N28" s="1120">
        <v>18161</v>
      </c>
      <c r="O28" s="1120">
        <v>18466</v>
      </c>
      <c r="P28" s="1120">
        <v>17892</v>
      </c>
      <c r="Q28" s="1120">
        <v>18438</v>
      </c>
      <c r="R28" s="1120">
        <v>21594</v>
      </c>
      <c r="S28" s="1120">
        <v>22864</v>
      </c>
      <c r="T28" s="1151">
        <v>21706</v>
      </c>
      <c r="U28" s="548">
        <v>20091</v>
      </c>
      <c r="V28" s="1103">
        <v>20528</v>
      </c>
      <c r="W28" s="1103">
        <v>20039</v>
      </c>
    </row>
    <row r="29" spans="1:23">
      <c r="A29" s="1118"/>
      <c r="C29" s="1119" t="s">
        <v>58</v>
      </c>
      <c r="D29" s="1120">
        <v>55281</v>
      </c>
      <c r="E29" s="1120">
        <v>61587</v>
      </c>
      <c r="F29" s="1120">
        <v>64140</v>
      </c>
      <c r="G29" s="1120">
        <v>65057</v>
      </c>
      <c r="H29" s="1120">
        <v>66408</v>
      </c>
      <c r="I29" s="1120">
        <v>60409</v>
      </c>
      <c r="J29" s="1120">
        <v>58948</v>
      </c>
      <c r="K29" s="1120">
        <v>59246</v>
      </c>
      <c r="L29" s="1120">
        <v>58833</v>
      </c>
      <c r="M29" s="1120">
        <v>54996</v>
      </c>
      <c r="N29" s="1120">
        <v>55350</v>
      </c>
      <c r="O29" s="1120">
        <v>55271</v>
      </c>
      <c r="P29" s="1120">
        <v>54087</v>
      </c>
      <c r="Q29" s="1120">
        <v>52843</v>
      </c>
      <c r="R29" s="1120">
        <v>52131</v>
      </c>
      <c r="S29" s="1120">
        <v>50203</v>
      </c>
      <c r="T29" s="1151">
        <v>45786</v>
      </c>
      <c r="U29" s="548">
        <v>42603</v>
      </c>
      <c r="V29" s="1103">
        <v>43014</v>
      </c>
      <c r="W29" s="1103">
        <v>46339</v>
      </c>
    </row>
    <row r="30" spans="1:23">
      <c r="A30" s="1118"/>
      <c r="C30" s="1121" t="s">
        <v>59</v>
      </c>
      <c r="D30" s="1122">
        <v>3481</v>
      </c>
      <c r="E30" s="1122">
        <v>4088</v>
      </c>
      <c r="F30" s="1122">
        <v>4323</v>
      </c>
      <c r="G30" s="1122">
        <v>3779</v>
      </c>
      <c r="H30" s="1122">
        <v>4132</v>
      </c>
      <c r="I30" s="1122">
        <v>6147</v>
      </c>
      <c r="J30" s="1122">
        <v>3983</v>
      </c>
      <c r="K30" s="1122">
        <v>6433</v>
      </c>
      <c r="L30" s="1122">
        <v>6950</v>
      </c>
      <c r="M30" s="1122">
        <v>6420</v>
      </c>
      <c r="N30" s="1122">
        <v>6212</v>
      </c>
      <c r="O30" s="1122">
        <v>7733</v>
      </c>
      <c r="P30" s="1122">
        <v>7950</v>
      </c>
      <c r="Q30" s="1122">
        <v>6253</v>
      </c>
      <c r="R30" s="1122">
        <v>6807</v>
      </c>
      <c r="S30" s="1122">
        <v>6399</v>
      </c>
      <c r="T30" s="1152">
        <v>5403</v>
      </c>
      <c r="U30" s="548">
        <v>5112</v>
      </c>
      <c r="V30" s="1103">
        <v>5044</v>
      </c>
      <c r="W30" s="1103">
        <v>5316</v>
      </c>
    </row>
    <row r="31" spans="1:23">
      <c r="A31" s="1118"/>
      <c r="C31" t="s">
        <v>62</v>
      </c>
      <c r="D31" s="812">
        <v>452904</v>
      </c>
      <c r="E31" s="812">
        <v>459533</v>
      </c>
      <c r="F31" s="812">
        <v>438310</v>
      </c>
      <c r="G31" s="812">
        <v>423268</v>
      </c>
      <c r="H31" s="812">
        <v>419043</v>
      </c>
      <c r="I31" s="812">
        <v>374216</v>
      </c>
      <c r="J31" s="812">
        <v>364531</v>
      </c>
      <c r="K31" s="812">
        <v>369055</v>
      </c>
      <c r="L31" s="812">
        <v>365967</v>
      </c>
      <c r="M31" s="812">
        <v>342331</v>
      </c>
      <c r="N31" s="812">
        <v>333709</v>
      </c>
      <c r="O31" s="812">
        <v>328351</v>
      </c>
      <c r="P31" s="812">
        <v>327333</v>
      </c>
      <c r="Q31" s="812">
        <v>323441</v>
      </c>
      <c r="R31" s="812">
        <v>319395</v>
      </c>
      <c r="S31" s="812">
        <v>307831</v>
      </c>
      <c r="T31" s="1153">
        <v>281631</v>
      </c>
      <c r="U31" s="550">
        <f>SUM(U25:U30)</f>
        <v>269576</v>
      </c>
      <c r="V31" s="550">
        <f>SUM(V25:V30)</f>
        <v>266594</v>
      </c>
      <c r="W31" s="550">
        <f>SUM(W25:W30)</f>
        <v>278750</v>
      </c>
    </row>
    <row r="32" spans="1:23">
      <c r="A32" s="1118"/>
      <c r="B32" s="1116" t="s">
        <v>276</v>
      </c>
      <c r="C32" s="1116" t="s">
        <v>54</v>
      </c>
      <c r="D32" s="1117">
        <v>11992</v>
      </c>
      <c r="E32" s="1117">
        <v>11597</v>
      </c>
      <c r="F32" s="1117">
        <v>10903</v>
      </c>
      <c r="G32" s="1117">
        <v>10888</v>
      </c>
      <c r="H32" s="1117">
        <v>11001</v>
      </c>
      <c r="I32" s="1117">
        <v>8483</v>
      </c>
      <c r="J32" s="1117">
        <v>9737</v>
      </c>
      <c r="K32" s="1117">
        <v>8516</v>
      </c>
      <c r="L32" s="1117">
        <v>8171</v>
      </c>
      <c r="M32" s="1117">
        <v>7144</v>
      </c>
      <c r="N32" s="1117">
        <v>6611</v>
      </c>
      <c r="O32" s="1117">
        <v>6390</v>
      </c>
      <c r="P32" s="1117">
        <v>6440</v>
      </c>
      <c r="Q32" s="1117">
        <v>6686</v>
      </c>
      <c r="R32" s="1117">
        <v>6906</v>
      </c>
      <c r="S32" s="1117">
        <v>6612</v>
      </c>
      <c r="T32" s="1150">
        <v>6032</v>
      </c>
      <c r="U32" s="551">
        <v>5702</v>
      </c>
      <c r="V32" s="1101">
        <v>5792</v>
      </c>
      <c r="W32" s="1101">
        <v>6005</v>
      </c>
    </row>
    <row r="33" spans="1:23">
      <c r="A33" s="1118"/>
      <c r="C33" s="1121" t="s">
        <v>59</v>
      </c>
      <c r="D33" s="1122">
        <v>10</v>
      </c>
      <c r="E33" s="1122">
        <v>81</v>
      </c>
      <c r="F33" s="1122">
        <v>48</v>
      </c>
      <c r="G33" s="1122">
        <v>17</v>
      </c>
      <c r="H33" s="1122">
        <v>16</v>
      </c>
      <c r="I33" s="1122">
        <v>19</v>
      </c>
      <c r="J33" s="1122">
        <v>6</v>
      </c>
      <c r="K33" s="1122">
        <v>8</v>
      </c>
      <c r="L33" s="1122">
        <v>360</v>
      </c>
      <c r="M33" s="1122">
        <v>301</v>
      </c>
      <c r="N33" s="1122">
        <v>167</v>
      </c>
      <c r="O33" s="1122">
        <v>128</v>
      </c>
      <c r="P33" s="1122">
        <v>111</v>
      </c>
      <c r="Q33" s="1122">
        <v>85</v>
      </c>
      <c r="R33" s="1122">
        <v>106</v>
      </c>
      <c r="S33" s="1122">
        <v>95</v>
      </c>
      <c r="T33" s="1152">
        <v>65</v>
      </c>
      <c r="U33" s="548">
        <v>41</v>
      </c>
      <c r="V33" s="1103">
        <v>9</v>
      </c>
      <c r="W33" s="1103">
        <v>49</v>
      </c>
    </row>
    <row r="34" spans="1:23">
      <c r="A34" s="1118"/>
      <c r="B34" s="1123"/>
      <c r="C34" s="1123" t="s">
        <v>62</v>
      </c>
      <c r="D34" s="1124">
        <v>12002</v>
      </c>
      <c r="E34" s="1124">
        <v>11678</v>
      </c>
      <c r="F34" s="1124">
        <v>10951</v>
      </c>
      <c r="G34" s="1124">
        <v>10905</v>
      </c>
      <c r="H34" s="1124">
        <v>11017</v>
      </c>
      <c r="I34" s="1124">
        <v>8502</v>
      </c>
      <c r="J34" s="1124">
        <v>9743</v>
      </c>
      <c r="K34" s="1124">
        <v>8524</v>
      </c>
      <c r="L34" s="1124">
        <v>8191</v>
      </c>
      <c r="M34" s="1124">
        <v>7445</v>
      </c>
      <c r="N34" s="1124">
        <v>6778</v>
      </c>
      <c r="O34" s="1124">
        <v>6518</v>
      </c>
      <c r="P34" s="1124">
        <v>6551</v>
      </c>
      <c r="Q34" s="1124">
        <v>6771</v>
      </c>
      <c r="R34" s="1124">
        <v>7012</v>
      </c>
      <c r="S34" s="1124">
        <v>6707</v>
      </c>
      <c r="T34" s="1154">
        <v>6097</v>
      </c>
      <c r="U34" s="550">
        <f>SUM(U32:U33)</f>
        <v>5743</v>
      </c>
      <c r="V34" s="781">
        <f>SUM(V32:V33)</f>
        <v>5801</v>
      </c>
      <c r="W34" s="781">
        <f>SUM(W32:W33)</f>
        <v>6054</v>
      </c>
    </row>
    <row r="35" spans="1:23">
      <c r="A35" s="1118"/>
      <c r="B35" t="s">
        <v>291</v>
      </c>
      <c r="C35" t="s">
        <v>54</v>
      </c>
      <c r="D35" s="812">
        <v>9462</v>
      </c>
      <c r="E35" s="812">
        <v>10832</v>
      </c>
      <c r="F35" s="812">
        <v>12348</v>
      </c>
      <c r="G35" s="812">
        <v>13706</v>
      </c>
      <c r="H35" s="812">
        <v>13472</v>
      </c>
      <c r="I35" s="812">
        <v>13004</v>
      </c>
      <c r="J35" s="812">
        <v>13487</v>
      </c>
      <c r="K35" s="812">
        <v>13250</v>
      </c>
      <c r="L35" s="812">
        <v>16294</v>
      </c>
      <c r="M35" s="812">
        <v>17673</v>
      </c>
      <c r="N35" s="812">
        <v>18302</v>
      </c>
      <c r="O35" s="812">
        <v>18243</v>
      </c>
      <c r="P35" s="812">
        <v>17814</v>
      </c>
      <c r="Q35" s="812">
        <v>18503</v>
      </c>
      <c r="R35" s="812">
        <v>19577</v>
      </c>
      <c r="S35" s="812">
        <v>19731</v>
      </c>
      <c r="T35" s="1153">
        <v>19902</v>
      </c>
      <c r="U35" s="1162">
        <v>19708</v>
      </c>
      <c r="V35" s="1101">
        <v>19634</v>
      </c>
      <c r="W35" s="1101">
        <v>19564</v>
      </c>
    </row>
    <row r="36" spans="1:23">
      <c r="A36" s="1118"/>
      <c r="B36" t="s">
        <v>292</v>
      </c>
      <c r="C36" s="1119" t="s">
        <v>55</v>
      </c>
      <c r="D36" s="1120">
        <v>6074</v>
      </c>
      <c r="E36" s="1120">
        <v>8578</v>
      </c>
      <c r="F36" s="1120">
        <v>11047</v>
      </c>
      <c r="G36" s="1120">
        <v>12123</v>
      </c>
      <c r="H36" s="1120">
        <v>12582</v>
      </c>
      <c r="I36" s="1120">
        <v>12956</v>
      </c>
      <c r="J36" s="1120">
        <v>13925</v>
      </c>
      <c r="K36" s="1120">
        <v>15897</v>
      </c>
      <c r="L36" s="1120">
        <v>17881</v>
      </c>
      <c r="M36" s="1120">
        <v>19340</v>
      </c>
      <c r="N36" s="1120">
        <v>20616</v>
      </c>
      <c r="O36" s="1120">
        <v>21265</v>
      </c>
      <c r="P36" s="1120">
        <v>22077</v>
      </c>
      <c r="Q36" s="1120">
        <v>24074</v>
      </c>
      <c r="R36" s="1120">
        <v>24925</v>
      </c>
      <c r="S36" s="1120">
        <v>26234</v>
      </c>
      <c r="T36" s="1151">
        <v>26963</v>
      </c>
      <c r="U36" s="548">
        <v>27822</v>
      </c>
      <c r="V36" s="1103">
        <v>28264</v>
      </c>
      <c r="W36" s="1103">
        <v>29064</v>
      </c>
    </row>
    <row r="37" spans="1:23">
      <c r="A37" s="1118"/>
      <c r="C37" s="1119" t="s">
        <v>290</v>
      </c>
      <c r="D37" s="1120">
        <v>5777</v>
      </c>
      <c r="E37" s="1120">
        <v>7267</v>
      </c>
      <c r="F37" s="1120">
        <v>8382</v>
      </c>
      <c r="G37" s="1120">
        <v>9247</v>
      </c>
      <c r="H37" s="1120">
        <v>9513</v>
      </c>
      <c r="I37" s="1120">
        <v>8311</v>
      </c>
      <c r="J37" s="1120">
        <v>8875</v>
      </c>
      <c r="K37" s="1120">
        <v>8992</v>
      </c>
      <c r="L37" s="1120">
        <v>9801</v>
      </c>
      <c r="M37" s="1120">
        <v>10797</v>
      </c>
      <c r="N37" s="1120">
        <v>10552</v>
      </c>
      <c r="O37" s="1120">
        <v>10166</v>
      </c>
      <c r="P37" s="1120">
        <v>10119</v>
      </c>
      <c r="Q37" s="1120">
        <v>10344</v>
      </c>
      <c r="R37" s="1120">
        <v>10559</v>
      </c>
      <c r="S37" s="1120">
        <v>10591</v>
      </c>
      <c r="T37" s="1151">
        <v>9971</v>
      </c>
      <c r="U37" s="548">
        <v>10184</v>
      </c>
      <c r="V37" s="1103">
        <v>9775</v>
      </c>
      <c r="W37" s="1103">
        <v>10260</v>
      </c>
    </row>
    <row r="38" spans="1:23">
      <c r="A38" s="1118"/>
      <c r="C38" s="1119" t="s">
        <v>57</v>
      </c>
      <c r="D38" s="1120">
        <v>7516</v>
      </c>
      <c r="E38" s="1120">
        <v>10313</v>
      </c>
      <c r="F38" s="1120">
        <v>12330</v>
      </c>
      <c r="G38" s="1120">
        <v>12687</v>
      </c>
      <c r="H38" s="1120">
        <v>13766</v>
      </c>
      <c r="I38" s="1120">
        <v>13519</v>
      </c>
      <c r="J38" s="1120">
        <v>16191</v>
      </c>
      <c r="K38" s="1120">
        <v>16591</v>
      </c>
      <c r="L38" s="1120">
        <v>20486</v>
      </c>
      <c r="M38" s="1120">
        <v>21459</v>
      </c>
      <c r="N38" s="1120">
        <v>22299</v>
      </c>
      <c r="O38" s="1120">
        <v>21612</v>
      </c>
      <c r="P38" s="1120">
        <v>21315</v>
      </c>
      <c r="Q38" s="1120">
        <v>22470</v>
      </c>
      <c r="R38" s="1120">
        <v>23690</v>
      </c>
      <c r="S38" s="1120">
        <v>26003</v>
      </c>
      <c r="T38" s="1151">
        <v>26156</v>
      </c>
      <c r="U38" s="548">
        <v>26919</v>
      </c>
      <c r="V38" s="533">
        <v>24731</v>
      </c>
      <c r="W38" s="533">
        <v>26197</v>
      </c>
    </row>
    <row r="39" spans="1:23">
      <c r="A39" s="1118"/>
      <c r="C39" s="1119" t="s">
        <v>58</v>
      </c>
      <c r="D39" s="1120">
        <v>9531</v>
      </c>
      <c r="E39" s="1120">
        <v>10407</v>
      </c>
      <c r="F39" s="1120">
        <v>12699</v>
      </c>
      <c r="G39" s="1120">
        <v>13737</v>
      </c>
      <c r="H39" s="1120">
        <v>15988</v>
      </c>
      <c r="I39" s="1120">
        <v>21573</v>
      </c>
      <c r="J39" s="1120">
        <v>25069</v>
      </c>
      <c r="K39" s="1120">
        <v>25938</v>
      </c>
      <c r="L39" s="1120">
        <v>29853</v>
      </c>
      <c r="M39" s="1120">
        <v>29971</v>
      </c>
      <c r="N39" s="1120">
        <v>31341</v>
      </c>
      <c r="O39" s="1120">
        <v>31088</v>
      </c>
      <c r="P39" s="1120">
        <v>31934</v>
      </c>
      <c r="Q39" s="1120">
        <v>33270</v>
      </c>
      <c r="R39" s="1120">
        <v>33191</v>
      </c>
      <c r="S39" s="1120">
        <v>34232</v>
      </c>
      <c r="T39" s="1151">
        <v>32522</v>
      </c>
      <c r="U39" s="548">
        <v>32761</v>
      </c>
      <c r="V39" s="1103">
        <v>32327</v>
      </c>
      <c r="W39" s="1103">
        <v>30130</v>
      </c>
    </row>
    <row r="40" spans="1:23">
      <c r="A40" s="1118"/>
      <c r="C40" s="1121" t="s">
        <v>59</v>
      </c>
      <c r="D40" s="1122">
        <v>3301</v>
      </c>
      <c r="E40" s="1122">
        <v>5263</v>
      </c>
      <c r="F40" s="1122">
        <v>6557</v>
      </c>
      <c r="G40" s="1122">
        <v>5609</v>
      </c>
      <c r="H40" s="1122">
        <v>6700</v>
      </c>
      <c r="I40" s="1122">
        <v>4909</v>
      </c>
      <c r="J40" s="1122">
        <v>10067</v>
      </c>
      <c r="K40" s="1122">
        <v>15401</v>
      </c>
      <c r="L40" s="1122">
        <v>18547</v>
      </c>
      <c r="M40" s="1122">
        <v>21599</v>
      </c>
      <c r="N40" s="1122">
        <v>20677</v>
      </c>
      <c r="O40" s="1122">
        <v>16115</v>
      </c>
      <c r="P40" s="1122">
        <v>17747</v>
      </c>
      <c r="Q40" s="1122">
        <v>20447</v>
      </c>
      <c r="R40" s="1122">
        <v>20578</v>
      </c>
      <c r="S40" s="1122">
        <v>21017</v>
      </c>
      <c r="T40" s="1152">
        <v>18723</v>
      </c>
      <c r="U40" s="1156">
        <v>19127</v>
      </c>
      <c r="V40" s="1157">
        <v>18235</v>
      </c>
      <c r="W40" s="1157">
        <v>17690</v>
      </c>
    </row>
    <row r="41" spans="1:23">
      <c r="A41" s="1118"/>
      <c r="C41" t="s">
        <v>62</v>
      </c>
      <c r="D41" s="812">
        <v>41661</v>
      </c>
      <c r="E41" s="812">
        <v>52660</v>
      </c>
      <c r="F41" s="812">
        <v>63363</v>
      </c>
      <c r="G41" s="812">
        <v>67109</v>
      </c>
      <c r="H41" s="812">
        <v>72021</v>
      </c>
      <c r="I41" s="812">
        <v>74272</v>
      </c>
      <c r="J41" s="812">
        <v>87614</v>
      </c>
      <c r="K41" s="812">
        <v>96069</v>
      </c>
      <c r="L41" s="812">
        <v>112862</v>
      </c>
      <c r="M41" s="812">
        <v>120839</v>
      </c>
      <c r="N41" s="812">
        <v>123787</v>
      </c>
      <c r="O41" s="812">
        <v>118489</v>
      </c>
      <c r="P41" s="812">
        <v>121006</v>
      </c>
      <c r="Q41" s="812">
        <v>129108</v>
      </c>
      <c r="R41" s="812">
        <v>132520</v>
      </c>
      <c r="S41" s="812">
        <v>137808</v>
      </c>
      <c r="T41" s="1153">
        <v>134237</v>
      </c>
      <c r="U41" s="1158">
        <v>136521</v>
      </c>
      <c r="V41" s="1155">
        <f>SUM(V35:V40)</f>
        <v>132966</v>
      </c>
      <c r="W41" s="1155">
        <f>SUM(W35:W40)</f>
        <v>132905</v>
      </c>
    </row>
    <row r="42" spans="1:23">
      <c r="A42" s="809"/>
      <c r="B42" s="1125" t="s">
        <v>62</v>
      </c>
      <c r="C42" s="1125"/>
      <c r="D42" s="1126">
        <v>506567</v>
      </c>
      <c r="E42" s="1126">
        <v>523871</v>
      </c>
      <c r="F42" s="1126">
        <v>512624</v>
      </c>
      <c r="G42" s="1126">
        <v>501282</v>
      </c>
      <c r="H42" s="1126">
        <v>502081</v>
      </c>
      <c r="I42" s="1126">
        <v>456990</v>
      </c>
      <c r="J42" s="1126">
        <v>461888</v>
      </c>
      <c r="K42" s="1126">
        <v>473648</v>
      </c>
      <c r="L42" s="1126">
        <v>487020</v>
      </c>
      <c r="M42" s="1126">
        <v>470615</v>
      </c>
      <c r="N42" s="1126">
        <v>464274</v>
      </c>
      <c r="O42" s="1126">
        <v>453358</v>
      </c>
      <c r="P42" s="1126">
        <v>454890</v>
      </c>
      <c r="Q42" s="1126">
        <v>459320</v>
      </c>
      <c r="R42" s="1126">
        <v>458927</v>
      </c>
      <c r="S42" s="1126">
        <v>452346</v>
      </c>
      <c r="T42" s="1159">
        <v>421965</v>
      </c>
      <c r="U42" s="1160">
        <v>411840</v>
      </c>
      <c r="V42" s="1161">
        <f>V31+V34+V41</f>
        <v>405361</v>
      </c>
      <c r="W42" s="1161">
        <f>W31+W34+W41</f>
        <v>417709</v>
      </c>
    </row>
    <row r="43" spans="1:23">
      <c r="A43" s="1109" t="s">
        <v>56</v>
      </c>
      <c r="B43" s="1116" t="s">
        <v>275</v>
      </c>
      <c r="C43" s="1116" t="s">
        <v>54</v>
      </c>
      <c r="D43" s="1117">
        <v>1233</v>
      </c>
      <c r="E43" s="1117">
        <v>1166</v>
      </c>
      <c r="F43" s="1117">
        <v>1291</v>
      </c>
      <c r="G43" s="1117">
        <v>916</v>
      </c>
      <c r="H43" s="1117">
        <v>1098</v>
      </c>
      <c r="I43" s="1117">
        <v>703</v>
      </c>
      <c r="J43" s="1117">
        <v>759</v>
      </c>
      <c r="K43" s="1117">
        <v>1091</v>
      </c>
      <c r="L43" s="1117">
        <v>1556</v>
      </c>
      <c r="M43" s="1117">
        <v>1450</v>
      </c>
      <c r="N43" s="1117">
        <v>1388</v>
      </c>
      <c r="O43" s="1117">
        <v>1379</v>
      </c>
      <c r="P43" s="1117">
        <v>1205</v>
      </c>
      <c r="Q43" s="1117">
        <v>1177</v>
      </c>
      <c r="R43" s="1117">
        <v>1333</v>
      </c>
      <c r="S43" s="1117">
        <v>1337</v>
      </c>
      <c r="T43" s="1150">
        <v>1713</v>
      </c>
      <c r="U43" s="551">
        <v>1517</v>
      </c>
      <c r="V43" s="1103">
        <v>1697</v>
      </c>
      <c r="W43" s="1103">
        <v>1760</v>
      </c>
    </row>
    <row r="44" spans="1:23">
      <c r="A44" s="1118"/>
      <c r="C44" s="1119" t="s">
        <v>55</v>
      </c>
      <c r="D44" s="1120">
        <v>4910</v>
      </c>
      <c r="E44" s="1120">
        <v>5668</v>
      </c>
      <c r="F44" s="1120">
        <v>5706</v>
      </c>
      <c r="G44" s="1120">
        <v>4476</v>
      </c>
      <c r="H44" s="1120">
        <v>3478</v>
      </c>
      <c r="I44" s="1120">
        <v>2747</v>
      </c>
      <c r="J44" s="1120">
        <v>2988</v>
      </c>
      <c r="K44" s="1120">
        <v>3035</v>
      </c>
      <c r="L44" s="1120">
        <v>3422</v>
      </c>
      <c r="M44" s="1120">
        <v>3770</v>
      </c>
      <c r="N44" s="1120">
        <v>3096</v>
      </c>
      <c r="O44" s="1120">
        <v>2658</v>
      </c>
      <c r="P44" s="1120">
        <v>2596</v>
      </c>
      <c r="Q44" s="1120">
        <v>2125</v>
      </c>
      <c r="R44" s="1120">
        <v>2263</v>
      </c>
      <c r="S44" s="1120">
        <v>2179</v>
      </c>
      <c r="T44" s="1151">
        <v>2252</v>
      </c>
      <c r="U44" s="548">
        <v>2406</v>
      </c>
      <c r="V44" s="1103">
        <v>2752</v>
      </c>
      <c r="W44" s="1103">
        <v>3041</v>
      </c>
    </row>
    <row r="45" spans="1:23">
      <c r="A45" s="1118"/>
      <c r="C45" s="1119" t="s">
        <v>290</v>
      </c>
      <c r="D45" s="1120">
        <v>105027</v>
      </c>
      <c r="E45" s="1120">
        <v>121942</v>
      </c>
      <c r="F45" s="1120">
        <v>125249</v>
      </c>
      <c r="G45" s="1120">
        <v>128438</v>
      </c>
      <c r="H45" s="1120">
        <v>126691</v>
      </c>
      <c r="I45" s="1120">
        <v>126988</v>
      </c>
      <c r="J45" s="1120">
        <v>131461</v>
      </c>
      <c r="K45" s="1120">
        <v>137671</v>
      </c>
      <c r="L45" s="1120">
        <v>147694</v>
      </c>
      <c r="M45" s="1120">
        <v>159248</v>
      </c>
      <c r="N45" s="1120">
        <v>163185</v>
      </c>
      <c r="O45" s="1120">
        <v>166376</v>
      </c>
      <c r="P45" s="1120">
        <v>162297</v>
      </c>
      <c r="Q45" s="1120">
        <v>158190</v>
      </c>
      <c r="R45" s="1120">
        <v>161646</v>
      </c>
      <c r="S45" s="1120">
        <v>170377</v>
      </c>
      <c r="T45" s="1151">
        <v>179500</v>
      </c>
      <c r="U45" s="548">
        <v>184746</v>
      </c>
      <c r="V45" s="533">
        <v>181505</v>
      </c>
      <c r="W45" s="533">
        <v>189158</v>
      </c>
    </row>
    <row r="46" spans="1:23">
      <c r="A46" s="1118"/>
      <c r="C46" s="1119" t="s">
        <v>57</v>
      </c>
      <c r="D46" s="1120">
        <v>4933</v>
      </c>
      <c r="E46" s="1120">
        <v>6824</v>
      </c>
      <c r="F46" s="1120">
        <v>7538</v>
      </c>
      <c r="G46" s="1120">
        <v>6471</v>
      </c>
      <c r="H46" s="1120">
        <v>5500</v>
      </c>
      <c r="I46" s="1120">
        <v>3478</v>
      </c>
      <c r="J46" s="1120">
        <v>4340</v>
      </c>
      <c r="K46" s="1120">
        <v>5279</v>
      </c>
      <c r="L46" s="1120">
        <v>5813</v>
      </c>
      <c r="M46" s="1120">
        <v>7418</v>
      </c>
      <c r="N46" s="1120">
        <v>7525</v>
      </c>
      <c r="O46" s="1120">
        <v>8414</v>
      </c>
      <c r="P46" s="1120">
        <v>8837</v>
      </c>
      <c r="Q46" s="1120">
        <v>8144</v>
      </c>
      <c r="R46" s="1120">
        <v>8547</v>
      </c>
      <c r="S46" s="1120">
        <v>9971</v>
      </c>
      <c r="T46" s="1151">
        <v>10289</v>
      </c>
      <c r="U46" s="548">
        <v>10909</v>
      </c>
      <c r="V46" s="1103">
        <v>11695</v>
      </c>
      <c r="W46" s="1103">
        <v>12475</v>
      </c>
    </row>
    <row r="47" spans="1:23">
      <c r="A47" s="1118"/>
      <c r="C47" s="1119" t="s">
        <v>58</v>
      </c>
      <c r="D47" s="1120">
        <v>12892</v>
      </c>
      <c r="E47" s="1120">
        <v>16310</v>
      </c>
      <c r="F47" s="1120">
        <v>20627</v>
      </c>
      <c r="G47" s="1120">
        <v>21408</v>
      </c>
      <c r="H47" s="1120">
        <v>21174</v>
      </c>
      <c r="I47" s="1120">
        <v>20602</v>
      </c>
      <c r="J47" s="1120">
        <v>22134</v>
      </c>
      <c r="K47" s="1120">
        <v>22985</v>
      </c>
      <c r="L47" s="1120">
        <v>24189</v>
      </c>
      <c r="M47" s="1120">
        <v>27387</v>
      </c>
      <c r="N47" s="1120">
        <v>29379</v>
      </c>
      <c r="O47" s="1120">
        <v>30426</v>
      </c>
      <c r="P47" s="1120">
        <v>28393</v>
      </c>
      <c r="Q47" s="1120">
        <v>26175</v>
      </c>
      <c r="R47" s="1120">
        <v>24071</v>
      </c>
      <c r="S47" s="1120">
        <v>25328</v>
      </c>
      <c r="T47" s="1151">
        <v>26027</v>
      </c>
      <c r="U47" s="548">
        <v>25061</v>
      </c>
      <c r="V47" s="1103">
        <v>28974</v>
      </c>
      <c r="W47" s="1103">
        <v>33249</v>
      </c>
    </row>
    <row r="48" spans="1:23">
      <c r="A48" s="1118"/>
      <c r="C48" s="1121" t="s">
        <v>59</v>
      </c>
      <c r="D48" s="1122">
        <v>564</v>
      </c>
      <c r="E48" s="1122">
        <v>921</v>
      </c>
      <c r="F48" s="1122">
        <v>991</v>
      </c>
      <c r="G48" s="1122">
        <v>720</v>
      </c>
      <c r="H48" s="1122">
        <v>836</v>
      </c>
      <c r="I48" s="1122">
        <v>725</v>
      </c>
      <c r="J48" s="1122">
        <v>471</v>
      </c>
      <c r="K48" s="1122">
        <v>573</v>
      </c>
      <c r="L48" s="1122">
        <v>777</v>
      </c>
      <c r="M48" s="1122">
        <v>1326</v>
      </c>
      <c r="N48" s="1122">
        <v>1327</v>
      </c>
      <c r="O48" s="1122">
        <v>1988</v>
      </c>
      <c r="P48" s="1122">
        <v>1807</v>
      </c>
      <c r="Q48" s="1122">
        <v>1729</v>
      </c>
      <c r="R48" s="1122">
        <v>2370</v>
      </c>
      <c r="S48" s="1122">
        <v>2439</v>
      </c>
      <c r="T48" s="1152">
        <v>2491</v>
      </c>
      <c r="U48" s="548">
        <v>2410</v>
      </c>
      <c r="V48" s="1103">
        <v>2510</v>
      </c>
      <c r="W48" s="1103">
        <v>3124</v>
      </c>
    </row>
    <row r="49" spans="1:23">
      <c r="A49" s="1118"/>
      <c r="C49" t="s">
        <v>62</v>
      </c>
      <c r="D49" s="812">
        <v>129559</v>
      </c>
      <c r="E49" s="812">
        <v>152831</v>
      </c>
      <c r="F49" s="812">
        <v>161402</v>
      </c>
      <c r="G49" s="812">
        <v>162429</v>
      </c>
      <c r="H49" s="812">
        <v>158777</v>
      </c>
      <c r="I49" s="812">
        <v>155243</v>
      </c>
      <c r="J49" s="812">
        <v>162153</v>
      </c>
      <c r="K49" s="812">
        <v>170634</v>
      </c>
      <c r="L49" s="812">
        <v>183451</v>
      </c>
      <c r="M49" s="812">
        <v>200599</v>
      </c>
      <c r="N49" s="812">
        <v>205900</v>
      </c>
      <c r="O49" s="812">
        <v>211241</v>
      </c>
      <c r="P49" s="812">
        <v>205135</v>
      </c>
      <c r="Q49" s="812">
        <v>197540</v>
      </c>
      <c r="R49" s="812">
        <v>200230</v>
      </c>
      <c r="S49" s="812">
        <v>211631</v>
      </c>
      <c r="T49" s="1153">
        <v>222272</v>
      </c>
      <c r="U49" s="550">
        <f>SUM(U43:U48)</f>
        <v>227049</v>
      </c>
      <c r="V49" s="550">
        <f>SUM(V43:V48)</f>
        <v>229133</v>
      </c>
      <c r="W49" s="550">
        <f>SUM(W43:W48)</f>
        <v>242807</v>
      </c>
    </row>
    <row r="50" spans="1:23">
      <c r="A50" s="1118"/>
      <c r="B50" s="1116" t="s">
        <v>276</v>
      </c>
      <c r="C50" s="1116" t="s">
        <v>54</v>
      </c>
      <c r="D50" s="1117">
        <v>2176</v>
      </c>
      <c r="E50" s="1117">
        <v>2984</v>
      </c>
      <c r="F50" s="1117">
        <v>3374</v>
      </c>
      <c r="G50" s="1117">
        <v>3262</v>
      </c>
      <c r="H50" s="1117">
        <v>2368</v>
      </c>
      <c r="I50" s="1117">
        <v>2182</v>
      </c>
      <c r="J50" s="1117">
        <v>2674</v>
      </c>
      <c r="K50" s="1117">
        <v>2807</v>
      </c>
      <c r="L50" s="1117">
        <v>2942</v>
      </c>
      <c r="M50" s="1117">
        <v>3615</v>
      </c>
      <c r="N50" s="1117">
        <v>3405</v>
      </c>
      <c r="O50" s="1117">
        <v>3560</v>
      </c>
      <c r="P50" s="1117">
        <v>3224</v>
      </c>
      <c r="Q50" s="1117">
        <v>2795</v>
      </c>
      <c r="R50" s="1117">
        <v>2738</v>
      </c>
      <c r="S50" s="1117">
        <v>3298</v>
      </c>
      <c r="T50" s="1150">
        <v>3679</v>
      </c>
      <c r="U50" s="551">
        <v>3538</v>
      </c>
      <c r="V50" s="1101">
        <v>3623</v>
      </c>
      <c r="W50" s="1101">
        <v>4074</v>
      </c>
    </row>
    <row r="51" spans="1:23">
      <c r="A51" s="1118"/>
      <c r="C51" s="1121" t="s">
        <v>59</v>
      </c>
      <c r="D51" s="1122">
        <v>0</v>
      </c>
      <c r="E51" s="1122">
        <v>0</v>
      </c>
      <c r="F51" s="1122">
        <v>0</v>
      </c>
      <c r="G51" s="1122">
        <v>0</v>
      </c>
      <c r="H51" s="1122">
        <v>0</v>
      </c>
      <c r="I51" s="1122">
        <v>2</v>
      </c>
      <c r="J51" s="1122">
        <v>1</v>
      </c>
      <c r="K51" s="1122">
        <v>0</v>
      </c>
      <c r="L51" s="1122">
        <v>12</v>
      </c>
      <c r="M51" s="1122">
        <v>11</v>
      </c>
      <c r="N51" s="1122">
        <v>8</v>
      </c>
      <c r="O51" s="1122">
        <v>8</v>
      </c>
      <c r="P51" s="1122">
        <v>14</v>
      </c>
      <c r="Q51" s="1122">
        <v>11</v>
      </c>
      <c r="R51" s="1122">
        <v>10</v>
      </c>
      <c r="S51" s="1122">
        <v>18</v>
      </c>
      <c r="T51" s="1152">
        <v>21</v>
      </c>
      <c r="U51" s="548">
        <v>3</v>
      </c>
      <c r="V51" s="1103">
        <v>8</v>
      </c>
      <c r="W51" s="1103">
        <v>12</v>
      </c>
    </row>
    <row r="52" spans="1:23">
      <c r="A52" s="1118"/>
      <c r="B52" s="1123"/>
      <c r="C52" s="1123" t="s">
        <v>62</v>
      </c>
      <c r="D52" s="1124">
        <v>2176</v>
      </c>
      <c r="E52" s="1124">
        <v>2984</v>
      </c>
      <c r="F52" s="1124">
        <v>3374</v>
      </c>
      <c r="G52" s="1124">
        <v>3262</v>
      </c>
      <c r="H52" s="1124">
        <v>2368</v>
      </c>
      <c r="I52" s="1124">
        <v>2184</v>
      </c>
      <c r="J52" s="1124">
        <v>2675</v>
      </c>
      <c r="K52" s="1124">
        <v>2807</v>
      </c>
      <c r="L52" s="1124">
        <v>2942</v>
      </c>
      <c r="M52" s="1124">
        <v>3626</v>
      </c>
      <c r="N52" s="1124">
        <v>3413</v>
      </c>
      <c r="O52" s="1124">
        <v>3568</v>
      </c>
      <c r="P52" s="1124">
        <v>3238</v>
      </c>
      <c r="Q52" s="1124">
        <v>2806</v>
      </c>
      <c r="R52" s="1124">
        <v>2748</v>
      </c>
      <c r="S52" s="1124">
        <v>3316</v>
      </c>
      <c r="T52" s="1154">
        <v>3700</v>
      </c>
      <c r="U52" s="550">
        <f>SUM(U50:U51)</f>
        <v>3541</v>
      </c>
      <c r="V52" s="1155">
        <f>SUM(V50:V51)</f>
        <v>3631</v>
      </c>
      <c r="W52" s="1155">
        <f>SUM(W50:W51)</f>
        <v>4086</v>
      </c>
    </row>
    <row r="53" spans="1:23">
      <c r="A53" s="1118"/>
      <c r="B53" t="s">
        <v>291</v>
      </c>
      <c r="C53" t="s">
        <v>54</v>
      </c>
      <c r="D53" s="812">
        <v>800</v>
      </c>
      <c r="E53" s="812">
        <v>1044</v>
      </c>
      <c r="F53" s="812">
        <v>1392</v>
      </c>
      <c r="G53" s="812">
        <v>1891</v>
      </c>
      <c r="H53" s="812">
        <v>2193</v>
      </c>
      <c r="I53" s="812">
        <v>2225</v>
      </c>
      <c r="J53" s="812">
        <v>2198</v>
      </c>
      <c r="K53" s="812">
        <v>2212</v>
      </c>
      <c r="L53" s="812">
        <v>2977</v>
      </c>
      <c r="M53" s="812">
        <v>2930</v>
      </c>
      <c r="N53" s="812">
        <v>2963</v>
      </c>
      <c r="O53" s="812">
        <v>3071</v>
      </c>
      <c r="P53" s="812">
        <v>3790</v>
      </c>
      <c r="Q53" s="812">
        <v>3847</v>
      </c>
      <c r="R53" s="812">
        <v>4774</v>
      </c>
      <c r="S53" s="812">
        <v>5187</v>
      </c>
      <c r="T53" s="1153">
        <v>5563</v>
      </c>
      <c r="U53" s="1162">
        <v>6147</v>
      </c>
      <c r="V53" s="1101">
        <v>7044</v>
      </c>
      <c r="W53" s="1101">
        <v>8821</v>
      </c>
    </row>
    <row r="54" spans="1:23">
      <c r="A54" s="1118"/>
      <c r="B54" t="s">
        <v>292</v>
      </c>
      <c r="C54" s="1119" t="s">
        <v>55</v>
      </c>
      <c r="D54" s="1120">
        <v>871</v>
      </c>
      <c r="E54" s="1120">
        <v>1177</v>
      </c>
      <c r="F54" s="1120">
        <v>1514</v>
      </c>
      <c r="G54" s="1120">
        <v>1871</v>
      </c>
      <c r="H54" s="1120">
        <v>2121</v>
      </c>
      <c r="I54" s="1120">
        <v>2035</v>
      </c>
      <c r="J54" s="1120">
        <v>1884</v>
      </c>
      <c r="K54" s="1120">
        <v>1972</v>
      </c>
      <c r="L54" s="1120">
        <v>2286</v>
      </c>
      <c r="M54" s="1120">
        <v>2364</v>
      </c>
      <c r="N54" s="1120">
        <v>2586</v>
      </c>
      <c r="O54" s="1120">
        <v>2564</v>
      </c>
      <c r="P54" s="1120">
        <v>2620</v>
      </c>
      <c r="Q54" s="1120">
        <v>2610</v>
      </c>
      <c r="R54" s="1120">
        <v>2807</v>
      </c>
      <c r="S54" s="1120">
        <v>3455</v>
      </c>
      <c r="T54" s="1151">
        <v>3629</v>
      </c>
      <c r="U54" s="548">
        <v>3530</v>
      </c>
      <c r="V54" s="1103">
        <v>4397</v>
      </c>
      <c r="W54" s="1103">
        <v>4879</v>
      </c>
    </row>
    <row r="55" spans="1:23">
      <c r="A55" s="1118"/>
      <c r="C55" s="1119" t="s">
        <v>290</v>
      </c>
      <c r="D55" s="1120">
        <v>223</v>
      </c>
      <c r="E55" s="1120">
        <v>246</v>
      </c>
      <c r="F55" s="1120">
        <v>227</v>
      </c>
      <c r="G55" s="1120">
        <v>263</v>
      </c>
      <c r="H55" s="1120">
        <v>423</v>
      </c>
      <c r="I55" s="1120">
        <v>328</v>
      </c>
      <c r="J55" s="1120">
        <v>344</v>
      </c>
      <c r="K55" s="1120">
        <v>363</v>
      </c>
      <c r="L55" s="1120">
        <v>442</v>
      </c>
      <c r="M55" s="1120">
        <v>730</v>
      </c>
      <c r="N55" s="1120">
        <v>888</v>
      </c>
      <c r="O55" s="1120">
        <v>899</v>
      </c>
      <c r="P55" s="1120">
        <v>1127</v>
      </c>
      <c r="Q55" s="1120">
        <v>894</v>
      </c>
      <c r="R55" s="1120">
        <v>915</v>
      </c>
      <c r="S55" s="1120">
        <v>1226</v>
      </c>
      <c r="T55" s="1151">
        <v>977</v>
      </c>
      <c r="U55" s="548">
        <v>1499</v>
      </c>
      <c r="V55" s="1103">
        <v>2243</v>
      </c>
      <c r="W55" s="1103">
        <v>1984</v>
      </c>
    </row>
    <row r="56" spans="1:23">
      <c r="A56" s="1118"/>
      <c r="C56" s="1119" t="s">
        <v>57</v>
      </c>
      <c r="D56" s="1120">
        <v>925</v>
      </c>
      <c r="E56" s="1120">
        <v>1307</v>
      </c>
      <c r="F56" s="1120">
        <v>1649</v>
      </c>
      <c r="G56" s="1120">
        <v>1996</v>
      </c>
      <c r="H56" s="1120">
        <v>2522</v>
      </c>
      <c r="I56" s="1120">
        <v>2431</v>
      </c>
      <c r="J56" s="1120">
        <v>2838</v>
      </c>
      <c r="K56" s="1120">
        <v>2850</v>
      </c>
      <c r="L56" s="1120">
        <v>3172</v>
      </c>
      <c r="M56" s="1120">
        <v>3448</v>
      </c>
      <c r="N56" s="1120">
        <v>4003</v>
      </c>
      <c r="O56" s="1120">
        <v>4493</v>
      </c>
      <c r="P56" s="1120">
        <v>4927</v>
      </c>
      <c r="Q56" s="1120">
        <v>5036</v>
      </c>
      <c r="R56" s="1120">
        <v>5328</v>
      </c>
      <c r="S56" s="1120">
        <v>6048</v>
      </c>
      <c r="T56" s="1151">
        <v>6436</v>
      </c>
      <c r="U56" s="548">
        <v>6782</v>
      </c>
      <c r="V56" s="1103">
        <v>6567</v>
      </c>
      <c r="W56" s="1103">
        <v>7541</v>
      </c>
    </row>
    <row r="57" spans="1:23">
      <c r="A57" s="1118"/>
      <c r="C57" s="1119" t="s">
        <v>58</v>
      </c>
      <c r="D57" s="1120">
        <v>754</v>
      </c>
      <c r="E57" s="1120">
        <v>907</v>
      </c>
      <c r="F57" s="1120">
        <v>1058</v>
      </c>
      <c r="G57" s="1120">
        <v>1568</v>
      </c>
      <c r="H57" s="1120">
        <v>2410</v>
      </c>
      <c r="I57" s="1120">
        <v>3348</v>
      </c>
      <c r="J57" s="1120">
        <v>3906</v>
      </c>
      <c r="K57" s="1120">
        <v>4304</v>
      </c>
      <c r="L57" s="1120">
        <v>5292</v>
      </c>
      <c r="M57" s="1120">
        <v>6112</v>
      </c>
      <c r="N57" s="1120">
        <v>7365</v>
      </c>
      <c r="O57" s="1120">
        <v>7779</v>
      </c>
      <c r="P57" s="1120">
        <v>8948</v>
      </c>
      <c r="Q57" s="1120">
        <v>9390</v>
      </c>
      <c r="R57" s="1120">
        <v>9890</v>
      </c>
      <c r="S57" s="1120">
        <v>11096</v>
      </c>
      <c r="T57" s="1151">
        <v>11463</v>
      </c>
      <c r="U57" s="548">
        <v>11848</v>
      </c>
      <c r="V57" s="1103">
        <v>12511</v>
      </c>
      <c r="W57" s="1103">
        <v>11765</v>
      </c>
    </row>
    <row r="58" spans="1:23">
      <c r="A58" s="1118"/>
      <c r="C58" s="1121" t="s">
        <v>59</v>
      </c>
      <c r="D58" s="1122">
        <v>868</v>
      </c>
      <c r="E58" s="1122">
        <v>1059</v>
      </c>
      <c r="F58" s="1122">
        <v>2034</v>
      </c>
      <c r="G58" s="1122">
        <v>1616</v>
      </c>
      <c r="H58" s="1122">
        <v>1538</v>
      </c>
      <c r="I58" s="1122">
        <v>1011</v>
      </c>
      <c r="J58" s="1122">
        <v>1697</v>
      </c>
      <c r="K58" s="1122">
        <v>2509</v>
      </c>
      <c r="L58" s="1122">
        <v>3069</v>
      </c>
      <c r="M58" s="1122">
        <v>3502</v>
      </c>
      <c r="N58" s="1122">
        <v>3285</v>
      </c>
      <c r="O58" s="1122">
        <v>4229</v>
      </c>
      <c r="P58" s="1122">
        <v>3745</v>
      </c>
      <c r="Q58" s="1122">
        <v>4213</v>
      </c>
      <c r="R58" s="1122">
        <v>5016</v>
      </c>
      <c r="S58" s="1122">
        <v>6174</v>
      </c>
      <c r="T58" s="1152">
        <v>6124</v>
      </c>
      <c r="U58" s="1156">
        <v>6769</v>
      </c>
      <c r="V58" s="1157">
        <v>6789</v>
      </c>
      <c r="W58" s="1157">
        <v>7866</v>
      </c>
    </row>
    <row r="59" spans="1:23">
      <c r="A59" s="1118"/>
      <c r="C59" t="s">
        <v>62</v>
      </c>
      <c r="D59" s="812">
        <v>4441</v>
      </c>
      <c r="E59" s="812">
        <v>5740</v>
      </c>
      <c r="F59" s="812">
        <v>7874</v>
      </c>
      <c r="G59" s="812">
        <v>9205</v>
      </c>
      <c r="H59" s="812">
        <v>11207</v>
      </c>
      <c r="I59" s="812">
        <v>11378</v>
      </c>
      <c r="J59" s="812">
        <v>12867</v>
      </c>
      <c r="K59" s="812">
        <v>14210</v>
      </c>
      <c r="L59" s="812">
        <v>17238</v>
      </c>
      <c r="M59" s="812">
        <v>19086</v>
      </c>
      <c r="N59" s="812">
        <v>21090</v>
      </c>
      <c r="O59" s="812">
        <v>23035</v>
      </c>
      <c r="P59" s="812">
        <v>25157</v>
      </c>
      <c r="Q59" s="812">
        <v>25990</v>
      </c>
      <c r="R59" s="812">
        <v>28730</v>
      </c>
      <c r="S59" s="812">
        <v>33186</v>
      </c>
      <c r="T59" s="1153">
        <v>34192</v>
      </c>
      <c r="U59" s="550">
        <v>36575</v>
      </c>
      <c r="V59" s="1155">
        <f>SUM(V53:V58)</f>
        <v>39551</v>
      </c>
      <c r="W59" s="1155">
        <f>SUM(W53:W58)</f>
        <v>42856</v>
      </c>
    </row>
    <row r="60" spans="1:23">
      <c r="A60" s="809"/>
      <c r="B60" s="1125" t="s">
        <v>62</v>
      </c>
      <c r="C60" s="1125"/>
      <c r="D60" s="1126">
        <v>136176</v>
      </c>
      <c r="E60" s="1126">
        <v>161555</v>
      </c>
      <c r="F60" s="1126">
        <v>172650</v>
      </c>
      <c r="G60" s="1126">
        <v>174896</v>
      </c>
      <c r="H60" s="1126">
        <v>172352</v>
      </c>
      <c r="I60" s="1126">
        <v>168805</v>
      </c>
      <c r="J60" s="1126">
        <v>177695</v>
      </c>
      <c r="K60" s="1126">
        <v>187651</v>
      </c>
      <c r="L60" s="1126">
        <v>203643</v>
      </c>
      <c r="M60" s="1126">
        <v>223311</v>
      </c>
      <c r="N60" s="1126">
        <v>230403</v>
      </c>
      <c r="O60" s="1126">
        <v>237844</v>
      </c>
      <c r="P60" s="1126">
        <v>233530</v>
      </c>
      <c r="Q60" s="1126">
        <v>226336</v>
      </c>
      <c r="R60" s="1126">
        <v>231708</v>
      </c>
      <c r="S60" s="1126">
        <v>248133</v>
      </c>
      <c r="T60" s="1159">
        <v>260164</v>
      </c>
      <c r="U60" s="125">
        <v>267165</v>
      </c>
      <c r="V60" s="1161">
        <f>V49+V52+V59</f>
        <v>272315</v>
      </c>
      <c r="W60" s="1161">
        <f>W49+W52+W59</f>
        <v>289749</v>
      </c>
    </row>
    <row r="61" spans="1:23">
      <c r="A61" s="1109" t="s">
        <v>57</v>
      </c>
      <c r="B61" s="1116" t="s">
        <v>275</v>
      </c>
      <c r="C61" s="1116" t="s">
        <v>54</v>
      </c>
      <c r="D61" s="1117">
        <v>105</v>
      </c>
      <c r="E61" s="1117">
        <v>93</v>
      </c>
      <c r="F61" s="1117">
        <v>219</v>
      </c>
      <c r="G61" s="1117">
        <v>245</v>
      </c>
      <c r="H61" s="1117">
        <v>271</v>
      </c>
      <c r="I61" s="1117">
        <v>237</v>
      </c>
      <c r="J61" s="1117">
        <v>208</v>
      </c>
      <c r="K61" s="1117">
        <v>206</v>
      </c>
      <c r="L61" s="1117">
        <v>249</v>
      </c>
      <c r="M61" s="1117">
        <v>400</v>
      </c>
      <c r="N61" s="1117">
        <v>733</v>
      </c>
      <c r="O61" s="1117">
        <v>1044</v>
      </c>
      <c r="P61" s="1117">
        <v>1252</v>
      </c>
      <c r="Q61" s="1117">
        <v>1850</v>
      </c>
      <c r="R61" s="1117">
        <v>1475</v>
      </c>
      <c r="S61" s="1117">
        <v>1538</v>
      </c>
      <c r="T61" s="1150">
        <v>3152</v>
      </c>
      <c r="U61" s="551">
        <v>2752</v>
      </c>
      <c r="V61" s="1103">
        <v>3835</v>
      </c>
      <c r="W61" s="1103">
        <v>4417</v>
      </c>
    </row>
    <row r="62" spans="1:23">
      <c r="A62" s="1118"/>
      <c r="C62" s="1119" t="s">
        <v>55</v>
      </c>
      <c r="D62" s="1120">
        <v>112</v>
      </c>
      <c r="E62" s="1120">
        <v>156</v>
      </c>
      <c r="F62" s="1120">
        <v>221</v>
      </c>
      <c r="G62" s="1120">
        <v>269</v>
      </c>
      <c r="H62" s="1120">
        <v>311</v>
      </c>
      <c r="I62" s="1120">
        <v>393</v>
      </c>
      <c r="J62" s="1120">
        <v>424</v>
      </c>
      <c r="K62" s="1120">
        <v>447</v>
      </c>
      <c r="L62" s="1120">
        <v>561</v>
      </c>
      <c r="M62" s="1120">
        <v>630</v>
      </c>
      <c r="N62" s="1120">
        <v>752</v>
      </c>
      <c r="O62" s="1120">
        <v>635</v>
      </c>
      <c r="P62" s="1120">
        <v>675</v>
      </c>
      <c r="Q62" s="1120">
        <v>808</v>
      </c>
      <c r="R62" s="1120">
        <v>1736</v>
      </c>
      <c r="S62" s="1120">
        <v>3056</v>
      </c>
      <c r="T62" s="1151">
        <v>3076</v>
      </c>
      <c r="U62" s="548">
        <v>2505</v>
      </c>
      <c r="V62" s="1103">
        <v>2340</v>
      </c>
      <c r="W62" s="1103">
        <v>2546</v>
      </c>
    </row>
    <row r="63" spans="1:23">
      <c r="A63" s="1118"/>
      <c r="C63" s="1119" t="s">
        <v>290</v>
      </c>
      <c r="D63" s="1120">
        <v>48</v>
      </c>
      <c r="E63" s="1120">
        <v>34</v>
      </c>
      <c r="F63" s="1120">
        <v>50</v>
      </c>
      <c r="G63" s="1120">
        <v>82</v>
      </c>
      <c r="H63" s="1120">
        <v>161</v>
      </c>
      <c r="I63" s="1120">
        <v>128</v>
      </c>
      <c r="J63" s="1120">
        <v>116</v>
      </c>
      <c r="K63" s="1120">
        <v>167</v>
      </c>
      <c r="L63" s="1120">
        <v>196</v>
      </c>
      <c r="M63" s="1120">
        <v>224</v>
      </c>
      <c r="N63" s="1120">
        <v>354</v>
      </c>
      <c r="O63" s="1120">
        <v>378</v>
      </c>
      <c r="P63" s="1120">
        <v>541</v>
      </c>
      <c r="Q63" s="1120">
        <v>500</v>
      </c>
      <c r="R63" s="1120">
        <v>599</v>
      </c>
      <c r="S63" s="1120">
        <v>609</v>
      </c>
      <c r="T63" s="1151">
        <v>639</v>
      </c>
      <c r="U63" s="548">
        <v>1281</v>
      </c>
      <c r="V63" s="1103">
        <v>933</v>
      </c>
      <c r="W63" s="1103">
        <v>630</v>
      </c>
    </row>
    <row r="64" spans="1:23">
      <c r="A64" s="1118"/>
      <c r="C64" s="1119" t="s">
        <v>57</v>
      </c>
      <c r="D64" s="1120">
        <v>65586</v>
      </c>
      <c r="E64" s="1120">
        <v>93172</v>
      </c>
      <c r="F64" s="1120">
        <v>121968</v>
      </c>
      <c r="G64" s="1120">
        <v>152299</v>
      </c>
      <c r="H64" s="1120">
        <v>194005</v>
      </c>
      <c r="I64" s="1120">
        <v>228456</v>
      </c>
      <c r="J64" s="1120">
        <v>291960</v>
      </c>
      <c r="K64" s="1120">
        <v>413540</v>
      </c>
      <c r="L64" s="1120">
        <v>533245</v>
      </c>
      <c r="M64" s="1120">
        <v>702013</v>
      </c>
      <c r="N64" s="1120">
        <v>798074</v>
      </c>
      <c r="O64" s="1120">
        <v>965137</v>
      </c>
      <c r="P64" s="1120">
        <v>1200383</v>
      </c>
      <c r="Q64" s="1120">
        <v>1245128</v>
      </c>
      <c r="R64" s="1120">
        <v>1393195</v>
      </c>
      <c r="S64" s="1120">
        <v>1242826</v>
      </c>
      <c r="T64" s="1151">
        <v>1344166</v>
      </c>
      <c r="U64" s="548">
        <v>1425749</v>
      </c>
      <c r="V64" s="1103">
        <v>1463796</v>
      </c>
      <c r="W64" s="1103">
        <v>1521441</v>
      </c>
    </row>
    <row r="65" spans="1:26">
      <c r="A65" s="1118"/>
      <c r="C65" s="1119" t="s">
        <v>58</v>
      </c>
      <c r="D65" s="1120">
        <v>1443</v>
      </c>
      <c r="E65" s="1120">
        <v>1858</v>
      </c>
      <c r="F65" s="1120">
        <v>3346</v>
      </c>
      <c r="G65" s="1120">
        <v>3333</v>
      </c>
      <c r="H65" s="1120">
        <v>3732</v>
      </c>
      <c r="I65" s="1120">
        <v>5830</v>
      </c>
      <c r="J65" s="1120">
        <v>6321</v>
      </c>
      <c r="K65" s="1120">
        <v>7090</v>
      </c>
      <c r="L65" s="1120">
        <v>8179</v>
      </c>
      <c r="M65" s="1120">
        <v>9689</v>
      </c>
      <c r="N65" s="1120">
        <v>10827</v>
      </c>
      <c r="O65" s="1120">
        <v>11852</v>
      </c>
      <c r="P65" s="1120">
        <v>15416</v>
      </c>
      <c r="Q65" s="1120">
        <v>16581</v>
      </c>
      <c r="R65" s="1120">
        <v>19874</v>
      </c>
      <c r="S65" s="1120">
        <v>22950</v>
      </c>
      <c r="T65" s="1151">
        <v>25230</v>
      </c>
      <c r="U65" s="548">
        <v>28410</v>
      </c>
      <c r="V65" s="1103">
        <v>30354</v>
      </c>
      <c r="W65" s="1103">
        <v>33387</v>
      </c>
    </row>
    <row r="66" spans="1:26">
      <c r="A66" s="1118"/>
      <c r="C66" s="1121" t="s">
        <v>59</v>
      </c>
      <c r="D66" s="1122">
        <v>158</v>
      </c>
      <c r="E66" s="1122">
        <v>226</v>
      </c>
      <c r="F66" s="1122">
        <v>439</v>
      </c>
      <c r="G66" s="1122">
        <v>511</v>
      </c>
      <c r="H66" s="1122">
        <v>612</v>
      </c>
      <c r="I66" s="1122">
        <v>664</v>
      </c>
      <c r="J66" s="1122">
        <v>714</v>
      </c>
      <c r="K66" s="1122">
        <v>898</v>
      </c>
      <c r="L66" s="1122">
        <v>1034</v>
      </c>
      <c r="M66" s="1122">
        <v>1353</v>
      </c>
      <c r="N66" s="1122">
        <v>1874</v>
      </c>
      <c r="O66" s="1122">
        <v>1917</v>
      </c>
      <c r="P66" s="1122">
        <v>2381</v>
      </c>
      <c r="Q66" s="1122">
        <v>2772</v>
      </c>
      <c r="R66" s="1122">
        <v>4017</v>
      </c>
      <c r="S66" s="1122">
        <v>3772</v>
      </c>
      <c r="T66" s="1152">
        <v>9058</v>
      </c>
      <c r="U66" s="548">
        <v>11353</v>
      </c>
      <c r="V66" s="1103">
        <v>11213</v>
      </c>
      <c r="W66" s="1103">
        <v>10873</v>
      </c>
    </row>
    <row r="67" spans="1:26">
      <c r="A67" s="1118"/>
      <c r="C67" t="s">
        <v>62</v>
      </c>
      <c r="D67" s="812">
        <v>67452</v>
      </c>
      <c r="E67" s="812">
        <v>95539</v>
      </c>
      <c r="F67" s="812">
        <v>126243</v>
      </c>
      <c r="G67" s="812">
        <v>156739</v>
      </c>
      <c r="H67" s="812">
        <v>199092</v>
      </c>
      <c r="I67" s="812">
        <v>235708</v>
      </c>
      <c r="J67" s="812">
        <v>299743</v>
      </c>
      <c r="K67" s="812">
        <v>422348</v>
      </c>
      <c r="L67" s="812">
        <v>543464</v>
      </c>
      <c r="M67" s="812">
        <v>714309</v>
      </c>
      <c r="N67" s="812">
        <v>812614</v>
      </c>
      <c r="O67" s="812">
        <v>980963</v>
      </c>
      <c r="P67" s="812">
        <v>1220648</v>
      </c>
      <c r="Q67" s="812">
        <v>1267639</v>
      </c>
      <c r="R67" s="812">
        <v>1420896</v>
      </c>
      <c r="S67" s="812">
        <v>1274751</v>
      </c>
      <c r="T67" s="1153">
        <v>1385321</v>
      </c>
      <c r="U67" s="550">
        <v>1472050</v>
      </c>
      <c r="V67" s="550">
        <f>SUM(V61:V66)</f>
        <v>1512471</v>
      </c>
      <c r="W67" s="550">
        <f>SUM(W61:W66)</f>
        <v>1573294</v>
      </c>
    </row>
    <row r="68" spans="1:26">
      <c r="A68" s="1118"/>
      <c r="B68" s="1116" t="s">
        <v>276</v>
      </c>
      <c r="C68" s="1116" t="s">
        <v>54</v>
      </c>
      <c r="D68" s="1117">
        <v>167</v>
      </c>
      <c r="E68" s="1117">
        <v>193</v>
      </c>
      <c r="F68" s="1117">
        <v>284</v>
      </c>
      <c r="G68" s="1117">
        <v>397</v>
      </c>
      <c r="H68" s="1117">
        <v>383</v>
      </c>
      <c r="I68" s="1117">
        <v>385</v>
      </c>
      <c r="J68" s="1117">
        <v>466</v>
      </c>
      <c r="K68" s="1117">
        <v>540</v>
      </c>
      <c r="L68" s="1117">
        <v>566</v>
      </c>
      <c r="M68" s="1117">
        <v>871</v>
      </c>
      <c r="N68" s="1117">
        <v>880</v>
      </c>
      <c r="O68" s="1117">
        <v>1064</v>
      </c>
      <c r="P68" s="1117">
        <v>1690</v>
      </c>
      <c r="Q68" s="1117">
        <v>2002</v>
      </c>
      <c r="R68" s="1117">
        <v>2339</v>
      </c>
      <c r="S68" s="1117">
        <v>2677</v>
      </c>
      <c r="T68" s="1150">
        <v>2708</v>
      </c>
      <c r="U68" s="551">
        <v>3468</v>
      </c>
      <c r="V68" s="1101">
        <v>3323</v>
      </c>
      <c r="W68" s="1101">
        <v>3490</v>
      </c>
    </row>
    <row r="69" spans="1:26">
      <c r="A69" s="1118"/>
      <c r="C69" s="1121" t="s">
        <v>59</v>
      </c>
      <c r="D69" s="1122">
        <v>1</v>
      </c>
      <c r="E69" s="1122">
        <v>1</v>
      </c>
      <c r="F69" s="1122">
        <v>0</v>
      </c>
      <c r="G69" s="1122">
        <v>0</v>
      </c>
      <c r="H69" s="1122">
        <v>0</v>
      </c>
      <c r="I69" s="1122">
        <v>0</v>
      </c>
      <c r="J69" s="1122">
        <v>2</v>
      </c>
      <c r="K69" s="1122">
        <v>3</v>
      </c>
      <c r="L69" s="1122">
        <v>17</v>
      </c>
      <c r="M69" s="1122">
        <v>15</v>
      </c>
      <c r="N69" s="1122">
        <v>91</v>
      </c>
      <c r="O69" s="1122">
        <v>17</v>
      </c>
      <c r="P69" s="1122">
        <v>7</v>
      </c>
      <c r="Q69" s="1122">
        <v>12</v>
      </c>
      <c r="R69" s="1122">
        <v>30</v>
      </c>
      <c r="S69" s="1122">
        <v>24</v>
      </c>
      <c r="T69" s="1152">
        <v>32</v>
      </c>
      <c r="U69" s="548">
        <v>12</v>
      </c>
      <c r="V69" s="1103">
        <v>30</v>
      </c>
      <c r="W69" s="1103">
        <v>42</v>
      </c>
    </row>
    <row r="70" spans="1:26">
      <c r="A70" s="1118"/>
      <c r="B70" s="1123"/>
      <c r="C70" s="1123" t="s">
        <v>62</v>
      </c>
      <c r="D70" s="1124">
        <v>168</v>
      </c>
      <c r="E70" s="1124">
        <v>194</v>
      </c>
      <c r="F70" s="1124">
        <v>284</v>
      </c>
      <c r="G70" s="1124">
        <v>397</v>
      </c>
      <c r="H70" s="1124">
        <v>383</v>
      </c>
      <c r="I70" s="1124">
        <v>385</v>
      </c>
      <c r="J70" s="1124">
        <v>468</v>
      </c>
      <c r="K70" s="1124">
        <v>543</v>
      </c>
      <c r="L70" s="1124">
        <v>568</v>
      </c>
      <c r="M70" s="1124">
        <v>886</v>
      </c>
      <c r="N70" s="1124">
        <v>971</v>
      </c>
      <c r="O70" s="1124">
        <v>1081</v>
      </c>
      <c r="P70" s="1124">
        <v>1697</v>
      </c>
      <c r="Q70" s="1124">
        <v>2014</v>
      </c>
      <c r="R70" s="1124">
        <v>2369</v>
      </c>
      <c r="S70" s="1124">
        <v>2701</v>
      </c>
      <c r="T70" s="1154">
        <v>2740</v>
      </c>
      <c r="U70" s="550">
        <f>SUM(U68:U69)</f>
        <v>3480</v>
      </c>
      <c r="V70" s="781">
        <f>SUM(V68:V69)</f>
        <v>3353</v>
      </c>
      <c r="W70" s="781">
        <f>SUM(W68:W69)</f>
        <v>3532</v>
      </c>
    </row>
    <row r="71" spans="1:26">
      <c r="A71" s="1118"/>
      <c r="B71" t="s">
        <v>291</v>
      </c>
      <c r="C71" t="s">
        <v>54</v>
      </c>
      <c r="D71" s="812">
        <v>322</v>
      </c>
      <c r="E71" s="812">
        <v>396</v>
      </c>
      <c r="F71" s="812">
        <v>511</v>
      </c>
      <c r="G71" s="812">
        <v>886</v>
      </c>
      <c r="H71" s="812">
        <v>1231</v>
      </c>
      <c r="I71" s="812">
        <v>1342</v>
      </c>
      <c r="J71" s="812">
        <v>1692</v>
      </c>
      <c r="K71" s="812">
        <v>2147</v>
      </c>
      <c r="L71" s="812">
        <v>3393</v>
      </c>
      <c r="M71" s="812">
        <v>3566</v>
      </c>
      <c r="N71" s="812">
        <v>4179</v>
      </c>
      <c r="O71" s="812">
        <v>5086</v>
      </c>
      <c r="P71" s="812">
        <v>5877</v>
      </c>
      <c r="Q71" s="812">
        <v>7228</v>
      </c>
      <c r="R71" s="812">
        <v>7513</v>
      </c>
      <c r="S71" s="812">
        <v>9915</v>
      </c>
      <c r="T71" s="1153">
        <v>11309</v>
      </c>
      <c r="U71" s="1162">
        <v>13938</v>
      </c>
      <c r="V71" s="1101">
        <v>17065</v>
      </c>
      <c r="W71" s="1101">
        <v>19313</v>
      </c>
    </row>
    <row r="72" spans="1:26">
      <c r="A72" s="1118"/>
      <c r="B72" t="s">
        <v>292</v>
      </c>
      <c r="C72" s="1119" t="s">
        <v>55</v>
      </c>
      <c r="D72" s="1120">
        <v>143</v>
      </c>
      <c r="E72" s="1120">
        <v>241</v>
      </c>
      <c r="F72" s="1120">
        <v>284</v>
      </c>
      <c r="G72" s="1120">
        <v>397</v>
      </c>
      <c r="H72" s="1120">
        <v>461</v>
      </c>
      <c r="I72" s="1120">
        <v>498</v>
      </c>
      <c r="J72" s="1120">
        <v>639</v>
      </c>
      <c r="K72" s="1120">
        <v>954</v>
      </c>
      <c r="L72" s="1120">
        <v>1461</v>
      </c>
      <c r="M72" s="1120">
        <v>1434</v>
      </c>
      <c r="N72" s="1120">
        <v>1779</v>
      </c>
      <c r="O72" s="1120">
        <v>2205</v>
      </c>
      <c r="P72" s="1120">
        <v>3135</v>
      </c>
      <c r="Q72" s="1120">
        <v>3364</v>
      </c>
      <c r="R72" s="1120">
        <v>3589</v>
      </c>
      <c r="S72" s="1120">
        <v>4891</v>
      </c>
      <c r="T72" s="1151">
        <v>5330</v>
      </c>
      <c r="U72" s="548">
        <v>6864</v>
      </c>
      <c r="V72" s="1103">
        <v>7502</v>
      </c>
      <c r="W72" s="1103">
        <v>7116</v>
      </c>
    </row>
    <row r="73" spans="1:26">
      <c r="A73" s="1118"/>
      <c r="C73" s="1119" t="s">
        <v>290</v>
      </c>
      <c r="D73" s="1120">
        <v>81</v>
      </c>
      <c r="E73" s="1120">
        <v>114</v>
      </c>
      <c r="F73" s="1120">
        <v>147</v>
      </c>
      <c r="G73" s="1120">
        <v>214</v>
      </c>
      <c r="H73" s="1120">
        <v>320</v>
      </c>
      <c r="I73" s="1120">
        <v>298</v>
      </c>
      <c r="J73" s="1120">
        <v>401</v>
      </c>
      <c r="K73" s="1120">
        <v>585</v>
      </c>
      <c r="L73" s="1120">
        <v>786</v>
      </c>
      <c r="M73" s="1120">
        <v>923</v>
      </c>
      <c r="N73" s="1120">
        <v>1218</v>
      </c>
      <c r="O73" s="1120">
        <v>1569</v>
      </c>
      <c r="P73" s="1120">
        <v>2288</v>
      </c>
      <c r="Q73" s="1120">
        <v>2515</v>
      </c>
      <c r="R73" s="1120">
        <v>2541</v>
      </c>
      <c r="S73" s="1120">
        <v>3114</v>
      </c>
      <c r="T73" s="1151">
        <v>3643</v>
      </c>
      <c r="U73" s="548">
        <v>5019</v>
      </c>
      <c r="V73" s="1103">
        <v>5387</v>
      </c>
      <c r="W73" s="1103">
        <v>4830</v>
      </c>
    </row>
    <row r="74" spans="1:26">
      <c r="A74" s="1118"/>
      <c r="C74" s="1119" t="s">
        <v>57</v>
      </c>
      <c r="D74" s="1120">
        <v>200</v>
      </c>
      <c r="E74" s="1120">
        <v>313</v>
      </c>
      <c r="F74" s="1120">
        <v>350</v>
      </c>
      <c r="G74" s="1120">
        <v>761</v>
      </c>
      <c r="H74" s="1120">
        <v>574</v>
      </c>
      <c r="I74" s="1120">
        <v>640</v>
      </c>
      <c r="J74" s="1120">
        <v>1107</v>
      </c>
      <c r="K74" s="1120">
        <v>2289</v>
      </c>
      <c r="L74" s="1120">
        <v>2068</v>
      </c>
      <c r="M74" s="1120">
        <v>2923</v>
      </c>
      <c r="N74" s="1120">
        <v>3061</v>
      </c>
      <c r="O74" s="1120">
        <v>3115</v>
      </c>
      <c r="P74" s="1120">
        <v>4598</v>
      </c>
      <c r="Q74" s="1120">
        <v>581</v>
      </c>
      <c r="R74" s="1120">
        <v>620</v>
      </c>
      <c r="S74" s="1120">
        <v>742</v>
      </c>
      <c r="T74" s="1151">
        <v>651</v>
      </c>
      <c r="U74" s="548">
        <v>895</v>
      </c>
      <c r="V74" s="1103">
        <v>809</v>
      </c>
      <c r="W74" s="1103">
        <v>851</v>
      </c>
    </row>
    <row r="75" spans="1:26">
      <c r="A75" s="1118"/>
      <c r="C75" s="1119" t="s">
        <v>58</v>
      </c>
      <c r="D75" s="1120">
        <v>212</v>
      </c>
      <c r="E75" s="1120">
        <v>269</v>
      </c>
      <c r="F75" s="1120">
        <v>422</v>
      </c>
      <c r="G75" s="1120">
        <v>570</v>
      </c>
      <c r="H75" s="1120">
        <v>723</v>
      </c>
      <c r="I75" s="1120">
        <v>1049</v>
      </c>
      <c r="J75" s="1120">
        <v>1841</v>
      </c>
      <c r="K75" s="1120">
        <v>3455</v>
      </c>
      <c r="L75" s="1120">
        <v>5094</v>
      </c>
      <c r="M75" s="1120">
        <v>5404</v>
      </c>
      <c r="N75" s="1120">
        <v>7213</v>
      </c>
      <c r="O75" s="1120">
        <v>9534</v>
      </c>
      <c r="P75" s="1120">
        <v>10610</v>
      </c>
      <c r="Q75" s="1120">
        <v>13093</v>
      </c>
      <c r="R75" s="1120">
        <v>12741</v>
      </c>
      <c r="S75" s="1120">
        <v>16105</v>
      </c>
      <c r="T75" s="1151">
        <v>15980</v>
      </c>
      <c r="U75" s="548">
        <v>17432</v>
      </c>
      <c r="V75" s="1103">
        <v>18990</v>
      </c>
      <c r="W75" s="1103">
        <v>26897</v>
      </c>
    </row>
    <row r="76" spans="1:26">
      <c r="A76" s="1118"/>
      <c r="C76" s="1121" t="s">
        <v>59</v>
      </c>
      <c r="D76" s="1122">
        <v>306</v>
      </c>
      <c r="E76" s="1122">
        <v>388</v>
      </c>
      <c r="F76" s="1122">
        <v>546</v>
      </c>
      <c r="G76" s="1122">
        <v>559</v>
      </c>
      <c r="H76" s="1122">
        <v>699</v>
      </c>
      <c r="I76" s="1122">
        <v>507</v>
      </c>
      <c r="J76" s="1122">
        <v>1369</v>
      </c>
      <c r="K76" s="1122">
        <v>3430</v>
      </c>
      <c r="L76" s="1122">
        <v>4176</v>
      </c>
      <c r="M76" s="1122">
        <v>3856</v>
      </c>
      <c r="N76" s="1122">
        <v>5023</v>
      </c>
      <c r="O76" s="1122">
        <v>6041</v>
      </c>
      <c r="P76" s="1122">
        <v>7887</v>
      </c>
      <c r="Q76" s="1122">
        <v>8508</v>
      </c>
      <c r="R76" s="1122">
        <v>8987</v>
      </c>
      <c r="S76" s="1122">
        <v>14897</v>
      </c>
      <c r="T76" s="1152">
        <v>14725</v>
      </c>
      <c r="U76" s="1156">
        <v>17849</v>
      </c>
      <c r="V76" s="1103">
        <v>19087</v>
      </c>
      <c r="W76" s="1103">
        <v>18469</v>
      </c>
    </row>
    <row r="77" spans="1:26">
      <c r="A77" s="1118"/>
      <c r="C77" t="s">
        <v>62</v>
      </c>
      <c r="D77" s="812">
        <v>1264</v>
      </c>
      <c r="E77" s="812">
        <v>1721</v>
      </c>
      <c r="F77" s="812">
        <v>2260</v>
      </c>
      <c r="G77" s="812">
        <v>3387</v>
      </c>
      <c r="H77" s="812">
        <v>4008</v>
      </c>
      <c r="I77" s="812">
        <v>4334</v>
      </c>
      <c r="J77" s="812">
        <v>7049</v>
      </c>
      <c r="K77" s="812">
        <v>12860</v>
      </c>
      <c r="L77" s="812">
        <v>16978</v>
      </c>
      <c r="M77" s="812">
        <v>18106</v>
      </c>
      <c r="N77" s="812">
        <v>22473</v>
      </c>
      <c r="O77" s="812">
        <v>27550</v>
      </c>
      <c r="P77" s="812">
        <v>34395</v>
      </c>
      <c r="Q77" s="812">
        <v>35289</v>
      </c>
      <c r="R77" s="812">
        <v>35991</v>
      </c>
      <c r="S77" s="812">
        <v>49664</v>
      </c>
      <c r="T77" s="1153">
        <v>51638</v>
      </c>
      <c r="U77" s="550">
        <v>61997</v>
      </c>
      <c r="V77" s="1155">
        <f>SUM(V71:V76)</f>
        <v>68840</v>
      </c>
      <c r="W77" s="1155">
        <f>SUM(W71:W76)</f>
        <v>77476</v>
      </c>
      <c r="Z77" s="1163"/>
    </row>
    <row r="78" spans="1:26">
      <c r="A78" s="809"/>
      <c r="B78" s="1125" t="s">
        <v>62</v>
      </c>
      <c r="C78" s="1125"/>
      <c r="D78" s="1126">
        <v>68884</v>
      </c>
      <c r="E78" s="1126">
        <v>97454</v>
      </c>
      <c r="F78" s="1126">
        <v>128787</v>
      </c>
      <c r="G78" s="1126">
        <v>160523</v>
      </c>
      <c r="H78" s="1126">
        <v>203483</v>
      </c>
      <c r="I78" s="1126">
        <v>240427</v>
      </c>
      <c r="J78" s="1126">
        <v>307260</v>
      </c>
      <c r="K78" s="1126">
        <v>435751</v>
      </c>
      <c r="L78" s="1126">
        <v>561010</v>
      </c>
      <c r="M78" s="1126">
        <v>733301</v>
      </c>
      <c r="N78" s="1126">
        <v>836058</v>
      </c>
      <c r="O78" s="1126">
        <v>1009594</v>
      </c>
      <c r="P78" s="1126">
        <v>1256740</v>
      </c>
      <c r="Q78" s="1126">
        <v>1304942</v>
      </c>
      <c r="R78" s="1126">
        <v>1459256</v>
      </c>
      <c r="S78" s="1126">
        <v>1327116</v>
      </c>
      <c r="T78" s="1159">
        <v>1439699</v>
      </c>
      <c r="U78" s="125">
        <v>1537527</v>
      </c>
      <c r="V78" s="1161">
        <f>V67+V70+V77</f>
        <v>1584664</v>
      </c>
      <c r="W78" s="1161">
        <f>W67+W70+W77</f>
        <v>1654302</v>
      </c>
      <c r="Z78" s="1163"/>
    </row>
    <row r="79" spans="1:26">
      <c r="A79" s="1109" t="s">
        <v>58</v>
      </c>
      <c r="B79" s="1116" t="s">
        <v>275</v>
      </c>
      <c r="C79" s="1116" t="s">
        <v>54</v>
      </c>
      <c r="D79" s="1117">
        <v>7043</v>
      </c>
      <c r="E79" s="1117">
        <v>7087</v>
      </c>
      <c r="F79" s="1117">
        <v>5663</v>
      </c>
      <c r="G79" s="1117">
        <v>5495</v>
      </c>
      <c r="H79" s="1117">
        <v>5623</v>
      </c>
      <c r="I79" s="1117">
        <v>4919</v>
      </c>
      <c r="J79" s="1117">
        <v>5323</v>
      </c>
      <c r="K79" s="1117">
        <v>6422</v>
      </c>
      <c r="L79" s="1117">
        <v>6956</v>
      </c>
      <c r="M79" s="1117">
        <v>6897</v>
      </c>
      <c r="N79" s="1117">
        <v>6783</v>
      </c>
      <c r="O79" s="1117">
        <v>6905</v>
      </c>
      <c r="P79" s="1117">
        <v>7363</v>
      </c>
      <c r="Q79" s="1117">
        <v>7446</v>
      </c>
      <c r="R79" s="1117">
        <v>7126</v>
      </c>
      <c r="S79" s="1117">
        <v>6319</v>
      </c>
      <c r="T79" s="1150">
        <v>6235</v>
      </c>
      <c r="U79" s="551">
        <v>7165</v>
      </c>
      <c r="V79" s="1103">
        <v>7961</v>
      </c>
      <c r="W79" s="1103">
        <v>7444</v>
      </c>
      <c r="Z79" s="1163"/>
    </row>
    <row r="80" spans="1:26">
      <c r="A80" s="1118"/>
      <c r="C80" s="1119" t="s">
        <v>55</v>
      </c>
      <c r="D80" s="1120">
        <v>8045</v>
      </c>
      <c r="E80" s="1120">
        <v>8069</v>
      </c>
      <c r="F80" s="1120">
        <v>7482</v>
      </c>
      <c r="G80" s="1120">
        <v>7689</v>
      </c>
      <c r="H80" s="1120">
        <v>7394</v>
      </c>
      <c r="I80" s="1120">
        <v>7285</v>
      </c>
      <c r="J80" s="1120">
        <v>8143</v>
      </c>
      <c r="K80" s="1120">
        <v>8787</v>
      </c>
      <c r="L80" s="1120">
        <v>9019</v>
      </c>
      <c r="M80" s="1120">
        <v>9753</v>
      </c>
      <c r="N80" s="1120">
        <v>10577</v>
      </c>
      <c r="O80" s="1120">
        <v>9598</v>
      </c>
      <c r="P80" s="1120">
        <v>9305</v>
      </c>
      <c r="Q80" s="1120">
        <v>9002</v>
      </c>
      <c r="R80" s="1120">
        <v>8713</v>
      </c>
      <c r="S80" s="1120">
        <v>8543</v>
      </c>
      <c r="T80" s="1151">
        <v>7795</v>
      </c>
      <c r="U80" s="548">
        <v>8845</v>
      </c>
      <c r="V80" s="1103">
        <v>9748</v>
      </c>
      <c r="W80" s="1103">
        <v>10109</v>
      </c>
      <c r="Z80" s="1163"/>
    </row>
    <row r="81" spans="1:27">
      <c r="A81" s="1118"/>
      <c r="C81" s="1119" t="s">
        <v>290</v>
      </c>
      <c r="D81" s="1120">
        <v>2306</v>
      </c>
      <c r="E81" s="1120">
        <v>2754</v>
      </c>
      <c r="F81" s="1120">
        <v>1922</v>
      </c>
      <c r="G81" s="1120">
        <v>1871</v>
      </c>
      <c r="H81" s="1120">
        <v>1665</v>
      </c>
      <c r="I81" s="1120">
        <v>1438</v>
      </c>
      <c r="J81" s="1120">
        <v>1556</v>
      </c>
      <c r="K81" s="1120">
        <v>1613</v>
      </c>
      <c r="L81" s="1120">
        <v>1729</v>
      </c>
      <c r="M81" s="1120">
        <v>1931</v>
      </c>
      <c r="N81" s="1120">
        <v>1853</v>
      </c>
      <c r="O81" s="1120">
        <v>1846</v>
      </c>
      <c r="P81" s="1120">
        <v>1715</v>
      </c>
      <c r="Q81" s="1120">
        <v>1563</v>
      </c>
      <c r="R81" s="1120">
        <v>1582</v>
      </c>
      <c r="S81" s="1120">
        <v>1658</v>
      </c>
      <c r="T81" s="1151">
        <v>1651</v>
      </c>
      <c r="U81" s="548">
        <v>1664</v>
      </c>
      <c r="V81" s="1103">
        <v>1906</v>
      </c>
      <c r="W81" s="1103">
        <v>1495</v>
      </c>
      <c r="Z81" s="1167"/>
    </row>
    <row r="82" spans="1:27">
      <c r="A82" s="1118"/>
      <c r="C82" s="1119" t="s">
        <v>57</v>
      </c>
      <c r="D82" s="1120">
        <v>4588</v>
      </c>
      <c r="E82" s="1120">
        <v>6469</v>
      </c>
      <c r="F82" s="1120">
        <v>6077</v>
      </c>
      <c r="G82" s="1120">
        <v>8280</v>
      </c>
      <c r="H82" s="1120">
        <v>6754</v>
      </c>
      <c r="I82" s="1120">
        <v>6125</v>
      </c>
      <c r="J82" s="1120">
        <v>7731</v>
      </c>
      <c r="K82" s="1120">
        <v>11133</v>
      </c>
      <c r="L82" s="1120">
        <v>11678</v>
      </c>
      <c r="M82" s="1120">
        <v>11973</v>
      </c>
      <c r="N82" s="1120">
        <v>12340</v>
      </c>
      <c r="O82" s="1120">
        <v>12628</v>
      </c>
      <c r="P82" s="1120">
        <v>14283</v>
      </c>
      <c r="Q82" s="1120">
        <v>13784</v>
      </c>
      <c r="R82" s="1120">
        <v>15428</v>
      </c>
      <c r="S82" s="1120">
        <v>15376</v>
      </c>
      <c r="T82" s="1151">
        <v>14587</v>
      </c>
      <c r="U82" s="548">
        <v>16749</v>
      </c>
      <c r="V82" s="1103">
        <v>18532</v>
      </c>
      <c r="W82" s="1103">
        <v>15810</v>
      </c>
      <c r="Z82" s="812"/>
      <c r="AA82" s="812"/>
    </row>
    <row r="83" spans="1:27">
      <c r="A83" s="1118"/>
      <c r="C83" s="1119" t="s">
        <v>58</v>
      </c>
      <c r="D83" s="1120">
        <v>185008</v>
      </c>
      <c r="E83" s="1120">
        <v>202776</v>
      </c>
      <c r="F83" s="1120">
        <v>215904</v>
      </c>
      <c r="G83" s="1120">
        <v>234043</v>
      </c>
      <c r="H83" s="1120">
        <v>223045</v>
      </c>
      <c r="I83" s="1120">
        <v>213093</v>
      </c>
      <c r="J83" s="1120">
        <v>227907</v>
      </c>
      <c r="K83" s="1120">
        <v>231630</v>
      </c>
      <c r="L83" s="1120">
        <v>250617</v>
      </c>
      <c r="M83" s="1120">
        <v>264923</v>
      </c>
      <c r="N83" s="1120">
        <v>260984</v>
      </c>
      <c r="O83" s="1120">
        <v>260274</v>
      </c>
      <c r="P83" s="1120">
        <v>264685</v>
      </c>
      <c r="Q83" s="1120">
        <v>260824</v>
      </c>
      <c r="R83" s="1120">
        <v>250372</v>
      </c>
      <c r="S83" s="1120">
        <v>248498</v>
      </c>
      <c r="T83" s="1151">
        <v>232914</v>
      </c>
      <c r="U83" s="548">
        <v>224805</v>
      </c>
      <c r="V83" s="1103">
        <v>214461</v>
      </c>
      <c r="W83" s="1103">
        <v>249472</v>
      </c>
    </row>
    <row r="84" spans="1:27">
      <c r="A84" s="1118"/>
      <c r="C84" s="1121" t="s">
        <v>59</v>
      </c>
      <c r="D84" s="1122">
        <v>11103</v>
      </c>
      <c r="E84" s="1122">
        <v>17614</v>
      </c>
      <c r="F84" s="1122">
        <v>18309</v>
      </c>
      <c r="G84" s="1122">
        <v>16228</v>
      </c>
      <c r="H84" s="1122">
        <v>17251</v>
      </c>
      <c r="I84" s="1122">
        <v>14672</v>
      </c>
      <c r="J84" s="1122">
        <v>15618</v>
      </c>
      <c r="K84" s="1122">
        <v>19668</v>
      </c>
      <c r="L84" s="1122">
        <v>22889</v>
      </c>
      <c r="M84" s="1122">
        <v>24047</v>
      </c>
      <c r="N84" s="1122">
        <v>23016</v>
      </c>
      <c r="O84" s="1122">
        <v>24568</v>
      </c>
      <c r="P84" s="1122">
        <v>27609</v>
      </c>
      <c r="Q84" s="1122">
        <v>23608</v>
      </c>
      <c r="R84" s="1122">
        <v>22581</v>
      </c>
      <c r="S84" s="1122">
        <v>21882</v>
      </c>
      <c r="T84" s="1152">
        <v>21607</v>
      </c>
      <c r="U84" s="548">
        <v>23355</v>
      </c>
      <c r="V84" s="1103">
        <v>23504</v>
      </c>
      <c r="W84" s="1103">
        <v>26739</v>
      </c>
    </row>
    <row r="85" spans="1:27">
      <c r="A85" s="1118"/>
      <c r="C85" t="s">
        <v>62</v>
      </c>
      <c r="D85" s="812">
        <v>218093</v>
      </c>
      <c r="E85" s="812">
        <v>244769</v>
      </c>
      <c r="F85" s="812">
        <v>255357</v>
      </c>
      <c r="G85" s="812">
        <v>273606</v>
      </c>
      <c r="H85" s="812">
        <v>261732</v>
      </c>
      <c r="I85" s="812">
        <v>247532</v>
      </c>
      <c r="J85" s="812">
        <v>266278</v>
      </c>
      <c r="K85" s="812">
        <v>279253</v>
      </c>
      <c r="L85" s="812">
        <v>302888</v>
      </c>
      <c r="M85" s="812">
        <v>319524</v>
      </c>
      <c r="N85" s="812">
        <v>315553</v>
      </c>
      <c r="O85" s="812">
        <v>315819</v>
      </c>
      <c r="P85" s="812">
        <v>324960</v>
      </c>
      <c r="Q85" s="812">
        <v>316227</v>
      </c>
      <c r="R85" s="812">
        <v>305802</v>
      </c>
      <c r="S85" s="812">
        <v>303655</v>
      </c>
      <c r="T85" s="1153">
        <v>284789</v>
      </c>
      <c r="U85" s="550">
        <f>SUM(U79:U84)</f>
        <v>282583</v>
      </c>
      <c r="V85" s="550">
        <f>SUM(V79:V84)</f>
        <v>276112</v>
      </c>
      <c r="W85" s="550">
        <f>SUM(W79:W84)</f>
        <v>311069</v>
      </c>
    </row>
    <row r="86" spans="1:27">
      <c r="A86" s="1118"/>
      <c r="B86" s="1116" t="s">
        <v>276</v>
      </c>
      <c r="C86" s="1116" t="s">
        <v>54</v>
      </c>
      <c r="D86" s="1117">
        <v>10125</v>
      </c>
      <c r="E86" s="1117">
        <v>10425</v>
      </c>
      <c r="F86" s="1117">
        <v>9726</v>
      </c>
      <c r="G86" s="1117">
        <v>9327</v>
      </c>
      <c r="H86" s="1117">
        <v>9678</v>
      </c>
      <c r="I86" s="1117">
        <v>8296</v>
      </c>
      <c r="J86" s="1117">
        <v>15811</v>
      </c>
      <c r="K86" s="1117">
        <v>11084</v>
      </c>
      <c r="L86" s="1117">
        <v>11550</v>
      </c>
      <c r="M86" s="1117">
        <v>9655</v>
      </c>
      <c r="N86" s="1117">
        <v>9231</v>
      </c>
      <c r="O86" s="1117">
        <v>9963</v>
      </c>
      <c r="P86" s="1117">
        <v>12114</v>
      </c>
      <c r="Q86" s="1117">
        <v>13145</v>
      </c>
      <c r="R86" s="1117">
        <v>14649</v>
      </c>
      <c r="S86" s="1117">
        <v>16321</v>
      </c>
      <c r="T86" s="1150">
        <v>14756</v>
      </c>
      <c r="U86" s="551">
        <v>14239</v>
      </c>
      <c r="V86" s="1101">
        <v>13664</v>
      </c>
      <c r="W86" s="1101">
        <v>14522</v>
      </c>
    </row>
    <row r="87" spans="1:27">
      <c r="A87" s="1118"/>
      <c r="C87" s="1121" t="s">
        <v>59</v>
      </c>
      <c r="D87" s="1122">
        <v>30</v>
      </c>
      <c r="E87" s="1122">
        <v>40</v>
      </c>
      <c r="F87" s="1122">
        <v>30</v>
      </c>
      <c r="G87" s="1122">
        <v>39</v>
      </c>
      <c r="H87" s="1122">
        <v>43</v>
      </c>
      <c r="I87" s="1122">
        <v>62</v>
      </c>
      <c r="J87" s="1122">
        <v>50</v>
      </c>
      <c r="K87" s="1122">
        <v>46</v>
      </c>
      <c r="L87" s="1122">
        <v>1126</v>
      </c>
      <c r="M87" s="1122">
        <v>1177</v>
      </c>
      <c r="N87" s="1122">
        <v>1206</v>
      </c>
      <c r="O87" s="1122">
        <v>637</v>
      </c>
      <c r="P87" s="1122">
        <v>679</v>
      </c>
      <c r="Q87" s="1122">
        <v>718</v>
      </c>
      <c r="R87" s="1122">
        <v>900</v>
      </c>
      <c r="S87" s="1122">
        <v>998</v>
      </c>
      <c r="T87" s="1152">
        <v>828</v>
      </c>
      <c r="U87" s="548">
        <v>304</v>
      </c>
      <c r="V87" s="1103">
        <v>194</v>
      </c>
      <c r="W87" s="1103">
        <v>653</v>
      </c>
    </row>
    <row r="88" spans="1:27">
      <c r="A88" s="1118"/>
      <c r="B88" s="1123"/>
      <c r="C88" s="1123" t="s">
        <v>62</v>
      </c>
      <c r="D88" s="1124">
        <v>10155</v>
      </c>
      <c r="E88" s="1124">
        <v>10465</v>
      </c>
      <c r="F88" s="1124">
        <v>9756</v>
      </c>
      <c r="G88" s="1124">
        <v>9366</v>
      </c>
      <c r="H88" s="1124">
        <v>9721</v>
      </c>
      <c r="I88" s="1124">
        <v>8358</v>
      </c>
      <c r="J88" s="1124">
        <v>15861</v>
      </c>
      <c r="K88" s="1124">
        <v>11130</v>
      </c>
      <c r="L88" s="1124">
        <v>11610</v>
      </c>
      <c r="M88" s="1124">
        <v>10832</v>
      </c>
      <c r="N88" s="1124">
        <v>10437</v>
      </c>
      <c r="O88" s="1124">
        <v>10600</v>
      </c>
      <c r="P88" s="1124">
        <v>12793</v>
      </c>
      <c r="Q88" s="1124">
        <v>13863</v>
      </c>
      <c r="R88" s="1124">
        <v>15549</v>
      </c>
      <c r="S88" s="1124">
        <v>17319</v>
      </c>
      <c r="T88" s="1154">
        <v>15584</v>
      </c>
      <c r="U88" s="550">
        <f>SUM(U86:U87)</f>
        <v>14543</v>
      </c>
      <c r="V88" s="781">
        <f>SUM(V86:V87)</f>
        <v>13858</v>
      </c>
      <c r="W88" s="781">
        <f>SUM(W86:W87)</f>
        <v>15175</v>
      </c>
    </row>
    <row r="89" spans="1:27">
      <c r="A89" s="1118"/>
      <c r="B89" t="s">
        <v>291</v>
      </c>
      <c r="C89" t="s">
        <v>54</v>
      </c>
      <c r="D89" s="812">
        <v>26371</v>
      </c>
      <c r="E89" s="812">
        <v>26168</v>
      </c>
      <c r="F89" s="812">
        <v>27859</v>
      </c>
      <c r="G89" s="812">
        <v>32009</v>
      </c>
      <c r="H89" s="812">
        <v>30427</v>
      </c>
      <c r="I89" s="812">
        <v>27851</v>
      </c>
      <c r="J89" s="812">
        <v>26093</v>
      </c>
      <c r="K89" s="812">
        <v>25975</v>
      </c>
      <c r="L89" s="812">
        <v>26358</v>
      </c>
      <c r="M89" s="812">
        <v>27161</v>
      </c>
      <c r="N89" s="812">
        <v>30773</v>
      </c>
      <c r="O89" s="812">
        <v>36023</v>
      </c>
      <c r="P89" s="812">
        <v>31162</v>
      </c>
      <c r="Q89" s="812">
        <v>32752</v>
      </c>
      <c r="R89" s="812">
        <v>32365</v>
      </c>
      <c r="S89" s="812">
        <v>33072</v>
      </c>
      <c r="T89" s="1153">
        <v>32863</v>
      </c>
      <c r="U89" s="1162">
        <v>35300</v>
      </c>
      <c r="V89" s="1101">
        <v>37879</v>
      </c>
      <c r="W89" s="1101">
        <v>37017</v>
      </c>
    </row>
    <row r="90" spans="1:27">
      <c r="A90" s="1118"/>
      <c r="B90" t="s">
        <v>292</v>
      </c>
      <c r="C90" s="1119" t="s">
        <v>55</v>
      </c>
      <c r="D90" s="1120">
        <v>14950</v>
      </c>
      <c r="E90" s="1120">
        <v>15742</v>
      </c>
      <c r="F90" s="1120">
        <v>17479</v>
      </c>
      <c r="G90" s="1120">
        <v>18337</v>
      </c>
      <c r="H90" s="1120">
        <v>17718</v>
      </c>
      <c r="I90" s="1120">
        <v>15082</v>
      </c>
      <c r="J90" s="1120">
        <v>15040</v>
      </c>
      <c r="K90" s="1120">
        <v>14627</v>
      </c>
      <c r="L90" s="1120">
        <v>13903</v>
      </c>
      <c r="M90" s="1120">
        <v>13728</v>
      </c>
      <c r="N90" s="1120">
        <v>15421</v>
      </c>
      <c r="O90" s="1120">
        <v>16903</v>
      </c>
      <c r="P90" s="1120">
        <v>14674</v>
      </c>
      <c r="Q90" s="1120">
        <v>14947</v>
      </c>
      <c r="R90" s="1120">
        <v>14408</v>
      </c>
      <c r="S90" s="1120">
        <v>14324</v>
      </c>
      <c r="T90" s="1151">
        <v>14656</v>
      </c>
      <c r="U90" s="548">
        <v>16154</v>
      </c>
      <c r="V90" s="1103">
        <v>17126</v>
      </c>
      <c r="W90" s="1103">
        <v>16539</v>
      </c>
      <c r="AA90" s="812"/>
    </row>
    <row r="91" spans="1:27">
      <c r="A91" s="1118"/>
      <c r="C91" s="1119" t="s">
        <v>290</v>
      </c>
      <c r="D91" s="1120">
        <v>7060</v>
      </c>
      <c r="E91" s="1120">
        <v>7753</v>
      </c>
      <c r="F91" s="1120">
        <v>8446</v>
      </c>
      <c r="G91" s="1120">
        <v>10232</v>
      </c>
      <c r="H91" s="1120">
        <v>10724</v>
      </c>
      <c r="I91" s="1120">
        <v>9290</v>
      </c>
      <c r="J91" s="1120">
        <v>9960</v>
      </c>
      <c r="K91" s="1120">
        <v>10526</v>
      </c>
      <c r="L91" s="1120">
        <v>9617</v>
      </c>
      <c r="M91" s="1120">
        <v>11060</v>
      </c>
      <c r="N91" s="1120">
        <v>12129</v>
      </c>
      <c r="O91" s="1120">
        <v>12809</v>
      </c>
      <c r="P91" s="1120">
        <v>11928</v>
      </c>
      <c r="Q91" s="1120">
        <v>11879</v>
      </c>
      <c r="R91" s="1120">
        <v>11453</v>
      </c>
      <c r="S91" s="1120">
        <v>11453</v>
      </c>
      <c r="T91" s="1151">
        <v>11675</v>
      </c>
      <c r="U91" s="548">
        <v>13844</v>
      </c>
      <c r="V91" s="1103">
        <v>15777</v>
      </c>
      <c r="W91" s="1103">
        <v>15032</v>
      </c>
    </row>
    <row r="92" spans="1:27">
      <c r="A92" s="1118"/>
      <c r="C92" s="1119" t="s">
        <v>57</v>
      </c>
      <c r="D92" s="1120">
        <v>9974</v>
      </c>
      <c r="E92" s="1120">
        <v>11531</v>
      </c>
      <c r="F92" s="1120">
        <v>14459</v>
      </c>
      <c r="G92" s="1120">
        <v>14607</v>
      </c>
      <c r="H92" s="1120">
        <v>17773</v>
      </c>
      <c r="I92" s="1120">
        <v>15687</v>
      </c>
      <c r="J92" s="1120">
        <v>17649</v>
      </c>
      <c r="K92" s="1120">
        <v>17324</v>
      </c>
      <c r="L92" s="1120">
        <v>17832</v>
      </c>
      <c r="M92" s="1120">
        <v>18019</v>
      </c>
      <c r="N92" s="1120">
        <v>21623</v>
      </c>
      <c r="O92" s="1120">
        <v>24588</v>
      </c>
      <c r="P92" s="1120">
        <v>21612</v>
      </c>
      <c r="Q92" s="1120">
        <v>23196</v>
      </c>
      <c r="R92" s="1120">
        <v>23431</v>
      </c>
      <c r="S92" s="1120">
        <v>24074</v>
      </c>
      <c r="T92" s="1151">
        <v>23293</v>
      </c>
      <c r="U92" s="548">
        <v>25517</v>
      </c>
      <c r="V92" s="1103">
        <v>24558</v>
      </c>
      <c r="W92" s="1103">
        <v>24568</v>
      </c>
    </row>
    <row r="93" spans="1:27">
      <c r="A93" s="1118"/>
      <c r="C93" s="1119" t="s">
        <v>58</v>
      </c>
      <c r="D93" s="1120">
        <v>4528</v>
      </c>
      <c r="E93" s="1120">
        <v>5091</v>
      </c>
      <c r="F93" s="1120">
        <v>5880</v>
      </c>
      <c r="G93" s="1120">
        <v>7304</v>
      </c>
      <c r="H93" s="1120">
        <v>8543</v>
      </c>
      <c r="I93" s="1120">
        <v>11819</v>
      </c>
      <c r="J93" s="1120">
        <v>14070</v>
      </c>
      <c r="K93" s="1120">
        <v>16120</v>
      </c>
      <c r="L93" s="1120">
        <v>18165</v>
      </c>
      <c r="M93" s="1120">
        <v>22908</v>
      </c>
      <c r="N93" s="1120">
        <v>24112</v>
      </c>
      <c r="O93" s="1120">
        <v>28061</v>
      </c>
      <c r="P93" s="1120">
        <v>30642</v>
      </c>
      <c r="Q93" s="1120">
        <v>33080</v>
      </c>
      <c r="R93" s="1120">
        <v>34723</v>
      </c>
      <c r="S93" s="1120">
        <v>36615</v>
      </c>
      <c r="T93" s="1151">
        <v>36672</v>
      </c>
      <c r="U93" s="548">
        <v>37439</v>
      </c>
      <c r="V93" s="1103">
        <v>37855</v>
      </c>
      <c r="W93" s="1103">
        <v>24019</v>
      </c>
    </row>
    <row r="94" spans="1:27">
      <c r="A94" s="1118"/>
      <c r="C94" s="1121" t="s">
        <v>59</v>
      </c>
      <c r="D94" s="1122">
        <v>26290</v>
      </c>
      <c r="E94" s="1122">
        <v>39082</v>
      </c>
      <c r="F94" s="1122">
        <v>49701</v>
      </c>
      <c r="G94" s="1122">
        <v>44499</v>
      </c>
      <c r="H94" s="1122">
        <v>44148</v>
      </c>
      <c r="I94" s="1122">
        <v>29910</v>
      </c>
      <c r="J94" s="1122">
        <v>50135</v>
      </c>
      <c r="K94" s="1122">
        <v>59242</v>
      </c>
      <c r="L94" s="1122">
        <v>60372</v>
      </c>
      <c r="M94" s="1122">
        <v>64098</v>
      </c>
      <c r="N94" s="1122">
        <v>65908</v>
      </c>
      <c r="O94" s="1122">
        <v>72353</v>
      </c>
      <c r="P94" s="1122">
        <v>64399</v>
      </c>
      <c r="Q94" s="1122">
        <v>67678</v>
      </c>
      <c r="R94" s="1122">
        <v>66193</v>
      </c>
      <c r="S94" s="1122">
        <v>69268</v>
      </c>
      <c r="T94" s="1152">
        <v>65293</v>
      </c>
      <c r="U94" s="548">
        <v>74827</v>
      </c>
      <c r="V94" s="1103">
        <v>82374</v>
      </c>
      <c r="W94" s="1103">
        <v>73008</v>
      </c>
    </row>
    <row r="95" spans="1:27">
      <c r="A95" s="1118"/>
      <c r="C95" t="s">
        <v>62</v>
      </c>
      <c r="D95" s="812">
        <v>89173</v>
      </c>
      <c r="E95" s="812">
        <v>105367</v>
      </c>
      <c r="F95" s="812">
        <v>123824</v>
      </c>
      <c r="G95" s="812">
        <v>126988</v>
      </c>
      <c r="H95" s="812">
        <v>129333</v>
      </c>
      <c r="I95" s="812">
        <v>109639</v>
      </c>
      <c r="J95" s="812">
        <v>132947</v>
      </c>
      <c r="K95" s="812">
        <v>143814</v>
      </c>
      <c r="L95" s="812">
        <v>146247</v>
      </c>
      <c r="M95" s="812">
        <v>156974</v>
      </c>
      <c r="N95" s="812">
        <v>169966</v>
      </c>
      <c r="O95" s="812">
        <v>190737</v>
      </c>
      <c r="P95" s="812">
        <v>174417</v>
      </c>
      <c r="Q95" s="812">
        <v>183532</v>
      </c>
      <c r="R95" s="812">
        <v>182573</v>
      </c>
      <c r="S95" s="812">
        <v>188806</v>
      </c>
      <c r="T95" s="1153">
        <v>184452</v>
      </c>
      <c r="U95" s="550">
        <v>203081</v>
      </c>
      <c r="V95" s="1155">
        <f>SUM(V89:V94)</f>
        <v>215569</v>
      </c>
      <c r="W95" s="1155">
        <f>SUM(W89:W94)</f>
        <v>190183</v>
      </c>
    </row>
    <row r="96" spans="1:27">
      <c r="A96" s="809"/>
      <c r="B96" s="1125" t="s">
        <v>62</v>
      </c>
      <c r="C96" s="1125"/>
      <c r="D96" s="1126">
        <v>317421</v>
      </c>
      <c r="E96" s="1126">
        <v>360601</v>
      </c>
      <c r="F96" s="1126">
        <v>388937</v>
      </c>
      <c r="G96" s="1126">
        <v>409960</v>
      </c>
      <c r="H96" s="1126">
        <v>400786</v>
      </c>
      <c r="I96" s="1126">
        <v>365529</v>
      </c>
      <c r="J96" s="1126">
        <v>415086</v>
      </c>
      <c r="K96" s="1126">
        <v>434197</v>
      </c>
      <c r="L96" s="1126">
        <v>460745</v>
      </c>
      <c r="M96" s="1126">
        <v>487330</v>
      </c>
      <c r="N96" s="1126">
        <v>495956</v>
      </c>
      <c r="O96" s="1126">
        <v>517156</v>
      </c>
      <c r="P96" s="1126">
        <v>512170</v>
      </c>
      <c r="Q96" s="1126">
        <v>513622</v>
      </c>
      <c r="R96" s="1126">
        <v>503924</v>
      </c>
      <c r="S96" s="1126">
        <v>509780</v>
      </c>
      <c r="T96" s="1159">
        <v>484825</v>
      </c>
      <c r="U96" s="125">
        <v>500207</v>
      </c>
      <c r="V96" s="1161">
        <f>V85+V88+V95</f>
        <v>505539</v>
      </c>
      <c r="W96" s="1161">
        <f>W85+W88+W95</f>
        <v>516427</v>
      </c>
    </row>
    <row r="97" spans="1:24">
      <c r="A97" s="1118" t="s">
        <v>59</v>
      </c>
      <c r="B97" t="s">
        <v>275</v>
      </c>
      <c r="C97" t="s">
        <v>54</v>
      </c>
      <c r="D97" s="812">
        <v>3580</v>
      </c>
      <c r="E97" s="812">
        <v>4530</v>
      </c>
      <c r="F97" s="812">
        <v>4335</v>
      </c>
      <c r="G97" s="812">
        <v>3255</v>
      </c>
      <c r="H97" s="812">
        <v>2909</v>
      </c>
      <c r="I97" s="812">
        <v>2807</v>
      </c>
      <c r="J97" s="812">
        <v>2663</v>
      </c>
      <c r="K97" s="812">
        <v>2434</v>
      </c>
      <c r="L97" s="812">
        <v>2374</v>
      </c>
      <c r="M97" s="812">
        <v>2382</v>
      </c>
      <c r="N97" s="812">
        <v>2416</v>
      </c>
      <c r="O97" s="812">
        <v>12088</v>
      </c>
      <c r="P97" s="812">
        <v>2993</v>
      </c>
      <c r="Q97" s="812">
        <v>2392</v>
      </c>
      <c r="R97" s="812">
        <v>3475</v>
      </c>
      <c r="S97" s="812">
        <v>3261</v>
      </c>
      <c r="T97" s="1153">
        <v>3383</v>
      </c>
      <c r="U97" s="551">
        <v>3117</v>
      </c>
      <c r="V97" s="1103">
        <v>2817</v>
      </c>
      <c r="W97" s="1103">
        <v>2529</v>
      </c>
    </row>
    <row r="98" spans="1:24">
      <c r="A98" s="1118"/>
      <c r="C98" s="1119" t="s">
        <v>55</v>
      </c>
      <c r="D98" s="1120">
        <v>2005</v>
      </c>
      <c r="E98" s="1120">
        <v>2324</v>
      </c>
      <c r="F98" s="1120">
        <v>2658</v>
      </c>
      <c r="G98" s="1120">
        <v>2514</v>
      </c>
      <c r="H98" s="1120">
        <v>2281</v>
      </c>
      <c r="I98" s="1120">
        <v>2006</v>
      </c>
      <c r="J98" s="1120">
        <v>2189</v>
      </c>
      <c r="K98" s="1120">
        <v>2056</v>
      </c>
      <c r="L98" s="1120">
        <v>2127</v>
      </c>
      <c r="M98" s="1120">
        <v>2207</v>
      </c>
      <c r="N98" s="1120">
        <v>2327</v>
      </c>
      <c r="O98" s="1120">
        <v>2251</v>
      </c>
      <c r="P98" s="1120">
        <v>2381</v>
      </c>
      <c r="Q98" s="1120">
        <v>2621</v>
      </c>
      <c r="R98" s="1120">
        <v>2913</v>
      </c>
      <c r="S98" s="1120">
        <v>2906</v>
      </c>
      <c r="T98" s="1151">
        <v>2460</v>
      </c>
      <c r="U98" s="548">
        <v>2698</v>
      </c>
      <c r="V98" s="1103">
        <v>2562</v>
      </c>
      <c r="W98" s="1103">
        <v>2755</v>
      </c>
    </row>
    <row r="99" spans="1:24">
      <c r="A99" s="1118"/>
      <c r="C99" s="1119" t="s">
        <v>290</v>
      </c>
      <c r="D99" s="1120">
        <v>534</v>
      </c>
      <c r="E99" s="1120">
        <v>663</v>
      </c>
      <c r="F99" s="1120">
        <v>880</v>
      </c>
      <c r="G99" s="1120">
        <v>821</v>
      </c>
      <c r="H99" s="1120">
        <v>769</v>
      </c>
      <c r="I99" s="1120">
        <v>515</v>
      </c>
      <c r="J99" s="1120">
        <v>781</v>
      </c>
      <c r="K99" s="1120">
        <v>900</v>
      </c>
      <c r="L99" s="1120">
        <v>961</v>
      </c>
      <c r="M99" s="1120">
        <v>890</v>
      </c>
      <c r="N99" s="1120">
        <v>1085</v>
      </c>
      <c r="O99" s="1120">
        <v>1034</v>
      </c>
      <c r="P99" s="1120">
        <v>855</v>
      </c>
      <c r="Q99" s="1120">
        <v>1009</v>
      </c>
      <c r="R99" s="1120">
        <v>1259</v>
      </c>
      <c r="S99" s="1120">
        <v>1284</v>
      </c>
      <c r="T99" s="1151">
        <v>1407</v>
      </c>
      <c r="U99" s="548">
        <v>1363</v>
      </c>
      <c r="V99" s="1103">
        <v>1112</v>
      </c>
      <c r="W99" s="1103">
        <v>1033</v>
      </c>
    </row>
    <row r="100" spans="1:24">
      <c r="A100" s="1118"/>
      <c r="C100" s="1119" t="s">
        <v>57</v>
      </c>
      <c r="D100" s="1120">
        <v>455</v>
      </c>
      <c r="E100" s="1120">
        <v>635</v>
      </c>
      <c r="F100" s="1120">
        <v>826</v>
      </c>
      <c r="G100" s="1120">
        <v>986</v>
      </c>
      <c r="H100" s="1120">
        <v>1223</v>
      </c>
      <c r="I100" s="1120">
        <v>946</v>
      </c>
      <c r="J100" s="1120">
        <v>1097</v>
      </c>
      <c r="K100" s="1120">
        <v>1267</v>
      </c>
      <c r="L100" s="1120">
        <v>1873</v>
      </c>
      <c r="M100" s="1120">
        <v>1752</v>
      </c>
      <c r="N100" s="1120">
        <v>2756</v>
      </c>
      <c r="O100" s="1120">
        <v>4438</v>
      </c>
      <c r="P100" s="1120">
        <v>4896</v>
      </c>
      <c r="Q100" s="1120">
        <v>4829</v>
      </c>
      <c r="R100" s="1120">
        <v>6831</v>
      </c>
      <c r="S100" s="1120">
        <v>7194</v>
      </c>
      <c r="T100" s="1151">
        <v>5449</v>
      </c>
      <c r="U100" s="548">
        <v>5323</v>
      </c>
      <c r="V100" s="1103">
        <v>3123</v>
      </c>
      <c r="W100" s="1103">
        <v>3186</v>
      </c>
    </row>
    <row r="101" spans="1:24">
      <c r="A101" s="1118"/>
      <c r="C101" s="1119" t="s">
        <v>58</v>
      </c>
      <c r="D101" s="1120">
        <v>31377</v>
      </c>
      <c r="E101" s="1120">
        <v>33886</v>
      </c>
      <c r="F101" s="1120">
        <v>38756</v>
      </c>
      <c r="G101" s="1120">
        <v>40086</v>
      </c>
      <c r="H101" s="1120">
        <v>40101</v>
      </c>
      <c r="I101" s="1120">
        <v>39836</v>
      </c>
      <c r="J101" s="1120">
        <v>43719</v>
      </c>
      <c r="K101" s="1120">
        <v>44579</v>
      </c>
      <c r="L101" s="1120">
        <v>48294</v>
      </c>
      <c r="M101" s="1120">
        <v>51049</v>
      </c>
      <c r="N101" s="1120">
        <v>49762</v>
      </c>
      <c r="O101" s="1120">
        <v>50357</v>
      </c>
      <c r="P101" s="1120">
        <v>50974</v>
      </c>
      <c r="Q101" s="1120">
        <v>51365</v>
      </c>
      <c r="R101" s="1120">
        <v>51392</v>
      </c>
      <c r="S101" s="1120">
        <v>67695</v>
      </c>
      <c r="T101" s="1151">
        <v>65998</v>
      </c>
      <c r="U101" s="548">
        <v>63000</v>
      </c>
      <c r="V101" s="1103">
        <v>62124</v>
      </c>
      <c r="W101" s="1103">
        <v>55705</v>
      </c>
    </row>
    <row r="102" spans="1:24">
      <c r="A102" s="1118"/>
      <c r="C102" s="1121" t="s">
        <v>59</v>
      </c>
      <c r="D102" s="1122">
        <v>65802</v>
      </c>
      <c r="E102" s="1122">
        <v>60758</v>
      </c>
      <c r="F102" s="1122">
        <v>67018</v>
      </c>
      <c r="G102" s="1122">
        <v>54347</v>
      </c>
      <c r="H102" s="1122">
        <v>108544</v>
      </c>
      <c r="I102" s="1122">
        <v>90607</v>
      </c>
      <c r="J102" s="1122">
        <v>75585</v>
      </c>
      <c r="K102" s="1122">
        <v>71808</v>
      </c>
      <c r="L102" s="1122">
        <v>80343</v>
      </c>
      <c r="M102" s="1122">
        <v>88645</v>
      </c>
      <c r="N102" s="1122">
        <v>84315</v>
      </c>
      <c r="O102" s="1122">
        <v>88691</v>
      </c>
      <c r="P102" s="1122">
        <v>91795</v>
      </c>
      <c r="Q102" s="1122">
        <v>89036</v>
      </c>
      <c r="R102" s="1122">
        <v>90429</v>
      </c>
      <c r="S102" s="1122">
        <v>90090</v>
      </c>
      <c r="T102" s="1152">
        <v>100585</v>
      </c>
      <c r="U102" s="548">
        <v>89820</v>
      </c>
      <c r="V102" s="1103">
        <v>107175</v>
      </c>
      <c r="W102" s="1103">
        <v>120646</v>
      </c>
    </row>
    <row r="103" spans="1:24">
      <c r="A103" s="1118"/>
      <c r="C103" t="s">
        <v>62</v>
      </c>
      <c r="D103" s="812">
        <v>103753</v>
      </c>
      <c r="E103" s="812">
        <v>102796</v>
      </c>
      <c r="F103" s="812">
        <v>114473</v>
      </c>
      <c r="G103" s="812">
        <v>102009</v>
      </c>
      <c r="H103" s="812">
        <v>155827</v>
      </c>
      <c r="I103" s="812">
        <v>136717</v>
      </c>
      <c r="J103" s="812">
        <v>126034</v>
      </c>
      <c r="K103" s="812">
        <v>123044</v>
      </c>
      <c r="L103" s="812">
        <v>135972</v>
      </c>
      <c r="M103" s="812">
        <v>146925</v>
      </c>
      <c r="N103" s="812">
        <v>142661</v>
      </c>
      <c r="O103" s="812">
        <v>158859</v>
      </c>
      <c r="P103" s="812">
        <v>153894</v>
      </c>
      <c r="Q103" s="812">
        <v>151252</v>
      </c>
      <c r="R103" s="812">
        <v>156299</v>
      </c>
      <c r="S103" s="812">
        <v>172430</v>
      </c>
      <c r="T103" s="1153">
        <v>179282</v>
      </c>
      <c r="U103" s="550">
        <f>SUM(U97:U102)</f>
        <v>165321</v>
      </c>
      <c r="V103" s="550">
        <f>SUM(V97:V102)</f>
        <v>178913</v>
      </c>
      <c r="W103" s="550">
        <f>SUM(W97:W102)</f>
        <v>185854</v>
      </c>
    </row>
    <row r="104" spans="1:24">
      <c r="A104" s="1118"/>
      <c r="B104" s="1116" t="s">
        <v>276</v>
      </c>
      <c r="C104" s="1116" t="s">
        <v>54</v>
      </c>
      <c r="D104" s="1117">
        <v>1830</v>
      </c>
      <c r="E104" s="1117">
        <v>2081</v>
      </c>
      <c r="F104" s="1117">
        <v>2382</v>
      </c>
      <c r="G104" s="1117">
        <v>2555</v>
      </c>
      <c r="H104" s="1117">
        <v>2609</v>
      </c>
      <c r="I104" s="1117">
        <v>2627</v>
      </c>
      <c r="J104" s="1117">
        <v>3896</v>
      </c>
      <c r="K104" s="1117">
        <v>3316</v>
      </c>
      <c r="L104" s="1117">
        <v>3446</v>
      </c>
      <c r="M104" s="1117">
        <v>2867</v>
      </c>
      <c r="N104" s="1117">
        <v>2424</v>
      </c>
      <c r="O104" s="1117">
        <v>2670</v>
      </c>
      <c r="P104" s="1117">
        <v>3145</v>
      </c>
      <c r="Q104" s="1117">
        <v>3463</v>
      </c>
      <c r="R104" s="1117">
        <v>4116</v>
      </c>
      <c r="S104" s="1117">
        <v>4043</v>
      </c>
      <c r="T104" s="1150">
        <v>3913</v>
      </c>
      <c r="U104" s="551">
        <v>4169</v>
      </c>
      <c r="V104" s="1101">
        <v>4018</v>
      </c>
      <c r="W104" s="1101">
        <v>4025</v>
      </c>
    </row>
    <row r="105" spans="1:24">
      <c r="A105" s="1118"/>
      <c r="C105" s="1121" t="s">
        <v>59</v>
      </c>
      <c r="D105" s="1122">
        <v>215</v>
      </c>
      <c r="E105" s="1122">
        <v>244</v>
      </c>
      <c r="F105" s="1122">
        <v>249</v>
      </c>
      <c r="G105" s="1122">
        <v>332</v>
      </c>
      <c r="H105" s="1122">
        <v>345</v>
      </c>
      <c r="I105" s="1122">
        <v>360</v>
      </c>
      <c r="J105" s="1122">
        <v>389</v>
      </c>
      <c r="K105" s="1122">
        <v>485</v>
      </c>
      <c r="L105" s="1122">
        <v>2178</v>
      </c>
      <c r="M105" s="1122">
        <v>945</v>
      </c>
      <c r="N105" s="1122">
        <v>1031</v>
      </c>
      <c r="O105" s="1122">
        <v>974</v>
      </c>
      <c r="P105" s="1122">
        <v>999</v>
      </c>
      <c r="Q105" s="1122">
        <v>1106</v>
      </c>
      <c r="R105" s="1122">
        <v>1508</v>
      </c>
      <c r="S105" s="1122">
        <v>1437</v>
      </c>
      <c r="T105" s="1152">
        <v>1683</v>
      </c>
      <c r="U105" s="548">
        <v>891</v>
      </c>
      <c r="V105" s="1103">
        <v>720</v>
      </c>
      <c r="W105" s="1103">
        <v>1707</v>
      </c>
    </row>
    <row r="106" spans="1:24">
      <c r="A106" s="1118"/>
      <c r="B106" s="1123"/>
      <c r="C106" s="1123" t="s">
        <v>62</v>
      </c>
      <c r="D106" s="1124">
        <v>2045</v>
      </c>
      <c r="E106" s="1124">
        <v>2325</v>
      </c>
      <c r="F106" s="1124">
        <v>2631</v>
      </c>
      <c r="G106" s="1124">
        <v>2887</v>
      </c>
      <c r="H106" s="1124">
        <v>2954</v>
      </c>
      <c r="I106" s="1124">
        <v>2987</v>
      </c>
      <c r="J106" s="1124">
        <v>4285</v>
      </c>
      <c r="K106" s="1124">
        <v>3801</v>
      </c>
      <c r="L106" s="1124">
        <v>4645</v>
      </c>
      <c r="M106" s="1124">
        <v>3812</v>
      </c>
      <c r="N106" s="1124">
        <v>3455</v>
      </c>
      <c r="O106" s="1124">
        <v>3644</v>
      </c>
      <c r="P106" s="1124">
        <v>4144</v>
      </c>
      <c r="Q106" s="1124">
        <v>4569</v>
      </c>
      <c r="R106" s="1124">
        <v>5624</v>
      </c>
      <c r="S106" s="1124">
        <v>5480</v>
      </c>
      <c r="T106" s="1154">
        <v>5596</v>
      </c>
      <c r="U106" s="550">
        <v>5060</v>
      </c>
      <c r="V106" s="781">
        <f>SUM(V104:V105)</f>
        <v>4738</v>
      </c>
      <c r="W106" s="781">
        <f>SUM(W104:W105)</f>
        <v>5732</v>
      </c>
    </row>
    <row r="107" spans="1:24">
      <c r="A107" s="1118"/>
      <c r="B107" t="s">
        <v>291</v>
      </c>
      <c r="C107" t="s">
        <v>54</v>
      </c>
      <c r="D107" s="812">
        <v>8626</v>
      </c>
      <c r="E107" s="812">
        <v>9000</v>
      </c>
      <c r="F107" s="812">
        <v>9744</v>
      </c>
      <c r="G107" s="812">
        <v>6108</v>
      </c>
      <c r="H107" s="812">
        <v>5816</v>
      </c>
      <c r="I107" s="812">
        <v>5464</v>
      </c>
      <c r="J107" s="812">
        <v>5072</v>
      </c>
      <c r="K107" s="812">
        <v>5110</v>
      </c>
      <c r="L107" s="812">
        <v>5299</v>
      </c>
      <c r="M107" s="812">
        <v>5452</v>
      </c>
      <c r="N107" s="812">
        <v>5679</v>
      </c>
      <c r="O107" s="812">
        <v>5587</v>
      </c>
      <c r="P107" s="812">
        <v>5650</v>
      </c>
      <c r="Q107" s="812">
        <v>5750</v>
      </c>
      <c r="R107" s="812">
        <v>6236</v>
      </c>
      <c r="S107" s="812">
        <v>6657</v>
      </c>
      <c r="T107" s="1153">
        <v>6718</v>
      </c>
      <c r="U107" s="551">
        <v>7128</v>
      </c>
      <c r="V107" s="1101">
        <v>6974</v>
      </c>
      <c r="W107" s="1101">
        <v>6598</v>
      </c>
    </row>
    <row r="108" spans="1:24">
      <c r="A108" s="1118"/>
      <c r="B108" t="s">
        <v>292</v>
      </c>
      <c r="C108" s="1119" t="s">
        <v>55</v>
      </c>
      <c r="D108" s="1120">
        <v>1991</v>
      </c>
      <c r="E108" s="1120">
        <v>2040</v>
      </c>
      <c r="F108" s="1120">
        <v>2315</v>
      </c>
      <c r="G108" s="1120">
        <v>2425</v>
      </c>
      <c r="H108" s="1120">
        <v>2341</v>
      </c>
      <c r="I108" s="1120">
        <v>1984</v>
      </c>
      <c r="J108" s="1120">
        <v>2088</v>
      </c>
      <c r="K108" s="1120">
        <v>2129</v>
      </c>
      <c r="L108" s="1120">
        <v>2105</v>
      </c>
      <c r="M108" s="1120">
        <v>2215</v>
      </c>
      <c r="N108" s="1120">
        <v>2342</v>
      </c>
      <c r="O108" s="1120">
        <v>2284</v>
      </c>
      <c r="P108" s="1120">
        <v>2183</v>
      </c>
      <c r="Q108" s="1120">
        <v>2153</v>
      </c>
      <c r="R108" s="1120">
        <v>2624</v>
      </c>
      <c r="S108" s="1120">
        <v>2849</v>
      </c>
      <c r="T108" s="1151">
        <v>2654</v>
      </c>
      <c r="U108" s="548">
        <v>2822</v>
      </c>
      <c r="V108" s="1103">
        <v>2715</v>
      </c>
      <c r="W108" s="1103">
        <v>2430</v>
      </c>
      <c r="X108" s="1163"/>
    </row>
    <row r="109" spans="1:24">
      <c r="A109" s="1118"/>
      <c r="C109" s="1119" t="s">
        <v>290</v>
      </c>
      <c r="D109" s="1120">
        <v>939</v>
      </c>
      <c r="E109" s="1120">
        <v>870</v>
      </c>
      <c r="F109" s="1120">
        <v>980</v>
      </c>
      <c r="G109" s="1120">
        <v>1282</v>
      </c>
      <c r="H109" s="1120">
        <v>1295</v>
      </c>
      <c r="I109" s="1120">
        <v>1098</v>
      </c>
      <c r="J109" s="1120">
        <v>1285</v>
      </c>
      <c r="K109" s="1120">
        <v>1296</v>
      </c>
      <c r="L109" s="1120">
        <v>1292</v>
      </c>
      <c r="M109" s="1120">
        <v>1546</v>
      </c>
      <c r="N109" s="1120">
        <v>1628</v>
      </c>
      <c r="O109" s="1120">
        <v>1473</v>
      </c>
      <c r="P109" s="1120">
        <v>1455</v>
      </c>
      <c r="Q109" s="1120">
        <v>1483</v>
      </c>
      <c r="R109" s="1120">
        <v>1700</v>
      </c>
      <c r="S109" s="1120">
        <v>2022</v>
      </c>
      <c r="T109" s="1151">
        <v>1791</v>
      </c>
      <c r="U109" s="548">
        <v>1964</v>
      </c>
      <c r="V109" s="1103">
        <v>1975</v>
      </c>
      <c r="W109" s="1103">
        <v>1945</v>
      </c>
      <c r="X109" s="1163"/>
    </row>
    <row r="110" spans="1:24">
      <c r="A110" s="1118"/>
      <c r="C110" s="1119" t="s">
        <v>57</v>
      </c>
      <c r="D110" s="1120">
        <v>1852</v>
      </c>
      <c r="E110" s="1120">
        <v>1822</v>
      </c>
      <c r="F110" s="1120">
        <v>2212</v>
      </c>
      <c r="G110" s="1120">
        <v>2236</v>
      </c>
      <c r="H110" s="1120">
        <v>2372</v>
      </c>
      <c r="I110" s="1120">
        <v>2292</v>
      </c>
      <c r="J110" s="1120">
        <v>2835</v>
      </c>
      <c r="K110" s="1120">
        <v>3300</v>
      </c>
      <c r="L110" s="1120">
        <v>2998</v>
      </c>
      <c r="M110" s="1120">
        <v>3110</v>
      </c>
      <c r="N110" s="1120">
        <v>3341</v>
      </c>
      <c r="O110" s="1120">
        <v>3320</v>
      </c>
      <c r="P110" s="1120">
        <v>3293</v>
      </c>
      <c r="Q110" s="1120">
        <v>3170</v>
      </c>
      <c r="R110" s="1120">
        <v>3528</v>
      </c>
      <c r="S110" s="1120">
        <v>3807</v>
      </c>
      <c r="T110" s="1151">
        <v>3905</v>
      </c>
      <c r="U110" s="548">
        <v>4181</v>
      </c>
      <c r="V110" s="1103">
        <v>3693</v>
      </c>
      <c r="W110" s="1103">
        <v>3805</v>
      </c>
      <c r="X110" s="1163"/>
    </row>
    <row r="111" spans="1:24">
      <c r="A111" s="1118"/>
      <c r="C111" s="1119" t="s">
        <v>58</v>
      </c>
      <c r="D111" s="1120">
        <v>2993</v>
      </c>
      <c r="E111" s="1120">
        <v>3068</v>
      </c>
      <c r="F111" s="1120">
        <v>3572</v>
      </c>
      <c r="G111" s="1120">
        <v>4315</v>
      </c>
      <c r="H111" s="1120">
        <v>5203</v>
      </c>
      <c r="I111" s="1120">
        <v>6330</v>
      </c>
      <c r="J111" s="1120">
        <v>7487</v>
      </c>
      <c r="K111" s="1120">
        <v>7921</v>
      </c>
      <c r="L111" s="1120">
        <v>9104</v>
      </c>
      <c r="M111" s="1120">
        <v>10269</v>
      </c>
      <c r="N111" s="1120">
        <v>10790</v>
      </c>
      <c r="O111" s="1120">
        <v>11565</v>
      </c>
      <c r="P111" s="1120">
        <v>12613</v>
      </c>
      <c r="Q111" s="1120">
        <v>13340</v>
      </c>
      <c r="R111" s="1120">
        <v>13057</v>
      </c>
      <c r="S111" s="1120">
        <v>14039</v>
      </c>
      <c r="T111" s="1151">
        <v>13681</v>
      </c>
      <c r="U111" s="548">
        <v>18001</v>
      </c>
      <c r="V111" s="1103">
        <v>22275</v>
      </c>
      <c r="W111" s="1103">
        <v>9282</v>
      </c>
      <c r="X111" s="1163"/>
    </row>
    <row r="112" spans="1:24">
      <c r="A112" s="1118"/>
      <c r="C112" s="1121" t="s">
        <v>59</v>
      </c>
      <c r="D112" s="1122">
        <v>30177</v>
      </c>
      <c r="E112" s="1122">
        <v>19684</v>
      </c>
      <c r="F112" s="1122">
        <v>24467</v>
      </c>
      <c r="G112" s="1122">
        <v>12338</v>
      </c>
      <c r="H112" s="1122">
        <v>12696</v>
      </c>
      <c r="I112" s="1122">
        <v>13686</v>
      </c>
      <c r="J112" s="1122">
        <v>14027</v>
      </c>
      <c r="K112" s="1122">
        <v>21836</v>
      </c>
      <c r="L112" s="1122">
        <v>18158</v>
      </c>
      <c r="M112" s="1122">
        <v>21715</v>
      </c>
      <c r="N112" s="1122">
        <v>22149</v>
      </c>
      <c r="O112" s="1122">
        <v>18376</v>
      </c>
      <c r="P112" s="1122">
        <v>19304</v>
      </c>
      <c r="Q112" s="1122">
        <v>18169</v>
      </c>
      <c r="R112" s="1122">
        <v>21889</v>
      </c>
      <c r="S112" s="1122">
        <v>21951</v>
      </c>
      <c r="T112" s="1152">
        <v>24071</v>
      </c>
      <c r="U112" s="548">
        <v>22640</v>
      </c>
      <c r="V112" s="1103">
        <v>23211</v>
      </c>
      <c r="W112" s="1103">
        <v>21667</v>
      </c>
      <c r="X112" s="1163"/>
    </row>
    <row r="113" spans="1:25">
      <c r="A113" s="1118"/>
      <c r="C113" t="s">
        <v>62</v>
      </c>
      <c r="D113" s="812">
        <v>46578</v>
      </c>
      <c r="E113" s="812">
        <v>36484</v>
      </c>
      <c r="F113" s="812">
        <v>43290</v>
      </c>
      <c r="G113" s="812">
        <v>28704</v>
      </c>
      <c r="H113" s="812">
        <v>29723</v>
      </c>
      <c r="I113" s="812">
        <v>30854</v>
      </c>
      <c r="J113" s="812">
        <v>32794</v>
      </c>
      <c r="K113" s="812">
        <v>41592</v>
      </c>
      <c r="L113" s="812">
        <v>38956</v>
      </c>
      <c r="M113" s="812">
        <v>44307</v>
      </c>
      <c r="N113" s="812">
        <v>45929</v>
      </c>
      <c r="O113" s="812">
        <v>42605</v>
      </c>
      <c r="P113" s="812">
        <v>44498</v>
      </c>
      <c r="Q113" s="812">
        <v>44065</v>
      </c>
      <c r="R113" s="812">
        <v>49034</v>
      </c>
      <c r="S113" s="812">
        <v>51325</v>
      </c>
      <c r="T113" s="1153">
        <v>52820</v>
      </c>
      <c r="U113" s="550">
        <v>56736</v>
      </c>
      <c r="V113" s="1155">
        <f>SUM(V107:V112)</f>
        <v>60843</v>
      </c>
      <c r="W113" s="1155">
        <f>SUM(W107:W112)</f>
        <v>45727</v>
      </c>
      <c r="X113" s="812"/>
      <c r="Y113" s="812"/>
    </row>
    <row r="114" spans="1:25">
      <c r="A114" s="809"/>
      <c r="B114" s="1125" t="s">
        <v>62</v>
      </c>
      <c r="C114" s="1125"/>
      <c r="D114" s="1126">
        <v>152376</v>
      </c>
      <c r="E114" s="1126">
        <v>141605</v>
      </c>
      <c r="F114" s="1126">
        <v>160394</v>
      </c>
      <c r="G114" s="1126">
        <v>133600</v>
      </c>
      <c r="H114" s="1126">
        <v>188504</v>
      </c>
      <c r="I114" s="1126">
        <v>170558</v>
      </c>
      <c r="J114" s="1126">
        <v>163113</v>
      </c>
      <c r="K114" s="1126">
        <v>168437</v>
      </c>
      <c r="L114" s="1126">
        <v>179573</v>
      </c>
      <c r="M114" s="1126">
        <v>195044</v>
      </c>
      <c r="N114" s="1126">
        <v>192045</v>
      </c>
      <c r="O114" s="1126">
        <v>205108</v>
      </c>
      <c r="P114" s="1126">
        <v>202536</v>
      </c>
      <c r="Q114" s="1126">
        <v>199886</v>
      </c>
      <c r="R114" s="1126">
        <v>210957</v>
      </c>
      <c r="S114" s="1126">
        <v>229235</v>
      </c>
      <c r="T114" s="1159">
        <v>237698</v>
      </c>
      <c r="U114" s="125">
        <f>U113+U106+U103</f>
        <v>227117</v>
      </c>
      <c r="V114" s="1161">
        <f>V103+V106+V113</f>
        <v>244494</v>
      </c>
      <c r="W114" s="1161">
        <f>W103+W106+W113</f>
        <v>237313</v>
      </c>
    </row>
    <row r="117" spans="1:25">
      <c r="B117" s="1109" t="s">
        <v>274</v>
      </c>
      <c r="C117" s="813"/>
      <c r="D117" s="530">
        <v>2004</v>
      </c>
      <c r="E117" s="530">
        <v>2005</v>
      </c>
      <c r="F117" s="530">
        <v>2006</v>
      </c>
      <c r="G117" s="530">
        <v>2007</v>
      </c>
      <c r="H117" s="530">
        <v>2008</v>
      </c>
      <c r="I117" s="530">
        <v>2009</v>
      </c>
      <c r="J117" s="530">
        <v>2010</v>
      </c>
      <c r="K117" s="530">
        <v>2011</v>
      </c>
      <c r="L117" s="530">
        <v>2012</v>
      </c>
      <c r="M117" s="530">
        <v>2013</v>
      </c>
      <c r="N117" s="530">
        <v>2014</v>
      </c>
      <c r="O117" s="530">
        <v>2015</v>
      </c>
      <c r="P117" s="530">
        <v>2016</v>
      </c>
      <c r="Q117" s="530">
        <v>2017</v>
      </c>
      <c r="R117" s="530">
        <v>2018</v>
      </c>
      <c r="S117" s="530">
        <v>2019</v>
      </c>
      <c r="T117" s="530">
        <v>2020</v>
      </c>
      <c r="U117" s="552">
        <v>2021</v>
      </c>
      <c r="V117" s="553">
        <v>2022</v>
      </c>
      <c r="W117" s="553">
        <v>2023</v>
      </c>
    </row>
    <row r="118" spans="1:25">
      <c r="B118" s="1137" t="s">
        <v>275</v>
      </c>
      <c r="C118" s="1138"/>
      <c r="D118" s="1139">
        <f>D13+D31+D49+D67+D85+D103</f>
        <v>1149981</v>
      </c>
      <c r="E118" s="1139">
        <f t="shared" ref="E118:T118" si="0">E13+E31+E49+E67+E85+E103</f>
        <v>1237028</v>
      </c>
      <c r="F118" s="1139">
        <f t="shared" si="0"/>
        <v>1282384</v>
      </c>
      <c r="G118" s="1139">
        <f t="shared" si="0"/>
        <v>1307377</v>
      </c>
      <c r="H118" s="1139">
        <f t="shared" si="0"/>
        <v>1382985</v>
      </c>
      <c r="I118" s="1139">
        <f t="shared" si="0"/>
        <v>1331777</v>
      </c>
      <c r="J118" s="1139">
        <f t="shared" si="0"/>
        <v>1389232</v>
      </c>
      <c r="K118" s="1139">
        <f t="shared" si="0"/>
        <v>1555711</v>
      </c>
      <c r="L118" s="1139">
        <f t="shared" si="0"/>
        <v>1728578</v>
      </c>
      <c r="M118" s="1139">
        <f t="shared" si="0"/>
        <v>1921441</v>
      </c>
      <c r="N118" s="1139">
        <f t="shared" si="0"/>
        <v>2008933</v>
      </c>
      <c r="O118" s="1139">
        <f t="shared" si="0"/>
        <v>2188932</v>
      </c>
      <c r="P118" s="1139">
        <f t="shared" si="0"/>
        <v>2436257</v>
      </c>
      <c r="Q118" s="1139">
        <f t="shared" si="0"/>
        <v>2456411</v>
      </c>
      <c r="R118" s="1139">
        <f t="shared" si="0"/>
        <v>2600036</v>
      </c>
      <c r="S118" s="1139">
        <f t="shared" si="0"/>
        <v>2465543</v>
      </c>
      <c r="T118" s="1139">
        <f t="shared" si="0"/>
        <v>2538782</v>
      </c>
      <c r="U118" s="551">
        <v>2598438</v>
      </c>
      <c r="V118" s="1164">
        <v>2642997</v>
      </c>
      <c r="W118" s="1164">
        <f>W13+W31+W49+W67+W85+W103</f>
        <v>2783286</v>
      </c>
    </row>
    <row r="119" spans="1:25">
      <c r="B119" s="1140" t="s">
        <v>276</v>
      </c>
      <c r="C119" s="1141"/>
      <c r="D119" s="1142">
        <f>D16+D34+D52+D70+D88+D106</f>
        <v>58784</v>
      </c>
      <c r="E119" s="1142">
        <f t="shared" ref="E119:U119" si="1">E16+E34+E52+E70+E88+E106</f>
        <v>61203</v>
      </c>
      <c r="F119" s="1142">
        <f t="shared" si="1"/>
        <v>61434</v>
      </c>
      <c r="G119" s="1142">
        <f t="shared" si="1"/>
        <v>62606</v>
      </c>
      <c r="H119" s="1142">
        <f t="shared" si="1"/>
        <v>63095</v>
      </c>
      <c r="I119" s="1142">
        <f t="shared" si="1"/>
        <v>56448</v>
      </c>
      <c r="J119" s="1142">
        <f t="shared" si="1"/>
        <v>71945</v>
      </c>
      <c r="K119" s="1142">
        <f t="shared" si="1"/>
        <v>63183</v>
      </c>
      <c r="L119" s="1142">
        <f t="shared" si="1"/>
        <v>64539</v>
      </c>
      <c r="M119" s="1142">
        <f t="shared" si="1"/>
        <v>64431</v>
      </c>
      <c r="N119" s="1142">
        <f t="shared" si="1"/>
        <v>63733</v>
      </c>
      <c r="O119" s="1142">
        <f t="shared" si="1"/>
        <v>64548</v>
      </c>
      <c r="P119" s="1142">
        <f t="shared" si="1"/>
        <v>67559</v>
      </c>
      <c r="Q119" s="1142">
        <f t="shared" si="1"/>
        <v>70944</v>
      </c>
      <c r="R119" s="1142">
        <f t="shared" si="1"/>
        <v>75478</v>
      </c>
      <c r="S119" s="1142">
        <f t="shared" si="1"/>
        <v>79019</v>
      </c>
      <c r="T119" s="1142">
        <f t="shared" si="1"/>
        <v>76930</v>
      </c>
      <c r="U119" s="1142">
        <f t="shared" si="1"/>
        <v>75129</v>
      </c>
      <c r="V119" s="1165">
        <v>74049</v>
      </c>
      <c r="W119" s="1165">
        <f>W16+W34+W52+W70+W88+W106</f>
        <v>79677</v>
      </c>
    </row>
    <row r="120" spans="1:25">
      <c r="B120" s="1143" t="s">
        <v>293</v>
      </c>
      <c r="C120" s="1144"/>
      <c r="D120" s="810">
        <f>D23+D41+D59+D77+D95+D113</f>
        <v>298692</v>
      </c>
      <c r="E120" s="810">
        <f t="shared" ref="E120:U120" si="2">E23+E41+E59+E77+E95+E113</f>
        <v>329144</v>
      </c>
      <c r="F120" s="810">
        <f t="shared" si="2"/>
        <v>381797</v>
      </c>
      <c r="G120" s="810">
        <f t="shared" si="2"/>
        <v>380848</v>
      </c>
      <c r="H120" s="810">
        <f t="shared" si="2"/>
        <v>401499</v>
      </c>
      <c r="I120" s="810">
        <f t="shared" si="2"/>
        <v>374289</v>
      </c>
      <c r="J120" s="810">
        <f t="shared" si="2"/>
        <v>446420</v>
      </c>
      <c r="K120" s="810">
        <f t="shared" si="2"/>
        <v>499808</v>
      </c>
      <c r="L120" s="810">
        <f t="shared" si="2"/>
        <v>530108</v>
      </c>
      <c r="M120" s="810">
        <f t="shared" si="2"/>
        <v>564089</v>
      </c>
      <c r="N120" s="810">
        <f t="shared" si="2"/>
        <v>593193</v>
      </c>
      <c r="O120" s="810">
        <f t="shared" si="2"/>
        <v>608577</v>
      </c>
      <c r="P120" s="810">
        <f t="shared" si="2"/>
        <v>608409</v>
      </c>
      <c r="Q120" s="810">
        <f t="shared" si="2"/>
        <v>628681</v>
      </c>
      <c r="R120" s="810">
        <f t="shared" si="2"/>
        <v>646602</v>
      </c>
      <c r="S120" s="810">
        <f t="shared" si="2"/>
        <v>673938</v>
      </c>
      <c r="T120" s="810">
        <f t="shared" si="2"/>
        <v>663044</v>
      </c>
      <c r="U120" s="810">
        <f t="shared" si="2"/>
        <v>713364</v>
      </c>
      <c r="V120" s="1166">
        <v>735104</v>
      </c>
      <c r="W120" s="1166">
        <f>W23+W41+W59+W77+W95+W113</f>
        <v>689425</v>
      </c>
    </row>
    <row r="121" spans="1:25">
      <c r="B121" s="809" t="s">
        <v>62</v>
      </c>
      <c r="C121" s="1096"/>
      <c r="D121" s="539">
        <f>SUM(D118:D120)</f>
        <v>1507457</v>
      </c>
      <c r="E121" s="539">
        <f t="shared" ref="E121:W121" si="3">SUM(E118:E120)</f>
        <v>1627375</v>
      </c>
      <c r="F121" s="539">
        <f t="shared" si="3"/>
        <v>1725615</v>
      </c>
      <c r="G121" s="539">
        <f t="shared" si="3"/>
        <v>1750831</v>
      </c>
      <c r="H121" s="539">
        <f t="shared" si="3"/>
        <v>1847579</v>
      </c>
      <c r="I121" s="539">
        <f t="shared" si="3"/>
        <v>1762514</v>
      </c>
      <c r="J121" s="539">
        <f t="shared" si="3"/>
        <v>1907597</v>
      </c>
      <c r="K121" s="539">
        <f t="shared" si="3"/>
        <v>2118702</v>
      </c>
      <c r="L121" s="539">
        <f t="shared" si="3"/>
        <v>2323225</v>
      </c>
      <c r="M121" s="539">
        <f t="shared" si="3"/>
        <v>2549961</v>
      </c>
      <c r="N121" s="539">
        <f t="shared" si="3"/>
        <v>2665859</v>
      </c>
      <c r="O121" s="539">
        <f t="shared" si="3"/>
        <v>2862057</v>
      </c>
      <c r="P121" s="539">
        <f t="shared" si="3"/>
        <v>3112225</v>
      </c>
      <c r="Q121" s="539">
        <f t="shared" si="3"/>
        <v>3156036</v>
      </c>
      <c r="R121" s="539">
        <f t="shared" si="3"/>
        <v>3322116</v>
      </c>
      <c r="S121" s="539">
        <f t="shared" si="3"/>
        <v>3218500</v>
      </c>
      <c r="T121" s="539">
        <f t="shared" si="3"/>
        <v>3278756</v>
      </c>
      <c r="U121" s="125">
        <f t="shared" si="3"/>
        <v>3386931</v>
      </c>
      <c r="V121" s="1105">
        <f t="shared" si="3"/>
        <v>3452150</v>
      </c>
      <c r="W121" s="1105">
        <f t="shared" si="3"/>
        <v>3552388</v>
      </c>
    </row>
    <row r="122" spans="1:25">
      <c r="U122" s="123"/>
    </row>
    <row r="123" spans="1:25">
      <c r="B123" s="1145" t="s">
        <v>61</v>
      </c>
      <c r="C123" s="1146"/>
      <c r="D123" s="553">
        <v>2004</v>
      </c>
      <c r="E123" s="553">
        <v>2005</v>
      </c>
      <c r="F123" s="553">
        <v>2006</v>
      </c>
      <c r="G123" s="553">
        <v>2007</v>
      </c>
      <c r="H123" s="553">
        <v>2008</v>
      </c>
      <c r="I123" s="553">
        <v>2009</v>
      </c>
      <c r="J123" s="553">
        <v>2010</v>
      </c>
      <c r="K123" s="553">
        <v>2011</v>
      </c>
      <c r="L123" s="553">
        <v>2012</v>
      </c>
      <c r="M123" s="553">
        <v>2013</v>
      </c>
      <c r="N123" s="553">
        <v>2014</v>
      </c>
      <c r="O123" s="553">
        <v>2015</v>
      </c>
      <c r="P123" s="553">
        <v>2016</v>
      </c>
      <c r="Q123" s="553">
        <v>2017</v>
      </c>
      <c r="R123" s="553">
        <v>2018</v>
      </c>
      <c r="S123" s="553">
        <v>2019</v>
      </c>
      <c r="T123" s="553">
        <v>2020</v>
      </c>
      <c r="U123" s="552">
        <v>2021</v>
      </c>
      <c r="V123" s="553">
        <v>2022</v>
      </c>
      <c r="W123" s="553">
        <v>2023</v>
      </c>
    </row>
    <row r="124" spans="1:25">
      <c r="B124" s="1109" t="s">
        <v>54</v>
      </c>
      <c r="C124" s="813"/>
      <c r="D124" s="532">
        <f>D24</f>
        <v>326033</v>
      </c>
      <c r="E124" s="532">
        <f t="shared" ref="E124:U124" si="4">E24</f>
        <v>342289</v>
      </c>
      <c r="F124" s="532">
        <f t="shared" si="4"/>
        <v>362223</v>
      </c>
      <c r="G124" s="532">
        <f t="shared" si="4"/>
        <v>370570</v>
      </c>
      <c r="H124" s="532">
        <f t="shared" si="4"/>
        <v>380373</v>
      </c>
      <c r="I124" s="532">
        <f t="shared" si="4"/>
        <v>360205</v>
      </c>
      <c r="J124" s="532">
        <f t="shared" si="4"/>
        <v>382555</v>
      </c>
      <c r="K124" s="532">
        <f t="shared" si="4"/>
        <v>419018</v>
      </c>
      <c r="L124" s="532">
        <f t="shared" si="4"/>
        <v>431246</v>
      </c>
      <c r="M124" s="532">
        <f t="shared" si="4"/>
        <v>440360</v>
      </c>
      <c r="N124" s="532">
        <f t="shared" si="4"/>
        <v>447123</v>
      </c>
      <c r="O124" s="532">
        <f t="shared" si="4"/>
        <v>438997</v>
      </c>
      <c r="P124" s="532">
        <f t="shared" si="4"/>
        <v>452359</v>
      </c>
      <c r="Q124" s="532">
        <f t="shared" si="4"/>
        <v>451930</v>
      </c>
      <c r="R124" s="532">
        <f t="shared" si="4"/>
        <v>457344</v>
      </c>
      <c r="S124" s="532">
        <f t="shared" si="4"/>
        <v>451890</v>
      </c>
      <c r="T124" s="532">
        <f t="shared" si="4"/>
        <v>434405</v>
      </c>
      <c r="U124" s="532">
        <f t="shared" si="4"/>
        <v>443075</v>
      </c>
      <c r="V124" s="1164">
        <v>439777</v>
      </c>
      <c r="W124" s="1164">
        <f>W24</f>
        <v>436888</v>
      </c>
    </row>
    <row r="125" spans="1:25">
      <c r="B125" s="1111" t="s">
        <v>55</v>
      </c>
      <c r="C125" s="1093"/>
      <c r="D125" s="792">
        <f>D42</f>
        <v>506567</v>
      </c>
      <c r="E125" s="792">
        <f t="shared" ref="E125:U125" si="5">E42</f>
        <v>523871</v>
      </c>
      <c r="F125" s="792">
        <f t="shared" si="5"/>
        <v>512624</v>
      </c>
      <c r="G125" s="792">
        <f t="shared" si="5"/>
        <v>501282</v>
      </c>
      <c r="H125" s="792">
        <f t="shared" si="5"/>
        <v>502081</v>
      </c>
      <c r="I125" s="792">
        <f t="shared" si="5"/>
        <v>456990</v>
      </c>
      <c r="J125" s="792">
        <f t="shared" si="5"/>
        <v>461888</v>
      </c>
      <c r="K125" s="792">
        <f t="shared" si="5"/>
        <v>473648</v>
      </c>
      <c r="L125" s="792">
        <f t="shared" si="5"/>
        <v>487020</v>
      </c>
      <c r="M125" s="792">
        <f t="shared" si="5"/>
        <v>470615</v>
      </c>
      <c r="N125" s="792">
        <f t="shared" si="5"/>
        <v>464274</v>
      </c>
      <c r="O125" s="792">
        <f t="shared" si="5"/>
        <v>453358</v>
      </c>
      <c r="P125" s="792">
        <f t="shared" si="5"/>
        <v>454890</v>
      </c>
      <c r="Q125" s="792">
        <f t="shared" si="5"/>
        <v>459320</v>
      </c>
      <c r="R125" s="792">
        <f t="shared" si="5"/>
        <v>458927</v>
      </c>
      <c r="S125" s="792">
        <f t="shared" si="5"/>
        <v>452346</v>
      </c>
      <c r="T125" s="792">
        <f t="shared" si="5"/>
        <v>421965</v>
      </c>
      <c r="U125" s="792">
        <f t="shared" si="5"/>
        <v>411840</v>
      </c>
      <c r="V125" s="1165">
        <v>405361</v>
      </c>
      <c r="W125" s="1165">
        <f>W42</f>
        <v>417709</v>
      </c>
    </row>
    <row r="126" spans="1:25">
      <c r="B126" s="1111" t="s">
        <v>290</v>
      </c>
      <c r="C126" s="1093"/>
      <c r="D126" s="792">
        <f>D60</f>
        <v>136176</v>
      </c>
      <c r="E126" s="792">
        <f t="shared" ref="E126:U126" si="6">E60</f>
        <v>161555</v>
      </c>
      <c r="F126" s="792">
        <f t="shared" si="6"/>
        <v>172650</v>
      </c>
      <c r="G126" s="792">
        <f t="shared" si="6"/>
        <v>174896</v>
      </c>
      <c r="H126" s="792">
        <f t="shared" si="6"/>
        <v>172352</v>
      </c>
      <c r="I126" s="792">
        <f t="shared" si="6"/>
        <v>168805</v>
      </c>
      <c r="J126" s="792">
        <f t="shared" si="6"/>
        <v>177695</v>
      </c>
      <c r="K126" s="792">
        <f t="shared" si="6"/>
        <v>187651</v>
      </c>
      <c r="L126" s="792">
        <f t="shared" si="6"/>
        <v>203643</v>
      </c>
      <c r="M126" s="792">
        <f t="shared" si="6"/>
        <v>223311</v>
      </c>
      <c r="N126" s="792">
        <f t="shared" si="6"/>
        <v>230403</v>
      </c>
      <c r="O126" s="792">
        <f t="shared" si="6"/>
        <v>237844</v>
      </c>
      <c r="P126" s="792">
        <f t="shared" si="6"/>
        <v>233530</v>
      </c>
      <c r="Q126" s="792">
        <f t="shared" si="6"/>
        <v>226336</v>
      </c>
      <c r="R126" s="792">
        <f t="shared" si="6"/>
        <v>231708</v>
      </c>
      <c r="S126" s="792">
        <f t="shared" si="6"/>
        <v>248133</v>
      </c>
      <c r="T126" s="792">
        <f t="shared" si="6"/>
        <v>260164</v>
      </c>
      <c r="U126" s="792">
        <f t="shared" si="6"/>
        <v>267165</v>
      </c>
      <c r="V126" s="1165">
        <v>272315</v>
      </c>
      <c r="W126" s="1165">
        <f>W60</f>
        <v>289749</v>
      </c>
    </row>
    <row r="127" spans="1:25">
      <c r="B127" s="1111" t="s">
        <v>57</v>
      </c>
      <c r="C127" s="1093"/>
      <c r="D127" s="792">
        <f>D78</f>
        <v>68884</v>
      </c>
      <c r="E127" s="792">
        <f t="shared" ref="E127:U127" si="7">E78</f>
        <v>97454</v>
      </c>
      <c r="F127" s="792">
        <f t="shared" si="7"/>
        <v>128787</v>
      </c>
      <c r="G127" s="792">
        <f t="shared" si="7"/>
        <v>160523</v>
      </c>
      <c r="H127" s="792">
        <f t="shared" si="7"/>
        <v>203483</v>
      </c>
      <c r="I127" s="792">
        <f t="shared" si="7"/>
        <v>240427</v>
      </c>
      <c r="J127" s="792">
        <f t="shared" si="7"/>
        <v>307260</v>
      </c>
      <c r="K127" s="792">
        <f t="shared" si="7"/>
        <v>435751</v>
      </c>
      <c r="L127" s="792">
        <f t="shared" si="7"/>
        <v>561010</v>
      </c>
      <c r="M127" s="792">
        <f t="shared" si="7"/>
        <v>733301</v>
      </c>
      <c r="N127" s="792">
        <f t="shared" si="7"/>
        <v>836058</v>
      </c>
      <c r="O127" s="792">
        <f t="shared" si="7"/>
        <v>1009594</v>
      </c>
      <c r="P127" s="792">
        <f t="shared" si="7"/>
        <v>1256740</v>
      </c>
      <c r="Q127" s="792">
        <f t="shared" si="7"/>
        <v>1304942</v>
      </c>
      <c r="R127" s="792">
        <f t="shared" si="7"/>
        <v>1459256</v>
      </c>
      <c r="S127" s="792">
        <f t="shared" si="7"/>
        <v>1327116</v>
      </c>
      <c r="T127" s="792">
        <f t="shared" si="7"/>
        <v>1439699</v>
      </c>
      <c r="U127" s="792">
        <f t="shared" si="7"/>
        <v>1537527</v>
      </c>
      <c r="V127" s="1165">
        <v>1584664</v>
      </c>
      <c r="W127" s="1165">
        <f>W78</f>
        <v>1654302</v>
      </c>
    </row>
    <row r="128" spans="1:25">
      <c r="B128" s="1111" t="s">
        <v>58</v>
      </c>
      <c r="C128" s="1093"/>
      <c r="D128" s="792">
        <f>D96</f>
        <v>317421</v>
      </c>
      <c r="E128" s="792">
        <f t="shared" ref="E128:U128" si="8">E96</f>
        <v>360601</v>
      </c>
      <c r="F128" s="792">
        <f t="shared" si="8"/>
        <v>388937</v>
      </c>
      <c r="G128" s="792">
        <f t="shared" si="8"/>
        <v>409960</v>
      </c>
      <c r="H128" s="792">
        <f t="shared" si="8"/>
        <v>400786</v>
      </c>
      <c r="I128" s="792">
        <f t="shared" si="8"/>
        <v>365529</v>
      </c>
      <c r="J128" s="792">
        <f t="shared" si="8"/>
        <v>415086</v>
      </c>
      <c r="K128" s="792">
        <f t="shared" si="8"/>
        <v>434197</v>
      </c>
      <c r="L128" s="792">
        <f t="shared" si="8"/>
        <v>460745</v>
      </c>
      <c r="M128" s="792">
        <f t="shared" si="8"/>
        <v>487330</v>
      </c>
      <c r="N128" s="792">
        <f t="shared" si="8"/>
        <v>495956</v>
      </c>
      <c r="O128" s="792">
        <f t="shared" si="8"/>
        <v>517156</v>
      </c>
      <c r="P128" s="792">
        <f t="shared" si="8"/>
        <v>512170</v>
      </c>
      <c r="Q128" s="792">
        <f t="shared" si="8"/>
        <v>513622</v>
      </c>
      <c r="R128" s="792">
        <f t="shared" si="8"/>
        <v>503924</v>
      </c>
      <c r="S128" s="792">
        <f t="shared" si="8"/>
        <v>509780</v>
      </c>
      <c r="T128" s="792">
        <f t="shared" si="8"/>
        <v>484825</v>
      </c>
      <c r="U128" s="792">
        <f t="shared" si="8"/>
        <v>500207</v>
      </c>
      <c r="V128" s="1165">
        <v>505539</v>
      </c>
      <c r="W128" s="1165">
        <f>W96</f>
        <v>516427</v>
      </c>
    </row>
    <row r="129" spans="2:23">
      <c r="B129" s="809" t="s">
        <v>59</v>
      </c>
      <c r="C129" s="1096"/>
      <c r="D129" s="539">
        <f>D114</f>
        <v>152376</v>
      </c>
      <c r="E129" s="539">
        <f t="shared" ref="E129:U129" si="9">E114</f>
        <v>141605</v>
      </c>
      <c r="F129" s="539">
        <f t="shared" si="9"/>
        <v>160394</v>
      </c>
      <c r="G129" s="539">
        <f t="shared" si="9"/>
        <v>133600</v>
      </c>
      <c r="H129" s="539">
        <f t="shared" si="9"/>
        <v>188504</v>
      </c>
      <c r="I129" s="539">
        <f t="shared" si="9"/>
        <v>170558</v>
      </c>
      <c r="J129" s="539">
        <f t="shared" si="9"/>
        <v>163113</v>
      </c>
      <c r="K129" s="539">
        <f t="shared" si="9"/>
        <v>168437</v>
      </c>
      <c r="L129" s="539">
        <f t="shared" si="9"/>
        <v>179573</v>
      </c>
      <c r="M129" s="539">
        <f t="shared" si="9"/>
        <v>195044</v>
      </c>
      <c r="N129" s="539">
        <f t="shared" si="9"/>
        <v>192045</v>
      </c>
      <c r="O129" s="539">
        <f t="shared" si="9"/>
        <v>205108</v>
      </c>
      <c r="P129" s="539">
        <f t="shared" si="9"/>
        <v>202536</v>
      </c>
      <c r="Q129" s="539">
        <f t="shared" si="9"/>
        <v>199886</v>
      </c>
      <c r="R129" s="539">
        <f t="shared" si="9"/>
        <v>210957</v>
      </c>
      <c r="S129" s="539">
        <f t="shared" si="9"/>
        <v>229235</v>
      </c>
      <c r="T129" s="539">
        <f t="shared" si="9"/>
        <v>237698</v>
      </c>
      <c r="U129" s="539">
        <f t="shared" si="9"/>
        <v>227117</v>
      </c>
      <c r="V129" s="1166">
        <v>244494</v>
      </c>
      <c r="W129" s="1166">
        <f>W114</f>
        <v>237313</v>
      </c>
    </row>
    <row r="130" spans="2:23">
      <c r="B130" s="1145" t="s">
        <v>62</v>
      </c>
      <c r="C130" s="1146"/>
      <c r="D130" s="1149">
        <f>SUM(D124:D129)</f>
        <v>1507457</v>
      </c>
      <c r="E130" s="1149">
        <f t="shared" ref="E130:W130" si="10">SUM(E124:E129)</f>
        <v>1627375</v>
      </c>
      <c r="F130" s="1149">
        <f t="shared" si="10"/>
        <v>1725615</v>
      </c>
      <c r="G130" s="1149">
        <f t="shared" si="10"/>
        <v>1750831</v>
      </c>
      <c r="H130" s="1149">
        <f t="shared" si="10"/>
        <v>1847579</v>
      </c>
      <c r="I130" s="1149">
        <f t="shared" si="10"/>
        <v>1762514</v>
      </c>
      <c r="J130" s="1149">
        <f t="shared" si="10"/>
        <v>1907597</v>
      </c>
      <c r="K130" s="1149">
        <f t="shared" si="10"/>
        <v>2118702</v>
      </c>
      <c r="L130" s="1149">
        <f t="shared" si="10"/>
        <v>2323237</v>
      </c>
      <c r="M130" s="1149">
        <f t="shared" si="10"/>
        <v>2549961</v>
      </c>
      <c r="N130" s="1149">
        <f t="shared" si="10"/>
        <v>2665859</v>
      </c>
      <c r="O130" s="1149">
        <f t="shared" si="10"/>
        <v>2862057</v>
      </c>
      <c r="P130" s="1149">
        <f t="shared" si="10"/>
        <v>3112225</v>
      </c>
      <c r="Q130" s="1149">
        <f t="shared" si="10"/>
        <v>3156036</v>
      </c>
      <c r="R130" s="1149">
        <f t="shared" si="10"/>
        <v>3322116</v>
      </c>
      <c r="S130" s="1149">
        <f t="shared" si="10"/>
        <v>3218500</v>
      </c>
      <c r="T130" s="1149">
        <f t="shared" si="10"/>
        <v>3278756</v>
      </c>
      <c r="U130" s="125">
        <f t="shared" si="10"/>
        <v>3386931</v>
      </c>
      <c r="V130" s="1105">
        <f t="shared" si="10"/>
        <v>3452150</v>
      </c>
      <c r="W130" s="1105">
        <f t="shared" si="10"/>
        <v>3552388</v>
      </c>
    </row>
    <row r="131" spans="2:23">
      <c r="U131" s="123"/>
    </row>
    <row r="132" spans="2:23">
      <c r="B132" s="1145" t="s">
        <v>289</v>
      </c>
      <c r="C132" s="1146"/>
      <c r="D132" s="553">
        <v>2004</v>
      </c>
      <c r="E132" s="553">
        <v>2005</v>
      </c>
      <c r="F132" s="553">
        <v>2006</v>
      </c>
      <c r="G132" s="553">
        <v>2007</v>
      </c>
      <c r="H132" s="553">
        <v>2008</v>
      </c>
      <c r="I132" s="553">
        <v>2009</v>
      </c>
      <c r="J132" s="553">
        <v>2010</v>
      </c>
      <c r="K132" s="553">
        <v>2011</v>
      </c>
      <c r="L132" s="553">
        <v>2012</v>
      </c>
      <c r="M132" s="553">
        <v>2013</v>
      </c>
      <c r="N132" s="553">
        <v>2014</v>
      </c>
      <c r="O132" s="553">
        <v>2015</v>
      </c>
      <c r="P132" s="553">
        <v>2016</v>
      </c>
      <c r="Q132" s="553">
        <v>2017</v>
      </c>
      <c r="R132" s="553">
        <v>2018</v>
      </c>
      <c r="S132" s="553">
        <v>2019</v>
      </c>
      <c r="T132" s="553">
        <v>2020</v>
      </c>
      <c r="U132" s="552">
        <v>2021</v>
      </c>
      <c r="V132" s="553">
        <v>2022</v>
      </c>
      <c r="W132" s="553">
        <v>2023</v>
      </c>
    </row>
    <row r="133" spans="2:23">
      <c r="B133" s="1109" t="s">
        <v>54</v>
      </c>
      <c r="C133" s="813"/>
      <c r="D133" s="532">
        <v>283030</v>
      </c>
      <c r="E133" s="532">
        <v>284595</v>
      </c>
      <c r="F133" s="532">
        <v>287014</v>
      </c>
      <c r="G133" s="532">
        <v>296238</v>
      </c>
      <c r="H133" s="532">
        <v>290790</v>
      </c>
      <c r="I133" s="532">
        <v>278790</v>
      </c>
      <c r="J133" s="532">
        <v>277205</v>
      </c>
      <c r="K133" s="532">
        <v>284608</v>
      </c>
      <c r="L133" s="532">
        <v>294599</v>
      </c>
      <c r="M133" s="532">
        <v>294517</v>
      </c>
      <c r="N133" s="532">
        <v>300970</v>
      </c>
      <c r="O133" s="532">
        <v>310869</v>
      </c>
      <c r="P133" s="532">
        <v>311457</v>
      </c>
      <c r="Q133" s="532">
        <v>318573</v>
      </c>
      <c r="R133" s="532">
        <v>323274</v>
      </c>
      <c r="S133" s="532">
        <v>328278</v>
      </c>
      <c r="T133" s="532">
        <v>323708</v>
      </c>
      <c r="U133" s="551">
        <v>327299</v>
      </c>
      <c r="V133" s="1164">
        <v>330340</v>
      </c>
      <c r="W133" s="1164">
        <v>340143</v>
      </c>
    </row>
    <row r="134" spans="2:23">
      <c r="B134" s="1111" t="s">
        <v>55</v>
      </c>
      <c r="C134" s="1093"/>
      <c r="D134" s="792">
        <v>423081</v>
      </c>
      <c r="E134" s="792">
        <v>427078</v>
      </c>
      <c r="F134" s="792">
        <v>408674</v>
      </c>
      <c r="G134" s="792">
        <v>396291</v>
      </c>
      <c r="H134" s="792">
        <v>391002</v>
      </c>
      <c r="I134" s="792">
        <v>348596</v>
      </c>
      <c r="J134" s="792">
        <v>344598</v>
      </c>
      <c r="K134" s="792">
        <v>342610</v>
      </c>
      <c r="L134" s="792">
        <v>342796</v>
      </c>
      <c r="M134" s="792">
        <v>328436</v>
      </c>
      <c r="N134" s="792">
        <v>325989</v>
      </c>
      <c r="O134" s="792">
        <v>318721</v>
      </c>
      <c r="P134" s="792">
        <v>318381</v>
      </c>
      <c r="Q134" s="792">
        <v>318479</v>
      </c>
      <c r="R134" s="792">
        <v>313567</v>
      </c>
      <c r="S134" s="792">
        <v>307969</v>
      </c>
      <c r="T134" s="792">
        <v>288472</v>
      </c>
      <c r="U134" s="548">
        <v>289200</v>
      </c>
      <c r="V134" s="1165">
        <v>289530</v>
      </c>
      <c r="W134" s="1165">
        <v>300133</v>
      </c>
    </row>
    <row r="135" spans="2:23">
      <c r="B135" s="1111" t="s">
        <v>290</v>
      </c>
      <c r="C135" s="1093"/>
      <c r="D135" s="792">
        <v>140115</v>
      </c>
      <c r="E135" s="792">
        <v>160921</v>
      </c>
      <c r="F135" s="792">
        <v>166189</v>
      </c>
      <c r="G135" s="792">
        <v>172469</v>
      </c>
      <c r="H135" s="792">
        <v>170632</v>
      </c>
      <c r="I135" s="792">
        <v>163523</v>
      </c>
      <c r="J135" s="792">
        <v>170101</v>
      </c>
      <c r="K135" s="792">
        <v>178924</v>
      </c>
      <c r="L135" s="792">
        <v>188915</v>
      </c>
      <c r="M135" s="792">
        <v>204589</v>
      </c>
      <c r="N135" s="792">
        <v>210292</v>
      </c>
      <c r="O135" s="792">
        <v>213694</v>
      </c>
      <c r="P135" s="792">
        <v>208830</v>
      </c>
      <c r="Q135" s="792">
        <v>204775</v>
      </c>
      <c r="R135" s="792">
        <v>209992</v>
      </c>
      <c r="S135" s="792">
        <v>218975</v>
      </c>
      <c r="T135" s="792">
        <v>226759</v>
      </c>
      <c r="U135" s="548">
        <v>237998</v>
      </c>
      <c r="V135" s="1165">
        <v>237633</v>
      </c>
      <c r="W135" s="1165">
        <v>243310</v>
      </c>
    </row>
    <row r="136" spans="2:23">
      <c r="B136" s="1111" t="s">
        <v>57</v>
      </c>
      <c r="C136" s="1093"/>
      <c r="D136" s="792">
        <v>130384</v>
      </c>
      <c r="E136" s="792">
        <v>173327</v>
      </c>
      <c r="F136" s="792">
        <v>210501</v>
      </c>
      <c r="G136" s="792">
        <v>245161</v>
      </c>
      <c r="H136" s="792">
        <v>289838</v>
      </c>
      <c r="I136" s="792">
        <v>314604</v>
      </c>
      <c r="J136" s="792">
        <v>391178</v>
      </c>
      <c r="K136" s="792">
        <v>526412</v>
      </c>
      <c r="L136" s="792">
        <v>652777</v>
      </c>
      <c r="M136" s="792">
        <v>825136</v>
      </c>
      <c r="N136" s="792">
        <v>928177</v>
      </c>
      <c r="O136" s="792">
        <v>1101864</v>
      </c>
      <c r="P136" s="792">
        <v>1338503</v>
      </c>
      <c r="Q136" s="792">
        <v>1381594</v>
      </c>
      <c r="R136" s="792">
        <v>1542002</v>
      </c>
      <c r="S136" s="792">
        <v>1400661</v>
      </c>
      <c r="T136" s="792">
        <v>1497159</v>
      </c>
      <c r="U136" s="548">
        <v>1585663</v>
      </c>
      <c r="V136" s="1165">
        <v>1619268</v>
      </c>
      <c r="W136" s="1165">
        <v>1677701</v>
      </c>
    </row>
    <row r="137" spans="2:23">
      <c r="B137" s="1111" t="s">
        <v>58</v>
      </c>
      <c r="C137" s="1093"/>
      <c r="D137" s="792">
        <v>356943</v>
      </c>
      <c r="E137" s="792">
        <v>390733</v>
      </c>
      <c r="F137" s="792">
        <v>425967</v>
      </c>
      <c r="G137" s="792">
        <v>456154</v>
      </c>
      <c r="H137" s="792">
        <v>456321</v>
      </c>
      <c r="I137" s="792">
        <v>456106</v>
      </c>
      <c r="J137" s="792">
        <v>490226</v>
      </c>
      <c r="K137" s="792">
        <v>503582</v>
      </c>
      <c r="L137" s="792">
        <v>542815</v>
      </c>
      <c r="M137" s="792">
        <v>571612</v>
      </c>
      <c r="N137" s="792">
        <v>578802</v>
      </c>
      <c r="O137" s="792">
        <v>589410</v>
      </c>
      <c r="P137" s="792">
        <v>605571</v>
      </c>
      <c r="Q137" s="792">
        <v>606956</v>
      </c>
      <c r="R137" s="792">
        <v>597141</v>
      </c>
      <c r="S137" s="792">
        <v>621453</v>
      </c>
      <c r="T137" s="792">
        <v>597172</v>
      </c>
      <c r="U137" s="548">
        <v>591473</v>
      </c>
      <c r="V137" s="1165">
        <v>594340</v>
      </c>
      <c r="W137" s="1165">
        <v>602498</v>
      </c>
    </row>
    <row r="138" spans="2:23">
      <c r="B138" s="809" t="s">
        <v>59</v>
      </c>
      <c r="C138" s="1096"/>
      <c r="D138" s="539">
        <v>173904</v>
      </c>
      <c r="E138" s="539">
        <v>190721</v>
      </c>
      <c r="F138" s="539">
        <v>227270</v>
      </c>
      <c r="G138" s="539">
        <v>184518</v>
      </c>
      <c r="H138" s="539">
        <v>248996</v>
      </c>
      <c r="I138" s="539">
        <v>200895</v>
      </c>
      <c r="J138" s="539">
        <v>234289</v>
      </c>
      <c r="K138" s="539">
        <v>282566</v>
      </c>
      <c r="L138" s="539">
        <v>304881</v>
      </c>
      <c r="M138" s="539">
        <v>325671</v>
      </c>
      <c r="N138" s="539">
        <v>321629</v>
      </c>
      <c r="O138" s="539">
        <v>327499</v>
      </c>
      <c r="P138" s="539">
        <v>329483</v>
      </c>
      <c r="Q138" s="539">
        <v>325659</v>
      </c>
      <c r="R138" s="539">
        <v>336140</v>
      </c>
      <c r="S138" s="539">
        <v>341164</v>
      </c>
      <c r="T138" s="539">
        <v>345486</v>
      </c>
      <c r="U138" s="780">
        <v>355298</v>
      </c>
      <c r="V138" s="1166">
        <v>381039</v>
      </c>
      <c r="W138" s="1166">
        <v>388603</v>
      </c>
    </row>
    <row r="139" spans="2:23">
      <c r="B139" s="1145" t="s">
        <v>62</v>
      </c>
      <c r="C139" s="1146"/>
      <c r="D139" s="1149">
        <f>SUM(D133:D138)</f>
        <v>1507457</v>
      </c>
      <c r="E139" s="1149">
        <f t="shared" ref="E139" si="11">SUM(E133:E138)</f>
        <v>1627375</v>
      </c>
      <c r="F139" s="1149">
        <f t="shared" ref="F139" si="12">SUM(F133:F138)</f>
        <v>1725615</v>
      </c>
      <c r="G139" s="1149">
        <f t="shared" ref="G139" si="13">SUM(G133:G138)</f>
        <v>1750831</v>
      </c>
      <c r="H139" s="1149">
        <f t="shared" ref="H139" si="14">SUM(H133:H138)</f>
        <v>1847579</v>
      </c>
      <c r="I139" s="1149">
        <f t="shared" ref="I139" si="15">SUM(I133:I138)</f>
        <v>1762514</v>
      </c>
      <c r="J139" s="1149">
        <f t="shared" ref="J139" si="16">SUM(J133:J138)</f>
        <v>1907597</v>
      </c>
      <c r="K139" s="1149">
        <f t="shared" ref="K139" si="17">SUM(K133:K138)</f>
        <v>2118702</v>
      </c>
      <c r="L139" s="1149">
        <f t="shared" ref="L139" si="18">SUM(L133:L138)</f>
        <v>2326783</v>
      </c>
      <c r="M139" s="1149">
        <f t="shared" ref="M139" si="19">SUM(M133:M138)</f>
        <v>2549961</v>
      </c>
      <c r="N139" s="1149">
        <f t="shared" ref="N139" si="20">SUM(N133:N138)</f>
        <v>2665859</v>
      </c>
      <c r="O139" s="1149">
        <f t="shared" ref="O139" si="21">SUM(O133:O138)</f>
        <v>2862057</v>
      </c>
      <c r="P139" s="1149">
        <f t="shared" ref="P139" si="22">SUM(P133:P138)</f>
        <v>3112225</v>
      </c>
      <c r="Q139" s="1149">
        <f t="shared" ref="Q139" si="23">SUM(Q133:Q138)</f>
        <v>3156036</v>
      </c>
      <c r="R139" s="1149">
        <f t="shared" ref="R139" si="24">SUM(R133:R138)</f>
        <v>3322116</v>
      </c>
      <c r="S139" s="1149">
        <f t="shared" ref="S139" si="25">SUM(S133:S138)</f>
        <v>3218500</v>
      </c>
      <c r="T139" s="1149">
        <f t="shared" ref="T139:W139" si="26">SUM(T133:T138)</f>
        <v>3278756</v>
      </c>
      <c r="U139" s="125">
        <f t="shared" si="26"/>
        <v>3386931</v>
      </c>
      <c r="V139" s="1105">
        <f t="shared" si="26"/>
        <v>3452150</v>
      </c>
      <c r="W139" s="1105">
        <f t="shared" si="26"/>
        <v>3552388</v>
      </c>
    </row>
  </sheetData>
  <phoneticPr fontId="93" type="noConversion"/>
  <hyperlinks>
    <hyperlink ref="U1" location="Content!A1" display="content" xr:uid="{00000000-0004-0000-0800-000000000000}"/>
  </hyperlinks>
  <pageMargins left="0.7" right="0.7" top="0.75" bottom="0.75" header="0.3" footer="0.3"/>
  <pageSetup paperSize="9" orientation="portrait"/>
  <ignoredErrors>
    <ignoredError sqref="U121 U130 U139 U13" formulaRange="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66B31FEE33134BB0AC95761A2048B1" ma:contentTypeVersion="17" ma:contentTypeDescription="Create a new document." ma:contentTypeScope="" ma:versionID="c8322838b5dabdb5415afae3ae198cfe">
  <xsd:schema xmlns:xsd="http://www.w3.org/2001/XMLSchema" xmlns:xs="http://www.w3.org/2001/XMLSchema" xmlns:p="http://schemas.microsoft.com/office/2006/metadata/properties" xmlns:ns2="9c07d2fe-ae1d-4a27-94f7-601901b88a44" xmlns:ns3="53e9d011-ffe6-4916-af8d-2c3ac8da770f" targetNamespace="http://schemas.microsoft.com/office/2006/metadata/properties" ma:root="true" ma:fieldsID="89468f5679bfe395f7f04d8546b357f0" ns2:_="" ns3:_="">
    <xsd:import namespace="9c07d2fe-ae1d-4a27-94f7-601901b88a44"/>
    <xsd:import namespace="53e9d011-ffe6-4916-af8d-2c3ac8da770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lcf76f155ced4ddcb4097134ff3c332f" minOccurs="0"/>
                <xsd:element ref="ns2:TaxCatchAll" minOccurs="0"/>
                <xsd:element ref="ns3:MediaServiceDateTaken" minOccurs="0"/>
                <xsd:element ref="ns3:MediaServiceObjectDetectorVersions" minOccurs="0"/>
                <xsd:element ref="ns3:MediaServiceGenerationTime" minOccurs="0"/>
                <xsd:element ref="ns3:MediaServiceEventHashCode" minOccurs="0"/>
                <xsd:element ref="ns3:MediaServiceLocation" minOccurs="0"/>
                <xsd:element ref="ns3:MediaServiceOCR"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07d2fe-ae1d-4a27-94f7-601901b88a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3df2c2f-6e36-4fe7-9c72-6f1c8123b393}" ma:internalName="TaxCatchAll" ma:showField="CatchAllData" ma:web="9c07d2fe-ae1d-4a27-94f7-601901b88a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e9d011-ffe6-4916-af8d-2c3ac8da770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1493b5-ac2f-49c0-a7d8-a2c097611ef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c07d2fe-ae1d-4a27-94f7-601901b88a44" xsi:nil="true"/>
    <lcf76f155ced4ddcb4097134ff3c332f xmlns="53e9d011-ffe6-4916-af8d-2c3ac8da770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1AF84-87BA-434A-91BD-45A4DD711E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07d2fe-ae1d-4a27-94f7-601901b88a44"/>
    <ds:schemaRef ds:uri="53e9d011-ffe6-4916-af8d-2c3ac8da77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807E7AF-5903-40E5-8797-7B49F0B5DFA9}">
  <ds:schemaRefs>
    <ds:schemaRef ds:uri="http://schemas.microsoft.com/office/2006/metadata/properties"/>
    <ds:schemaRef ds:uri="http://schemas.microsoft.com/office/infopath/2007/PartnerControls"/>
    <ds:schemaRef ds:uri="9c07d2fe-ae1d-4a27-94f7-601901b88a44"/>
    <ds:schemaRef ds:uri="53e9d011-ffe6-4916-af8d-2c3ac8da770f"/>
  </ds:schemaRefs>
</ds:datastoreItem>
</file>

<file path=customXml/itemProps3.xml><?xml version="1.0" encoding="utf-8"?>
<ds:datastoreItem xmlns:ds="http://schemas.openxmlformats.org/officeDocument/2006/customXml" ds:itemID="{FD2C6B7E-E546-46E5-B2E4-B24D5CBF20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24</vt:i4>
      </vt:variant>
      <vt:variant>
        <vt:lpstr>Named Ranges</vt:lpstr>
      </vt:variant>
      <vt:variant>
        <vt:i4>3</vt:i4>
      </vt:variant>
    </vt:vector>
  </HeadingPairs>
  <TitlesOfParts>
    <vt:vector size="27" baseType="lpstr">
      <vt:lpstr>Content</vt:lpstr>
      <vt:lpstr>Ch2. Patents-in-Force</vt:lpstr>
      <vt:lpstr>Ch2. Cross filings</vt:lpstr>
      <vt:lpstr>Ch2. Budget</vt:lpstr>
      <vt:lpstr>Ch2. Staff</vt:lpstr>
      <vt:lpstr>Ch2. Production figures</vt:lpstr>
      <vt:lpstr>Ch3. Patent filings</vt:lpstr>
      <vt:lpstr>Ch3. First filings</vt:lpstr>
      <vt:lpstr>Ch3. Patent applications</vt:lpstr>
      <vt:lpstr>Ch3. Demand for patent rights</vt:lpstr>
      <vt:lpstr>Ch3. Granted patents</vt:lpstr>
      <vt:lpstr>Ch3. Patent Families</vt:lpstr>
      <vt:lpstr>Ch3. IP5 Patent Families</vt:lpstr>
      <vt:lpstr>Ch4. Patent applications filed</vt:lpstr>
      <vt:lpstr>Ch4. Applications technology</vt:lpstr>
      <vt:lpstr>Ch4. Applications leading Tech</vt:lpstr>
      <vt:lpstr>Ch4. Granted Patents</vt:lpstr>
      <vt:lpstr>Ch4. Grants technology</vt:lpstr>
      <vt:lpstr>Ch4. Grants leading Tech</vt:lpstr>
      <vt:lpstr>Ch4. Maintenance</vt:lpstr>
      <vt:lpstr>Ch4. Procedures </vt:lpstr>
      <vt:lpstr>Ch5. PCT as filing route </vt:lpstr>
      <vt:lpstr>Ch5. PCT authorities</vt:lpstr>
      <vt:lpstr>Ch.6 Other Work</vt:lpstr>
      <vt:lpstr>'Ch.6 Other Work'!Print_Area</vt:lpstr>
      <vt:lpstr>'Ch4. Maintenance'!Print_Area</vt:lpstr>
      <vt:lpstr>Content!Print_Area</vt:lpstr>
    </vt:vector>
  </TitlesOfParts>
  <Company>European Patent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Nicolas</dc:creator>
  <cp:lastModifiedBy>Lise Farrell</cp:lastModifiedBy>
  <dcterms:created xsi:type="dcterms:W3CDTF">2022-05-04T13:48:00Z</dcterms:created>
  <dcterms:modified xsi:type="dcterms:W3CDTF">2026-02-09T17:19:16Z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B9D607B415A04D6EA8BA29B968FE5C57_12</vt:lpwstr>
  </property>
  <property fmtid="{D5CDD505-2E9C-101B-9397-08002B2CF9AE}" pid="3" name="KSOProductBuildVer">
    <vt:lpwstr>2052-12.8.2.21177</vt:lpwstr>
  </property>
  <property fmtid="{D5CDD505-2E9C-101B-9397-08002B2CF9AE}" pid="4" name="ContentTypeId">
    <vt:lpwstr>0x0101003066B31FEE33134BB0AC95761A2048B1</vt:lpwstr>
  </property>
</Properties>
</file>